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57F64C-6176-4BDA-9DF1-3780B15DB5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4" i="1" s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Y174" i="1" s="1"/>
  <c r="P164" i="1"/>
  <c r="X162" i="1"/>
  <c r="X161" i="1"/>
  <c r="BO160" i="1"/>
  <c r="BM160" i="1"/>
  <c r="Y160" i="1"/>
  <c r="Y161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4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4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4" i="1" s="1"/>
  <c r="X23" i="1"/>
  <c r="BO22" i="1"/>
  <c r="BM22" i="1"/>
  <c r="Y22" i="1"/>
  <c r="Y23" i="1" s="1"/>
  <c r="H10" i="1"/>
  <c r="A9" i="1"/>
  <c r="F10" i="1" s="1"/>
  <c r="D7" i="1"/>
  <c r="Q6" i="1"/>
  <c r="P2" i="1"/>
  <c r="BP337" i="1" l="1"/>
  <c r="BN337" i="1"/>
  <c r="Z337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Z22" i="1"/>
  <c r="Z23" i="1" s="1"/>
  <c r="BN22" i="1"/>
  <c r="BP22" i="1"/>
  <c r="Z26" i="1"/>
  <c r="BN26" i="1"/>
  <c r="BP26" i="1"/>
  <c r="Z30" i="1"/>
  <c r="BN30" i="1"/>
  <c r="C524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24" i="1"/>
  <c r="Z108" i="1"/>
  <c r="BN108" i="1"/>
  <c r="Y116" i="1"/>
  <c r="Z114" i="1"/>
  <c r="BN114" i="1"/>
  <c r="Y124" i="1"/>
  <c r="Z120" i="1"/>
  <c r="BN120" i="1"/>
  <c r="Z126" i="1"/>
  <c r="BN126" i="1"/>
  <c r="BP126" i="1"/>
  <c r="G524" i="1"/>
  <c r="Z137" i="1"/>
  <c r="BN137" i="1"/>
  <c r="BP137" i="1"/>
  <c r="Z148" i="1"/>
  <c r="Z149" i="1" s="1"/>
  <c r="BN148" i="1"/>
  <c r="BP148" i="1"/>
  <c r="Y149" i="1"/>
  <c r="Z152" i="1"/>
  <c r="BN152" i="1"/>
  <c r="BP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5" i="1"/>
  <c r="Z199" i="1"/>
  <c r="BN199" i="1"/>
  <c r="Z203" i="1"/>
  <c r="BN203" i="1"/>
  <c r="Y217" i="1"/>
  <c r="Z211" i="1"/>
  <c r="BN211" i="1"/>
  <c r="Z215" i="1"/>
  <c r="BN215" i="1"/>
  <c r="Z226" i="1"/>
  <c r="BN226" i="1"/>
  <c r="Z230" i="1"/>
  <c r="BN230" i="1"/>
  <c r="Z236" i="1"/>
  <c r="BN236" i="1"/>
  <c r="BP236" i="1"/>
  <c r="Z241" i="1"/>
  <c r="BN241" i="1"/>
  <c r="BP241" i="1"/>
  <c r="Z248" i="1"/>
  <c r="BN248" i="1"/>
  <c r="Z257" i="1"/>
  <c r="BN257" i="1"/>
  <c r="Z266" i="1"/>
  <c r="BN266" i="1"/>
  <c r="Z274" i="1"/>
  <c r="BN274" i="1"/>
  <c r="Z296" i="1"/>
  <c r="BN296" i="1"/>
  <c r="Z304" i="1"/>
  <c r="BN304" i="1"/>
  <c r="Z308" i="1"/>
  <c r="BN308" i="1"/>
  <c r="Z316" i="1"/>
  <c r="BN316" i="1"/>
  <c r="Z331" i="1"/>
  <c r="BN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BP424" i="1"/>
  <c r="BN424" i="1"/>
  <c r="Z424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Q524" i="1"/>
  <c r="Y339" i="1"/>
  <c r="Y338" i="1"/>
  <c r="Y524" i="1"/>
  <c r="Y33" i="1"/>
  <c r="Y49" i="1"/>
  <c r="Y80" i="1"/>
  <c r="Y86" i="1"/>
  <c r="Y115" i="1"/>
  <c r="Y123" i="1"/>
  <c r="Y134" i="1"/>
  <c r="Y140" i="1"/>
  <c r="Y144" i="1"/>
  <c r="Y179" i="1"/>
  <c r="Y190" i="1"/>
  <c r="Y206" i="1"/>
  <c r="Y218" i="1"/>
  <c r="Y222" i="1"/>
  <c r="BP247" i="1"/>
  <c r="BN247" i="1"/>
  <c r="Z247" i="1"/>
  <c r="BP251" i="1"/>
  <c r="BN251" i="1"/>
  <c r="Z251" i="1"/>
  <c r="Y253" i="1"/>
  <c r="L524" i="1"/>
  <c r="Y261" i="1"/>
  <c r="BP256" i="1"/>
  <c r="BN256" i="1"/>
  <c r="Z256" i="1"/>
  <c r="BP260" i="1"/>
  <c r="BN260" i="1"/>
  <c r="Z260" i="1"/>
  <c r="Y262" i="1"/>
  <c r="M524" i="1"/>
  <c r="Y269" i="1"/>
  <c r="BP265" i="1"/>
  <c r="BN265" i="1"/>
  <c r="Z265" i="1"/>
  <c r="BP268" i="1"/>
  <c r="BN268" i="1"/>
  <c r="Z268" i="1"/>
  <c r="Y270" i="1"/>
  <c r="O524" i="1"/>
  <c r="Y276" i="1"/>
  <c r="BP273" i="1"/>
  <c r="BN273" i="1"/>
  <c r="Z273" i="1"/>
  <c r="BP343" i="1"/>
  <c r="BN343" i="1"/>
  <c r="Z343" i="1"/>
  <c r="Y34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Y388" i="1"/>
  <c r="H9" i="1"/>
  <c r="A10" i="1"/>
  <c r="Y37" i="1"/>
  <c r="Y45" i="1"/>
  <c r="Y58" i="1"/>
  <c r="Y66" i="1"/>
  <c r="Y72" i="1"/>
  <c r="Y93" i="1"/>
  <c r="Y102" i="1"/>
  <c r="Y109" i="1"/>
  <c r="Y129" i="1"/>
  <c r="Y155" i="1"/>
  <c r="Y173" i="1"/>
  <c r="Y194" i="1"/>
  <c r="F9" i="1"/>
  <c r="J9" i="1"/>
  <c r="B524" i="1"/>
  <c r="X515" i="1"/>
  <c r="X516" i="1"/>
  <c r="X518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Y150" i="1"/>
  <c r="Z153" i="1"/>
  <c r="Z155" i="1" s="1"/>
  <c r="BN153" i="1"/>
  <c r="I524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4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4" i="1"/>
  <c r="Y234" i="1"/>
  <c r="Z227" i="1"/>
  <c r="BN227" i="1"/>
  <c r="Z229" i="1"/>
  <c r="BN229" i="1"/>
  <c r="Z231" i="1"/>
  <c r="BN231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4" i="1"/>
  <c r="Y281" i="1"/>
  <c r="BP280" i="1"/>
  <c r="BN280" i="1"/>
  <c r="Z280" i="1"/>
  <c r="Z281" i="1" s="1"/>
  <c r="Y282" i="1"/>
  <c r="Y286" i="1"/>
  <c r="Y285" i="1"/>
  <c r="BP284" i="1"/>
  <c r="BN284" i="1"/>
  <c r="Z284" i="1"/>
  <c r="Z285" i="1" s="1"/>
  <c r="BP295" i="1"/>
  <c r="BN295" i="1"/>
  <c r="Z295" i="1"/>
  <c r="BP299" i="1"/>
  <c r="BN299" i="1"/>
  <c r="Z299" i="1"/>
  <c r="Y301" i="1"/>
  <c r="Y310" i="1"/>
  <c r="BP303" i="1"/>
  <c r="BN303" i="1"/>
  <c r="Z303" i="1"/>
  <c r="Y311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Y332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Y367" i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5" i="1"/>
  <c r="BN445" i="1"/>
  <c r="Z445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7" i="1"/>
  <c r="BN487" i="1"/>
  <c r="Z487" i="1"/>
  <c r="BP489" i="1"/>
  <c r="BN489" i="1"/>
  <c r="Z489" i="1"/>
  <c r="Y491" i="1"/>
  <c r="Y500" i="1"/>
  <c r="BP498" i="1"/>
  <c r="BN498" i="1"/>
  <c r="Z498" i="1"/>
  <c r="Y501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Z318" i="1" s="1"/>
  <c r="BP317" i="1"/>
  <c r="BN317" i="1"/>
  <c r="Z317" i="1"/>
  <c r="Y319" i="1"/>
  <c r="Y324" i="1"/>
  <c r="BP321" i="1"/>
  <c r="BN321" i="1"/>
  <c r="Z321" i="1"/>
  <c r="Z324" i="1" s="1"/>
  <c r="Y333" i="1"/>
  <c r="Z338" i="1"/>
  <c r="BP336" i="1"/>
  <c r="BN336" i="1"/>
  <c r="Z336" i="1"/>
  <c r="S524" i="1"/>
  <c r="BP351" i="1"/>
  <c r="BN351" i="1"/>
  <c r="Z351" i="1"/>
  <c r="BP355" i="1"/>
  <c r="BN355" i="1"/>
  <c r="Z355" i="1"/>
  <c r="Y362" i="1"/>
  <c r="BP376" i="1"/>
  <c r="BN376" i="1"/>
  <c r="Z376" i="1"/>
  <c r="Z379" i="1" s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4" i="1"/>
  <c r="BP423" i="1"/>
  <c r="BN423" i="1"/>
  <c r="Z423" i="1"/>
  <c r="BP443" i="1"/>
  <c r="BN443" i="1"/>
  <c r="Z443" i="1"/>
  <c r="BP447" i="1"/>
  <c r="BN447" i="1"/>
  <c r="Z447" i="1"/>
  <c r="U524" i="1"/>
  <c r="R524" i="1"/>
  <c r="Y300" i="1"/>
  <c r="Y346" i="1"/>
  <c r="T524" i="1"/>
  <c r="Y358" i="1"/>
  <c r="V524" i="1"/>
  <c r="Y407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0" i="1"/>
  <c r="BP486" i="1"/>
  <c r="BN486" i="1"/>
  <c r="Z486" i="1"/>
  <c r="BP488" i="1"/>
  <c r="BN488" i="1"/>
  <c r="Z488" i="1"/>
  <c r="BP499" i="1"/>
  <c r="BN499" i="1"/>
  <c r="Z499" i="1"/>
  <c r="AB524" i="1"/>
  <c r="Y512" i="1"/>
  <c r="BP511" i="1"/>
  <c r="BN511" i="1"/>
  <c r="Z511" i="1"/>
  <c r="Z512" i="1" s="1"/>
  <c r="Y513" i="1"/>
  <c r="AA524" i="1"/>
  <c r="Z300" i="1" l="1"/>
  <c r="Z173" i="1"/>
  <c r="Z123" i="1"/>
  <c r="Z101" i="1"/>
  <c r="Z65" i="1"/>
  <c r="Y518" i="1"/>
  <c r="Y516" i="1"/>
  <c r="Z32" i="1"/>
  <c r="Z407" i="1"/>
  <c r="Z357" i="1"/>
  <c r="Z453" i="1"/>
  <c r="Z233" i="1"/>
  <c r="Z205" i="1"/>
  <c r="Y515" i="1"/>
  <c r="Y517" i="1" s="1"/>
  <c r="Z388" i="1"/>
  <c r="Z345" i="1"/>
  <c r="Z507" i="1"/>
  <c r="Z483" i="1"/>
  <c r="Z500" i="1"/>
  <c r="Z475" i="1"/>
  <c r="Z459" i="1"/>
  <c r="Z310" i="1"/>
  <c r="X517" i="1"/>
  <c r="Z276" i="1"/>
  <c r="Z261" i="1"/>
  <c r="Z490" i="1"/>
  <c r="Z469" i="1"/>
  <c r="Z425" i="1"/>
  <c r="Z252" i="1"/>
  <c r="Z217" i="1"/>
  <c r="Z80" i="1"/>
  <c r="Z44" i="1"/>
  <c r="Y514" i="1"/>
  <c r="Z269" i="1"/>
  <c r="Z519" i="1" l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<sst xmlns="http://schemas.openxmlformats.org/spreadsheetml/2006/main" count="2311" uniqueCount="818">
  <si>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</si>
  <si>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</si>
  <si>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</si>
  <si>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</si>
  <si>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</si>
  <si>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</si>
  <si>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</si>
  <si>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</si>
  <si>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</si>
  <si>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</si>
  <si>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загрузить отдельно, подписать №1, машина 6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</si>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</sst>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78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8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6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66" customWidth="1"/>
    <col min="19" max="19" width="6.140625" style="566" customWidth="1"/>
    <col min="20" max="20" width="10.85546875" style="568" customWidth="1"/>
    <col min="21" max="21" width="10.42578125" style="568" customWidth="1"/>
    <col min="22" max="22" width="9.42578125" style="568" customWidth="1"/>
    <col min="23" max="23" width="8.42578125" style="568" customWidth="1"/>
    <col min="24" max="24" width="10" style="566" customWidth="1"/>
    <col min="25" max="25" width="11" style="566" customWidth="1"/>
    <col min="26" max="26" width="10" style="566" customWidth="1"/>
    <col min="27" max="27" width="11.5703125" style="566" customWidth="1"/>
    <col min="28" max="28" width="10.42578125" style="566" customWidth="1"/>
    <col min="29" max="29" width="30" style="566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66" customWidth="1"/>
    <col min="34" max="35" width="9.140625" style="566" customWidth="1"/>
    <col min="36" max="16384" width="9.140625" style="566"/>
  </cols>
  <sheetData>
    <row r="1" spans="1:32" s="569" customFormat="1" ht="45" customHeight="1" x14ac:dyDescent="0.2">
      <c r="A1" s="40"/>
      <c r="B1" s="40"/>
      <c r="C1" s="40"/>
      <c r="D1" s="660" t="s">
        <v>0</v>
      </c>
      <c r="E1" s="607"/>
      <c r="F1" s="607"/>
      <c r="G1" s="11" t="s">
        <v>1</v>
      </c>
      <c r="H1" s="660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5"/>
      <c r="Y2" s="15"/>
      <c r="Z2" s="15"/>
      <c r="AA2" s="15"/>
      <c r="AB2" s="50"/>
      <c r="AC2" s="50"/>
      <c r="AD2" s="50"/>
      <c r="AE2" s="50"/>
    </row>
    <row r="3" spans="1:32" s="5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88"/>
      <c r="Q3" s="588"/>
      <c r="R3" s="588"/>
      <c r="S3" s="588"/>
      <c r="T3" s="588"/>
      <c r="U3" s="588"/>
      <c r="V3" s="588"/>
      <c r="W3" s="588"/>
      <c r="X3" s="15"/>
      <c r="Y3" s="15"/>
      <c r="Z3" s="15"/>
      <c r="AA3" s="15"/>
      <c r="AB3" s="50"/>
      <c r="AC3" s="50"/>
      <c r="AD3" s="50"/>
      <c r="AE3" s="50"/>
    </row>
    <row r="4" spans="1:32" s="5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69" customFormat="1" ht="23.45" customHeight="1" x14ac:dyDescent="0.2">
      <c r="A5" s="710" t="s">
        <v>8</v>
      </c>
      <c r="B5" s="635"/>
      <c r="C5" s="636"/>
      <c r="D5" s="664"/>
      <c r="E5" s="665"/>
      <c r="F5" s="881" t="s">
        <v>9</v>
      </c>
      <c r="G5" s="636"/>
      <c r="H5" s="664" t="s">
        <v>10</v>
      </c>
      <c r="I5" s="837"/>
      <c r="J5" s="837"/>
      <c r="K5" s="837"/>
      <c r="L5" s="837"/>
      <c r="M5" s="665"/>
      <c r="N5" s="57"/>
      <c r="P5" s="23" t="s">
        <v>11</v>
      </c>
      <c r="Q5" s="890">
        <v>45827</v>
      </c>
      <c r="R5" s="695"/>
      <c r="T5" s="761" t="s">
        <v>12</v>
      </c>
      <c r="U5" s="762"/>
      <c r="V5" s="764" t="s">
        <v>13</v>
      </c>
      <c r="W5" s="695"/>
      <c r="AB5" s="50"/>
      <c r="AC5" s="50"/>
      <c r="AD5" s="50"/>
      <c r="AE5" s="50"/>
    </row>
    <row r="6" spans="1:32" s="569" customFormat="1" ht="24" customHeight="1" x14ac:dyDescent="0.2">
      <c r="A6" s="710" t="s">
        <v>14</v>
      </c>
      <c r="B6" s="635"/>
      <c r="C6" s="636"/>
      <c r="D6" s="839" t="s">
        <v>15</v>
      </c>
      <c r="E6" s="840"/>
      <c r="F6" s="840"/>
      <c r="G6" s="840"/>
      <c r="H6" s="840"/>
      <c r="I6" s="840"/>
      <c r="J6" s="840"/>
      <c r="K6" s="840"/>
      <c r="L6" s="840"/>
      <c r="M6" s="695"/>
      <c r="N6" s="58"/>
      <c r="P6" s="23" t="s">
        <v>16</v>
      </c>
      <c r="Q6" s="897" t="str">
        <f>IF(Q5=0," ",CHOOSE(WEEKDAY(Q5,2),"Понедельник","Вторник","Среда","Четверг","Пятница","Суббота","Воскресенье"))</f>
        <v>Четверг</v>
      </c>
      <c r="R6" s="595"/>
      <c r="T6" s="771" t="s">
        <v>17</v>
      </c>
      <c r="U6" s="762"/>
      <c r="V6" s="818" t="s">
        <v>18</v>
      </c>
      <c r="W6" s="623"/>
      <c r="AB6" s="50"/>
      <c r="AC6" s="50"/>
      <c r="AD6" s="50"/>
      <c r="AE6" s="50"/>
    </row>
    <row r="7" spans="1:32" s="569" customFormat="1" ht="21.75" hidden="1" customHeight="1" x14ac:dyDescent="0.2">
      <c r="A7" s="54"/>
      <c r="B7" s="54"/>
      <c r="C7" s="54"/>
      <c r="D7" s="645" t="str">
        <f>IFERROR(VLOOKUP(DeliveryAddress,Table,3,0),1)</f>
        <v>1</v>
      </c>
      <c r="E7" s="646"/>
      <c r="F7" s="646"/>
      <c r="G7" s="646"/>
      <c r="H7" s="646"/>
      <c r="I7" s="646"/>
      <c r="J7" s="646"/>
      <c r="K7" s="646"/>
      <c r="L7" s="646"/>
      <c r="M7" s="647"/>
      <c r="N7" s="59"/>
      <c r="P7" s="23"/>
      <c r="Q7" s="41"/>
      <c r="R7" s="41"/>
      <c r="T7" s="588"/>
      <c r="U7" s="762"/>
      <c r="V7" s="819"/>
      <c r="W7" s="820"/>
      <c r="AB7" s="50"/>
      <c r="AC7" s="50"/>
      <c r="AD7" s="50"/>
      <c r="AE7" s="50"/>
    </row>
    <row r="8" spans="1:32" s="569" customFormat="1" ht="25.5" customHeight="1" x14ac:dyDescent="0.2">
      <c r="A8" s="906" t="s">
        <v>19</v>
      </c>
      <c r="B8" s="585"/>
      <c r="C8" s="586"/>
      <c r="D8" s="653" t="s">
        <v>20</v>
      </c>
      <c r="E8" s="654"/>
      <c r="F8" s="654"/>
      <c r="G8" s="654"/>
      <c r="H8" s="654"/>
      <c r="I8" s="654"/>
      <c r="J8" s="654"/>
      <c r="K8" s="654"/>
      <c r="L8" s="654"/>
      <c r="M8" s="655"/>
      <c r="N8" s="60"/>
      <c r="P8" s="23" t="s">
        <v>21</v>
      </c>
      <c r="Q8" s="696">
        <v>0.625</v>
      </c>
      <c r="R8" s="647"/>
      <c r="T8" s="588"/>
      <c r="U8" s="762"/>
      <c r="V8" s="819"/>
      <c r="W8" s="820"/>
      <c r="AB8" s="50"/>
      <c r="AC8" s="50"/>
      <c r="AD8" s="50"/>
      <c r="AE8" s="50"/>
    </row>
    <row r="9" spans="1:32" s="569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2"/>
      <c r="E9" s="591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67"/>
      <c r="P9" s="25" t="s">
        <v>22</v>
      </c>
      <c r="Q9" s="691"/>
      <c r="R9" s="692"/>
      <c r="T9" s="588"/>
      <c r="U9" s="762"/>
      <c r="V9" s="821"/>
      <c r="W9" s="822"/>
      <c r="X9" s="42"/>
      <c r="Y9" s="42"/>
      <c r="Z9" s="42"/>
      <c r="AA9" s="42"/>
      <c r="AB9" s="50"/>
      <c r="AC9" s="50"/>
      <c r="AD9" s="50"/>
      <c r="AE9" s="50"/>
    </row>
    <row r="10" spans="1:32" s="569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2"/>
      <c r="E10" s="591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11" t="str">
        <f>IFERROR(VLOOKUP($D$10,Proxy,2,FALSE),"")</f>
        <v/>
      </c>
      <c r="I10" s="588"/>
      <c r="J10" s="588"/>
      <c r="K10" s="588"/>
      <c r="L10" s="588"/>
      <c r="M10" s="588"/>
      <c r="N10" s="572"/>
      <c r="P10" s="25" t="s">
        <v>23</v>
      </c>
      <c r="Q10" s="772"/>
      <c r="R10" s="773"/>
      <c r="U10" s="23" t="s">
        <v>24</v>
      </c>
      <c r="V10" s="622" t="s">
        <v>25</v>
      </c>
      <c r="W10" s="623"/>
      <c r="X10" s="43"/>
      <c r="Y10" s="43"/>
      <c r="Z10" s="43"/>
      <c r="AA10" s="43"/>
      <c r="AB10" s="50"/>
      <c r="AC10" s="50"/>
      <c r="AD10" s="50"/>
      <c r="AE10" s="50"/>
    </row>
    <row r="11" spans="1:32" s="569" customFormat="1" ht="15.95" customHeight="1" x14ac:dyDescent="0.2">
      <c r="A11" s="27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27</v>
      </c>
      <c r="Q11" s="694"/>
      <c r="R11" s="695"/>
      <c r="U11" s="23" t="s">
        <v>28</v>
      </c>
      <c r="V11" s="854" t="s">
        <v>29</v>
      </c>
      <c r="W11" s="692"/>
      <c r="X11" s="44"/>
      <c r="Y11" s="44"/>
      <c r="Z11" s="44"/>
      <c r="AA11" s="44"/>
      <c r="AB11" s="50"/>
      <c r="AC11" s="50"/>
      <c r="AD11" s="50"/>
      <c r="AE11" s="50"/>
    </row>
    <row r="12" spans="1:32" s="569" customFormat="1" ht="18.600000000000001" customHeight="1" x14ac:dyDescent="0.2">
      <c r="A12" s="702" t="s">
        <v>30</v>
      </c>
      <c r="B12" s="635"/>
      <c r="C12" s="635"/>
      <c r="D12" s="635"/>
      <c r="E12" s="635"/>
      <c r="F12" s="635"/>
      <c r="G12" s="635"/>
      <c r="H12" s="635"/>
      <c r="I12" s="635"/>
      <c r="J12" s="635"/>
      <c r="K12" s="635"/>
      <c r="L12" s="635"/>
      <c r="M12" s="636"/>
      <c r="N12" s="61"/>
      <c r="P12" s="23" t="s">
        <v>31</v>
      </c>
      <c r="Q12" s="696"/>
      <c r="R12" s="647"/>
      <c r="S12" s="22"/>
      <c r="U12" s="23"/>
      <c r="V12" s="607"/>
      <c r="W12" s="588"/>
      <c r="AB12" s="50"/>
      <c r="AC12" s="50"/>
      <c r="AD12" s="50"/>
      <c r="AE12" s="50"/>
    </row>
    <row r="13" spans="1:32" s="569" customFormat="1" ht="23.25" customHeight="1" x14ac:dyDescent="0.2">
      <c r="A13" s="702" t="s">
        <v>32</v>
      </c>
      <c r="B13" s="635"/>
      <c r="C13" s="635"/>
      <c r="D13" s="635"/>
      <c r="E13" s="635"/>
      <c r="F13" s="635"/>
      <c r="G13" s="635"/>
      <c r="H13" s="635"/>
      <c r="I13" s="635"/>
      <c r="J13" s="635"/>
      <c r="K13" s="635"/>
      <c r="L13" s="635"/>
      <c r="M13" s="636"/>
      <c r="N13" s="61"/>
      <c r="O13" s="25"/>
      <c r="P13" s="25" t="s">
        <v>33</v>
      </c>
      <c r="Q13" s="854"/>
      <c r="R13" s="692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69" customFormat="1" ht="18.600000000000001" customHeight="1" x14ac:dyDescent="0.2">
      <c r="A14" s="702" t="s">
        <v>34</v>
      </c>
      <c r="B14" s="635"/>
      <c r="C14" s="635"/>
      <c r="D14" s="635"/>
      <c r="E14" s="635"/>
      <c r="F14" s="635"/>
      <c r="G14" s="635"/>
      <c r="H14" s="635"/>
      <c r="I14" s="635"/>
      <c r="J14" s="635"/>
      <c r="K14" s="635"/>
      <c r="L14" s="635"/>
      <c r="M14" s="636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69" customFormat="1" ht="22.5" customHeight="1" x14ac:dyDescent="0.2">
      <c r="A15" s="777" t="s">
        <v>35</v>
      </c>
      <c r="B15" s="635"/>
      <c r="C15" s="635"/>
      <c r="D15" s="635"/>
      <c r="E15" s="635"/>
      <c r="F15" s="635"/>
      <c r="G15" s="635"/>
      <c r="H15" s="635"/>
      <c r="I15" s="635"/>
      <c r="J15" s="635"/>
      <c r="K15" s="635"/>
      <c r="L15" s="635"/>
      <c r="M15" s="636"/>
      <c r="N15" s="62"/>
      <c r="P15" s="699" t="s">
        <v>36</v>
      </c>
      <c r="Q15" s="607"/>
      <c r="R15" s="607"/>
      <c r="S15" s="607"/>
      <c r="T15" s="607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700"/>
      <c r="Q16" s="700"/>
      <c r="R16" s="700"/>
      <c r="S16" s="700"/>
      <c r="T16" s="700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619" t="s">
        <v>37</v>
      </c>
      <c r="B17" s="619" t="s">
        <v>38</v>
      </c>
      <c r="C17" s="738" t="s">
        <v>39</v>
      </c>
      <c r="D17" s="619" t="s">
        <v>40</v>
      </c>
      <c r="E17" s="705"/>
      <c r="F17" s="619" t="s">
        <v>41</v>
      </c>
      <c r="G17" s="619" t="s">
        <v>42</v>
      </c>
      <c r="H17" s="619" t="s">
        <v>43</v>
      </c>
      <c r="I17" s="619" t="s">
        <v>44</v>
      </c>
      <c r="J17" s="619" t="s">
        <v>45</v>
      </c>
      <c r="K17" s="619" t="s">
        <v>46</v>
      </c>
      <c r="L17" s="619" t="s">
        <v>47</v>
      </c>
      <c r="M17" s="619" t="s">
        <v>48</v>
      </c>
      <c r="N17" s="619" t="s">
        <v>49</v>
      </c>
      <c r="O17" s="619" t="s">
        <v>50</v>
      </c>
      <c r="P17" s="619" t="s">
        <v>51</v>
      </c>
      <c r="Q17" s="704"/>
      <c r="R17" s="704"/>
      <c r="S17" s="704"/>
      <c r="T17" s="705"/>
      <c r="U17" s="901" t="s">
        <v>52</v>
      </c>
      <c r="V17" s="636"/>
      <c r="W17" s="619" t="s">
        <v>53</v>
      </c>
      <c r="X17" s="619" t="s">
        <v>54</v>
      </c>
      <c r="Y17" s="902" t="s">
        <v>55</v>
      </c>
      <c r="Z17" s="831" t="s">
        <v>56</v>
      </c>
      <c r="AA17" s="809" t="s">
        <v>57</v>
      </c>
      <c r="AB17" s="809" t="s">
        <v>58</v>
      </c>
      <c r="AC17" s="809" t="s">
        <v>59</v>
      </c>
      <c r="AD17" s="809" t="s">
        <v>60</v>
      </c>
      <c r="AE17" s="876"/>
      <c r="AF17" s="877"/>
      <c r="AG17" s="65"/>
      <c r="BD17" s="64" t="s">
        <v>61</v>
      </c>
    </row>
    <row r="18" spans="1:68" ht="14.25" customHeight="1" x14ac:dyDescent="0.2">
      <c r="A18" s="620"/>
      <c r="B18" s="620"/>
      <c r="C18" s="620"/>
      <c r="D18" s="706"/>
      <c r="E18" s="708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706"/>
      <c r="Q18" s="707"/>
      <c r="R18" s="707"/>
      <c r="S18" s="707"/>
      <c r="T18" s="708"/>
      <c r="U18" s="573" t="s">
        <v>62</v>
      </c>
      <c r="V18" s="573" t="s">
        <v>63</v>
      </c>
      <c r="W18" s="620"/>
      <c r="X18" s="620"/>
      <c r="Y18" s="903"/>
      <c r="Z18" s="832"/>
      <c r="AA18" s="810"/>
      <c r="AB18" s="810"/>
      <c r="AC18" s="810"/>
      <c r="AD18" s="878"/>
      <c r="AE18" s="879"/>
      <c r="AF18" s="880"/>
      <c r="AG18" s="65"/>
      <c r="BD18" s="64"/>
    </row>
    <row r="19" spans="1:68" ht="27.75" hidden="1" customHeight="1" x14ac:dyDescent="0.2">
      <c r="A19" s="601" t="s">
        <v>64</v>
      </c>
      <c r="B19" s="602"/>
      <c r="C19" s="602"/>
      <c r="D19" s="602"/>
      <c r="E19" s="602"/>
      <c r="F19" s="602"/>
      <c r="G19" s="602"/>
      <c r="H19" s="602"/>
      <c r="I19" s="602"/>
      <c r="J19" s="602"/>
      <c r="K19" s="602"/>
      <c r="L19" s="602"/>
      <c r="M19" s="602"/>
      <c r="N19" s="602"/>
      <c r="O19" s="602"/>
      <c r="P19" s="602"/>
      <c r="Q19" s="602"/>
      <c r="R19" s="602"/>
      <c r="S19" s="602"/>
      <c r="T19" s="602"/>
      <c r="U19" s="602"/>
      <c r="V19" s="602"/>
      <c r="W19" s="602"/>
      <c r="X19" s="602"/>
      <c r="Y19" s="602"/>
      <c r="Z19" s="602"/>
      <c r="AA19" s="47"/>
      <c r="AB19" s="47"/>
      <c r="AC19" s="47"/>
    </row>
    <row r="20" spans="1:68" ht="16.5" hidden="1" customHeight="1" x14ac:dyDescent="0.25">
      <c r="A20" s="648" t="s">
        <v>64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1"/>
      <c r="AB20" s="571"/>
      <c r="AC20" s="571"/>
    </row>
    <row r="21" spans="1:68" ht="14.25" hidden="1" customHeight="1" x14ac:dyDescent="0.25">
      <c r="A21" s="587" t="s">
        <v>65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65"/>
      <c r="AB21" s="565"/>
      <c r="AC21" s="565"/>
    </row>
    <row r="22" spans="1:68" ht="27" hidden="1" customHeight="1" x14ac:dyDescent="0.25">
      <c r="A22" s="53" t="s">
        <v>66</v>
      </c>
      <c r="B22" s="53" t="s">
        <v>67</v>
      </c>
      <c r="C22" s="30">
        <v>4301031278</v>
      </c>
      <c r="D22" s="594">
        <v>4680115886643</v>
      </c>
      <c r="E22" s="595"/>
      <c r="F22" s="574">
        <v>0.19</v>
      </c>
      <c r="G22" s="31">
        <v>10</v>
      </c>
      <c r="H22" s="574">
        <v>1.9</v>
      </c>
      <c r="I22" s="574">
        <v>2</v>
      </c>
      <c r="J22" s="31">
        <v>234</v>
      </c>
      <c r="K22" s="31" t="s">
        <v>68</v>
      </c>
      <c r="L22" s="31"/>
      <c r="M22" s="32" t="s">
        <v>69</v>
      </c>
      <c r="N22" s="32"/>
      <c r="O22" s="31">
        <v>40</v>
      </c>
      <c r="P22" s="827" t="s">
        <v>70</v>
      </c>
      <c r="Q22" s="580"/>
      <c r="R22" s="580"/>
      <c r="S22" s="580"/>
      <c r="T22" s="581"/>
      <c r="U22" s="33"/>
      <c r="V22" s="33"/>
      <c r="W22" s="34" t="s">
        <v>71</v>
      </c>
      <c r="X22" s="575">
        <v>0</v>
      </c>
      <c r="Y22" s="5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72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592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3"/>
      <c r="P23" s="584" t="s">
        <v>73</v>
      </c>
      <c r="Q23" s="585"/>
      <c r="R23" s="585"/>
      <c r="S23" s="585"/>
      <c r="T23" s="585"/>
      <c r="U23" s="585"/>
      <c r="V23" s="586"/>
      <c r="W23" s="36" t="s">
        <v>74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3"/>
      <c r="P24" s="584" t="s">
        <v>73</v>
      </c>
      <c r="Q24" s="585"/>
      <c r="R24" s="585"/>
      <c r="S24" s="585"/>
      <c r="T24" s="585"/>
      <c r="U24" s="585"/>
      <c r="V24" s="586"/>
      <c r="W24" s="36" t="s">
        <v>71</v>
      </c>
      <c r="X24" s="577">
        <f>IFERROR(SUM(X22:X22),"0")</f>
        <v>0</v>
      </c>
      <c r="Y24" s="577">
        <f>IFERROR(SUM(Y22:Y22),"0")</f>
        <v>0</v>
      </c>
      <c r="Z24" s="36"/>
      <c r="AA24" s="578"/>
      <c r="AB24" s="578"/>
      <c r="AC24" s="578"/>
    </row>
    <row r="25" spans="1:68" ht="14.25" hidden="1" customHeight="1" x14ac:dyDescent="0.25">
      <c r="A25" s="587" t="s">
        <v>75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65"/>
      <c r="AB25" s="565"/>
      <c r="AC25" s="565"/>
    </row>
    <row r="26" spans="1:68" ht="27" hidden="1" customHeight="1" x14ac:dyDescent="0.25">
      <c r="A26" s="53" t="s">
        <v>76</v>
      </c>
      <c r="B26" s="53" t="s">
        <v>77</v>
      </c>
      <c r="C26" s="30">
        <v>4301051866</v>
      </c>
      <c r="D26" s="594">
        <v>4680115885912</v>
      </c>
      <c r="E26" s="595"/>
      <c r="F26" s="574">
        <v>0.3</v>
      </c>
      <c r="G26" s="31">
        <v>6</v>
      </c>
      <c r="H26" s="574">
        <v>1.8</v>
      </c>
      <c r="I26" s="574">
        <v>3.18</v>
      </c>
      <c r="J26" s="31">
        <v>182</v>
      </c>
      <c r="K26" s="31" t="s">
        <v>78</v>
      </c>
      <c r="L26" s="31"/>
      <c r="M26" s="32" t="s">
        <v>79</v>
      </c>
      <c r="N26" s="32"/>
      <c r="O26" s="31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3"/>
      <c r="V26" s="33"/>
      <c r="W26" s="34" t="s">
        <v>71</v>
      </c>
      <c r="X26" s="575">
        <v>0</v>
      </c>
      <c r="Y26" s="576">
        <f t="shared" ref="Y26:Y31" si="0">IFERROR(IF(X26="",0,CEILING((X26/$H26),1)*$H26),"")</f>
        <v>0</v>
      </c>
      <c r="Z26" s="35" t="str">
        <f t="shared" ref="Z26:Z31" si="1">IFERROR(IF(Y26=0,"",ROUNDUP(Y26/H26,0)*0.00651),"")</f>
        <v/>
      </c>
      <c r="AA26" s="55"/>
      <c r="AB26" s="56"/>
      <c r="AC26" s="69" t="s">
        <v>80</v>
      </c>
      <c r="AG26" s="63"/>
      <c r="AJ26" s="66"/>
      <c r="AK26" s="66">
        <v>0</v>
      </c>
      <c r="BB26" s="70" t="s">
        <v>1</v>
      </c>
      <c r="BM26" s="63">
        <f t="shared" ref="BM26:BM31" si="2">IFERROR(X26*I26/H26,"0")</f>
        <v>0</v>
      </c>
      <c r="BN26" s="63">
        <f t="shared" ref="BN26:BN31" si="3">IFERROR(Y26*I26/H26,"0")</f>
        <v>0</v>
      </c>
      <c r="BO26" s="63">
        <f t="shared" ref="BO26:BO31" si="4">IFERROR(1/J26*(X26/H26),"0")</f>
        <v>0</v>
      </c>
      <c r="BP26" s="63">
        <f t="shared" ref="BP26:BP31" si="5">IFERROR(1/J26*(Y26/H26),"0")</f>
        <v>0</v>
      </c>
    </row>
    <row r="27" spans="1:68" ht="27" hidden="1" customHeight="1" x14ac:dyDescent="0.25">
      <c r="A27" s="53" t="s">
        <v>81</v>
      </c>
      <c r="B27" s="53" t="s">
        <v>82</v>
      </c>
      <c r="C27" s="30">
        <v>4301051556</v>
      </c>
      <c r="D27" s="594">
        <v>4607091388237</v>
      </c>
      <c r="E27" s="595"/>
      <c r="F27" s="574">
        <v>0.42</v>
      </c>
      <c r="G27" s="31">
        <v>6</v>
      </c>
      <c r="H27" s="574">
        <v>2.52</v>
      </c>
      <c r="I27" s="574">
        <v>2.766</v>
      </c>
      <c r="J27" s="31">
        <v>182</v>
      </c>
      <c r="K27" s="31" t="s">
        <v>78</v>
      </c>
      <c r="L27" s="31"/>
      <c r="M27" s="32" t="s">
        <v>79</v>
      </c>
      <c r="N27" s="32"/>
      <c r="O27" s="31">
        <v>40</v>
      </c>
      <c r="P27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3"/>
      <c r="V27" s="33"/>
      <c r="W27" s="34" t="s">
        <v>71</v>
      </c>
      <c r="X27" s="575">
        <v>0</v>
      </c>
      <c r="Y27" s="576">
        <f t="shared" si="0"/>
        <v>0</v>
      </c>
      <c r="Z27" s="35" t="str">
        <f t="shared" si="1"/>
        <v/>
      </c>
      <c r="AA27" s="55"/>
      <c r="AB27" s="56"/>
      <c r="AC27" s="71" t="s">
        <v>80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83</v>
      </c>
      <c r="B28" s="53" t="s">
        <v>84</v>
      </c>
      <c r="C28" s="30">
        <v>4301051907</v>
      </c>
      <c r="D28" s="594">
        <v>4680115886230</v>
      </c>
      <c r="E28" s="595"/>
      <c r="F28" s="574">
        <v>0.3</v>
      </c>
      <c r="G28" s="31">
        <v>6</v>
      </c>
      <c r="H28" s="574">
        <v>1.8</v>
      </c>
      <c r="I28" s="574">
        <v>2.0459999999999998</v>
      </c>
      <c r="J28" s="31">
        <v>182</v>
      </c>
      <c r="K28" s="31" t="s">
        <v>78</v>
      </c>
      <c r="L28" s="31"/>
      <c r="M28" s="32" t="s">
        <v>69</v>
      </c>
      <c r="N28" s="32"/>
      <c r="O28" s="31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3"/>
      <c r="V28" s="33"/>
      <c r="W28" s="34" t="s">
        <v>71</v>
      </c>
      <c r="X28" s="575">
        <v>0</v>
      </c>
      <c r="Y28" s="576">
        <f t="shared" si="0"/>
        <v>0</v>
      </c>
      <c r="Z28" s="35" t="str">
        <f t="shared" si="1"/>
        <v/>
      </c>
      <c r="AA28" s="55"/>
      <c r="AB28" s="56"/>
      <c r="AC28" s="73" t="s">
        <v>85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86</v>
      </c>
      <c r="B29" s="53" t="s">
        <v>87</v>
      </c>
      <c r="C29" s="30">
        <v>4301051909</v>
      </c>
      <c r="D29" s="594">
        <v>4680115886247</v>
      </c>
      <c r="E29" s="595"/>
      <c r="F29" s="574">
        <v>0.3</v>
      </c>
      <c r="G29" s="31">
        <v>6</v>
      </c>
      <c r="H29" s="574">
        <v>1.8</v>
      </c>
      <c r="I29" s="574">
        <v>2.0459999999999998</v>
      </c>
      <c r="J29" s="31">
        <v>182</v>
      </c>
      <c r="K29" s="31" t="s">
        <v>78</v>
      </c>
      <c r="L29" s="31"/>
      <c r="M29" s="32" t="s">
        <v>69</v>
      </c>
      <c r="N29" s="32"/>
      <c r="O29" s="31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3"/>
      <c r="V29" s="33"/>
      <c r="W29" s="34" t="s">
        <v>71</v>
      </c>
      <c r="X29" s="575">
        <v>0</v>
      </c>
      <c r="Y29" s="576">
        <f t="shared" si="0"/>
        <v>0</v>
      </c>
      <c r="Z29" s="35" t="str">
        <f t="shared" si="1"/>
        <v/>
      </c>
      <c r="AA29" s="55"/>
      <c r="AB29" s="56"/>
      <c r="AC29" s="75" t="s">
        <v>88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89</v>
      </c>
      <c r="B30" s="53" t="s">
        <v>90</v>
      </c>
      <c r="C30" s="30">
        <v>4301051861</v>
      </c>
      <c r="D30" s="594">
        <v>4680115885905</v>
      </c>
      <c r="E30" s="595"/>
      <c r="F30" s="574">
        <v>0.3</v>
      </c>
      <c r="G30" s="31">
        <v>6</v>
      </c>
      <c r="H30" s="574">
        <v>1.8</v>
      </c>
      <c r="I30" s="574">
        <v>3.18</v>
      </c>
      <c r="J30" s="31">
        <v>182</v>
      </c>
      <c r="K30" s="31" t="s">
        <v>78</v>
      </c>
      <c r="L30" s="31"/>
      <c r="M30" s="32" t="s">
        <v>69</v>
      </c>
      <c r="N30" s="32"/>
      <c r="O30" s="31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3"/>
      <c r="V30" s="33"/>
      <c r="W30" s="34" t="s">
        <v>71</v>
      </c>
      <c r="X30" s="575">
        <v>0</v>
      </c>
      <c r="Y30" s="5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4301051595</v>
      </c>
      <c r="D31" s="594">
        <v>4607091388244</v>
      </c>
      <c r="E31" s="595"/>
      <c r="F31" s="574">
        <v>0.42</v>
      </c>
      <c r="G31" s="31">
        <v>6</v>
      </c>
      <c r="H31" s="574">
        <v>2.52</v>
      </c>
      <c r="I31" s="574">
        <v>2.766</v>
      </c>
      <c r="J31" s="31">
        <v>182</v>
      </c>
      <c r="K31" s="31" t="s">
        <v>78</v>
      </c>
      <c r="L31" s="31"/>
      <c r="M31" s="32" t="s">
        <v>94</v>
      </c>
      <c r="N31" s="32"/>
      <c r="O31" s="31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3"/>
      <c r="V31" s="33"/>
      <c r="W31" s="34" t="s">
        <v>71</v>
      </c>
      <c r="X31" s="575">
        <v>0</v>
      </c>
      <c r="Y31" s="5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idden="1" x14ac:dyDescent="0.2">
      <c r="A32" s="592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3"/>
      <c r="P32" s="584" t="s">
        <v>73</v>
      </c>
      <c r="Q32" s="585"/>
      <c r="R32" s="585"/>
      <c r="S32" s="585"/>
      <c r="T32" s="585"/>
      <c r="U32" s="585"/>
      <c r="V32" s="586"/>
      <c r="W32" s="36" t="s">
        <v>74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3"/>
      <c r="P33" s="584" t="s">
        <v>73</v>
      </c>
      <c r="Q33" s="585"/>
      <c r="R33" s="585"/>
      <c r="S33" s="585"/>
      <c r="T33" s="585"/>
      <c r="U33" s="585"/>
      <c r="V33" s="586"/>
      <c r="W33" s="36" t="s">
        <v>71</v>
      </c>
      <c r="X33" s="577">
        <f>IFERROR(SUM(X26:X31),"0")</f>
        <v>0</v>
      </c>
      <c r="Y33" s="577">
        <f>IFERROR(SUM(Y26:Y31),"0")</f>
        <v>0</v>
      </c>
      <c r="Z33" s="36"/>
      <c r="AA33" s="578"/>
      <c r="AB33" s="578"/>
      <c r="AC33" s="578"/>
    </row>
    <row r="34" spans="1:68" ht="14.25" hidden="1" customHeight="1" x14ac:dyDescent="0.25">
      <c r="A34" s="587" t="s">
        <v>96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65"/>
      <c r="AB34" s="565"/>
      <c r="AC34" s="565"/>
    </row>
    <row r="35" spans="1:68" ht="27" hidden="1" customHeight="1" x14ac:dyDescent="0.25">
      <c r="A35" s="53" t="s">
        <v>97</v>
      </c>
      <c r="B35" s="53" t="s">
        <v>98</v>
      </c>
      <c r="C35" s="30">
        <v>4301032013</v>
      </c>
      <c r="D35" s="594">
        <v>4607091388503</v>
      </c>
      <c r="E35" s="595"/>
      <c r="F35" s="574">
        <v>0.05</v>
      </c>
      <c r="G35" s="31">
        <v>12</v>
      </c>
      <c r="H35" s="574">
        <v>0.6</v>
      </c>
      <c r="I35" s="574">
        <v>0.82199999999999995</v>
      </c>
      <c r="J35" s="31">
        <v>182</v>
      </c>
      <c r="K35" s="31" t="s">
        <v>78</v>
      </c>
      <c r="L35" s="31"/>
      <c r="M35" s="32" t="s">
        <v>99</v>
      </c>
      <c r="N35" s="32"/>
      <c r="O35" s="31">
        <v>120</v>
      </c>
      <c r="P35" s="8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3"/>
      <c r="V35" s="33"/>
      <c r="W35" s="34" t="s">
        <v>71</v>
      </c>
      <c r="X35" s="575">
        <v>0</v>
      </c>
      <c r="Y35" s="576">
        <f>IFERROR(IF(X35="",0,CEILING((X35/$H35),1)*$H35),"")</f>
        <v>0</v>
      </c>
      <c r="Z35" s="35" t="str">
        <f>IFERROR(IF(Y35=0,"",ROUNDUP(Y35/H35,0)*0.00651),"")</f>
        <v/>
      </c>
      <c r="AA35" s="55"/>
      <c r="AB35" s="56"/>
      <c r="AC35" s="81" t="s">
        <v>100</v>
      </c>
      <c r="AG35" s="63"/>
      <c r="AJ35" s="66"/>
      <c r="AK35" s="66">
        <v>0</v>
      </c>
      <c r="BB35" s="82" t="s">
        <v>101</v>
      </c>
      <c r="BM35" s="63">
        <f>IFERROR(X35*I35/H35,"0")</f>
        <v>0</v>
      </c>
      <c r="BN35" s="63">
        <f>IFERROR(Y35*I35/H35,"0")</f>
        <v>0</v>
      </c>
      <c r="BO35" s="63">
        <f>IFERROR(1/J35*(X35/H35),"0")</f>
        <v>0</v>
      </c>
      <c r="BP35" s="63">
        <f>IFERROR(1/J35*(Y35/H35),"0")</f>
        <v>0</v>
      </c>
    </row>
    <row r="36" spans="1:68" hidden="1" x14ac:dyDescent="0.2">
      <c r="A36" s="592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3"/>
      <c r="P36" s="584" t="s">
        <v>73</v>
      </c>
      <c r="Q36" s="585"/>
      <c r="R36" s="585"/>
      <c r="S36" s="585"/>
      <c r="T36" s="585"/>
      <c r="U36" s="585"/>
      <c r="V36" s="586"/>
      <c r="W36" s="36" t="s">
        <v>74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3"/>
      <c r="P37" s="584" t="s">
        <v>73</v>
      </c>
      <c r="Q37" s="585"/>
      <c r="R37" s="585"/>
      <c r="S37" s="585"/>
      <c r="T37" s="585"/>
      <c r="U37" s="585"/>
      <c r="V37" s="586"/>
      <c r="W37" s="36" t="s">
        <v>71</v>
      </c>
      <c r="X37" s="577">
        <f>IFERROR(SUM(X35:X35),"0")</f>
        <v>0</v>
      </c>
      <c r="Y37" s="577">
        <f>IFERROR(SUM(Y35:Y35),"0")</f>
        <v>0</v>
      </c>
      <c r="Z37" s="36"/>
      <c r="AA37" s="578"/>
      <c r="AB37" s="578"/>
      <c r="AC37" s="578"/>
    </row>
    <row r="38" spans="1:68" ht="27.75" hidden="1" customHeight="1" x14ac:dyDescent="0.2">
      <c r="A38" s="601" t="s">
        <v>102</v>
      </c>
      <c r="B38" s="602"/>
      <c r="C38" s="602"/>
      <c r="D38" s="602"/>
      <c r="E38" s="602"/>
      <c r="F38" s="602"/>
      <c r="G38" s="602"/>
      <c r="H38" s="602"/>
      <c r="I38" s="602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47"/>
      <c r="AB38" s="47"/>
      <c r="AC38" s="47"/>
    </row>
    <row r="39" spans="1:68" ht="16.5" hidden="1" customHeight="1" x14ac:dyDescent="0.25">
      <c r="A39" s="648" t="s">
        <v>103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1"/>
      <c r="AB39" s="571"/>
      <c r="AC39" s="571"/>
    </row>
    <row r="40" spans="1:68" ht="14.25" hidden="1" customHeight="1" x14ac:dyDescent="0.25">
      <c r="A40" s="587" t="s">
        <v>104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65"/>
      <c r="AB40" s="565"/>
      <c r="AC40" s="565"/>
    </row>
    <row r="41" spans="1:68" ht="16.5" hidden="1" customHeight="1" x14ac:dyDescent="0.25">
      <c r="A41" s="53" t="s">
        <v>105</v>
      </c>
      <c r="B41" s="53" t="s">
        <v>106</v>
      </c>
      <c r="C41" s="30">
        <v>4301011380</v>
      </c>
      <c r="D41" s="594">
        <v>4607091385670</v>
      </c>
      <c r="E41" s="595"/>
      <c r="F41" s="574">
        <v>1.35</v>
      </c>
      <c r="G41" s="31">
        <v>8</v>
      </c>
      <c r="H41" s="574">
        <v>10.8</v>
      </c>
      <c r="I41" s="574">
        <v>11.234999999999999</v>
      </c>
      <c r="J41" s="31">
        <v>64</v>
      </c>
      <c r="K41" s="31" t="s">
        <v>107</v>
      </c>
      <c r="L41" s="31"/>
      <c r="M41" s="32" t="s">
        <v>108</v>
      </c>
      <c r="N41" s="32"/>
      <c r="O41" s="31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3"/>
      <c r="V41" s="33"/>
      <c r="W41" s="34" t="s">
        <v>71</v>
      </c>
      <c r="X41" s="575">
        <v>0</v>
      </c>
      <c r="Y41" s="576">
        <f>IFERROR(IF(X41="",0,CEILING((X41/$H41),1)*$H41),"")</f>
        <v>0</v>
      </c>
      <c r="Z41" s="35" t="str">
        <f>IFERROR(IF(Y41=0,"",ROUNDUP(Y41/H41,0)*0.01898),"")</f>
        <v/>
      </c>
      <c r="AA41" s="55"/>
      <c r="AB41" s="56"/>
      <c r="AC41" s="83" t="s">
        <v>109</v>
      </c>
      <c r="AG41" s="63"/>
      <c r="AJ41" s="66"/>
      <c r="AK41" s="66">
        <v>0</v>
      </c>
      <c r="BB41" s="84" t="s">
        <v>1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t="27" hidden="1" customHeight="1" x14ac:dyDescent="0.25">
      <c r="A42" s="53" t="s">
        <v>110</v>
      </c>
      <c r="B42" s="53" t="s">
        <v>111</v>
      </c>
      <c r="C42" s="30">
        <v>4301011565</v>
      </c>
      <c r="D42" s="594">
        <v>4680115882539</v>
      </c>
      <c r="E42" s="595"/>
      <c r="F42" s="574">
        <v>0.37</v>
      </c>
      <c r="G42" s="31">
        <v>10</v>
      </c>
      <c r="H42" s="574">
        <v>3.7</v>
      </c>
      <c r="I42" s="574">
        <v>3.91</v>
      </c>
      <c r="J42" s="31">
        <v>132</v>
      </c>
      <c r="K42" s="31" t="s">
        <v>112</v>
      </c>
      <c r="L42" s="31"/>
      <c r="M42" s="32" t="s">
        <v>79</v>
      </c>
      <c r="N42" s="32"/>
      <c r="O42" s="31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3"/>
      <c r="V42" s="33"/>
      <c r="W42" s="34" t="s">
        <v>71</v>
      </c>
      <c r="X42" s="575">
        <v>0</v>
      </c>
      <c r="Y42" s="576">
        <f>IFERROR(IF(X42="",0,CEILING((X42/$H42),1)*$H42),"")</f>
        <v>0</v>
      </c>
      <c r="Z42" s="35" t="str">
        <f>IFERROR(IF(Y42=0,"",ROUNDUP(Y42/H42,0)*0.00902),"")</f>
        <v/>
      </c>
      <c r="AA42" s="55"/>
      <c r="AB42" s="56"/>
      <c r="AC42" s="85" t="s">
        <v>109</v>
      </c>
      <c r="AG42" s="63"/>
      <c r="AJ42" s="66"/>
      <c r="AK42" s="66">
        <v>0</v>
      </c>
      <c r="BB42" s="86" t="s">
        <v>1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t="27" customHeight="1" x14ac:dyDescent="0.25">
      <c r="A43" s="53" t="s">
        <v>113</v>
      </c>
      <c r="B43" s="53" t="s">
        <v>114</v>
      </c>
      <c r="C43" s="30">
        <v>4301011382</v>
      </c>
      <c r="D43" s="594">
        <v>4607091385687</v>
      </c>
      <c r="E43" s="595"/>
      <c r="F43" s="574">
        <v>0.4</v>
      </c>
      <c r="G43" s="31">
        <v>10</v>
      </c>
      <c r="H43" s="574">
        <v>4</v>
      </c>
      <c r="I43" s="574">
        <v>4.21</v>
      </c>
      <c r="J43" s="31">
        <v>132</v>
      </c>
      <c r="K43" s="31" t="s">
        <v>112</v>
      </c>
      <c r="L43" s="31" t="s">
        <v>115</v>
      </c>
      <c r="M43" s="32" t="s">
        <v>79</v>
      </c>
      <c r="N43" s="32"/>
      <c r="O43" s="31">
        <v>50</v>
      </c>
      <c r="P43" s="7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3"/>
      <c r="V43" s="33"/>
      <c r="W43" s="34" t="s">
        <v>71</v>
      </c>
      <c r="X43" s="575">
        <v>80</v>
      </c>
      <c r="Y43" s="576">
        <f>IFERROR(IF(X43="",0,CEILING((X43/$H43),1)*$H43),"")</f>
        <v>80</v>
      </c>
      <c r="Z43" s="35">
        <f>IFERROR(IF(Y43=0,"",ROUNDUP(Y43/H43,0)*0.00902),"")</f>
        <v>0.1804</v>
      </c>
      <c r="AA43" s="55"/>
      <c r="AB43" s="56"/>
      <c r="AC43" s="87" t="s">
        <v>109</v>
      </c>
      <c r="AG43" s="63"/>
      <c r="AJ43" s="66" t="s">
        <v>116</v>
      </c>
      <c r="AK43" s="66">
        <v>48</v>
      </c>
      <c r="BB43" s="88" t="s">
        <v>1</v>
      </c>
      <c r="BM43" s="63">
        <f>IFERROR(X43*I43/H43,"0")</f>
        <v>84.2</v>
      </c>
      <c r="BN43" s="63">
        <f>IFERROR(Y43*I43/H43,"0")</f>
        <v>84.2</v>
      </c>
      <c r="BO43" s="63">
        <f>IFERROR(1/J43*(X43/H43),"0")</f>
        <v>0.15151515151515152</v>
      </c>
      <c r="BP43" s="63">
        <f>IFERROR(1/J43*(Y43/H43),"0")</f>
        <v>0.15151515151515152</v>
      </c>
    </row>
    <row r="44" spans="1:68" x14ac:dyDescent="0.2">
      <c r="A44" s="592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3"/>
      <c r="P44" s="584" t="s">
        <v>73</v>
      </c>
      <c r="Q44" s="585"/>
      <c r="R44" s="585"/>
      <c r="S44" s="585"/>
      <c r="T44" s="585"/>
      <c r="U44" s="585"/>
      <c r="V44" s="586"/>
      <c r="W44" s="36" t="s">
        <v>74</v>
      </c>
      <c r="X44" s="577">
        <f>IFERROR(X41/H41,"0")+IFERROR(X42/H42,"0")+IFERROR(X43/H43,"0")</f>
        <v>20</v>
      </c>
      <c r="Y44" s="577">
        <f>IFERROR(Y41/H41,"0")+IFERROR(Y42/H42,"0")+IFERROR(Y43/H43,"0")</f>
        <v>20</v>
      </c>
      <c r="Z44" s="577">
        <f>IFERROR(IF(Z41="",0,Z41),"0")+IFERROR(IF(Z42="",0,Z42),"0")+IFERROR(IF(Z43="",0,Z43),"0")</f>
        <v>0.1804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3"/>
      <c r="P45" s="584" t="s">
        <v>73</v>
      </c>
      <c r="Q45" s="585"/>
      <c r="R45" s="585"/>
      <c r="S45" s="585"/>
      <c r="T45" s="585"/>
      <c r="U45" s="585"/>
      <c r="V45" s="586"/>
      <c r="W45" s="36" t="s">
        <v>71</v>
      </c>
      <c r="X45" s="577">
        <f>IFERROR(SUM(X41:X43),"0")</f>
        <v>80</v>
      </c>
      <c r="Y45" s="577">
        <f>IFERROR(SUM(Y41:Y43),"0")</f>
        <v>80</v>
      </c>
      <c r="Z45" s="36"/>
      <c r="AA45" s="578"/>
      <c r="AB45" s="578"/>
      <c r="AC45" s="578"/>
    </row>
    <row r="46" spans="1:68" ht="14.25" hidden="1" customHeight="1" x14ac:dyDescent="0.25">
      <c r="A46" s="587" t="s">
        <v>75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65"/>
      <c r="AB46" s="565"/>
      <c r="AC46" s="565"/>
    </row>
    <row r="47" spans="1:68" ht="16.5" hidden="1" customHeight="1" x14ac:dyDescent="0.25">
      <c r="A47" s="53" t="s">
        <v>117</v>
      </c>
      <c r="B47" s="53" t="s">
        <v>118</v>
      </c>
      <c r="C47" s="30">
        <v>4301051820</v>
      </c>
      <c r="D47" s="594">
        <v>4680115884915</v>
      </c>
      <c r="E47" s="595"/>
      <c r="F47" s="574">
        <v>0.3</v>
      </c>
      <c r="G47" s="31">
        <v>6</v>
      </c>
      <c r="H47" s="574">
        <v>1.8</v>
      </c>
      <c r="I47" s="574">
        <v>1.98</v>
      </c>
      <c r="J47" s="31">
        <v>182</v>
      </c>
      <c r="K47" s="31" t="s">
        <v>78</v>
      </c>
      <c r="L47" s="31"/>
      <c r="M47" s="32" t="s">
        <v>79</v>
      </c>
      <c r="N47" s="32"/>
      <c r="O47" s="31">
        <v>40</v>
      </c>
      <c r="P47" s="6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3"/>
      <c r="V47" s="33"/>
      <c r="W47" s="34" t="s">
        <v>71</v>
      </c>
      <c r="X47" s="575">
        <v>0</v>
      </c>
      <c r="Y47" s="576">
        <f>IFERROR(IF(X47="",0,CEILING((X47/$H47),1)*$H47),"")</f>
        <v>0</v>
      </c>
      <c r="Z47" s="35" t="str">
        <f>IFERROR(IF(Y47=0,"",ROUNDUP(Y47/H47,0)*0.00651),"")</f>
        <v/>
      </c>
      <c r="AA47" s="55"/>
      <c r="AB47" s="56"/>
      <c r="AC47" s="89" t="s">
        <v>119</v>
      </c>
      <c r="AG47" s="63"/>
      <c r="AJ47" s="66"/>
      <c r="AK47" s="66">
        <v>0</v>
      </c>
      <c r="BB47" s="90" t="s">
        <v>1</v>
      </c>
      <c r="BM47" s="63">
        <f>IFERROR(X47*I47/H47,"0")</f>
        <v>0</v>
      </c>
      <c r="BN47" s="63">
        <f>IFERROR(Y47*I47/H47,"0")</f>
        <v>0</v>
      </c>
      <c r="BO47" s="63">
        <f>IFERROR(1/J47*(X47/H47),"0")</f>
        <v>0</v>
      </c>
      <c r="BP47" s="63">
        <f>IFERROR(1/J47*(Y47/H47),"0")</f>
        <v>0</v>
      </c>
    </row>
    <row r="48" spans="1:68" hidden="1" x14ac:dyDescent="0.2">
      <c r="A48" s="592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3"/>
      <c r="P48" s="584" t="s">
        <v>73</v>
      </c>
      <c r="Q48" s="585"/>
      <c r="R48" s="585"/>
      <c r="S48" s="585"/>
      <c r="T48" s="585"/>
      <c r="U48" s="585"/>
      <c r="V48" s="586"/>
      <c r="W48" s="36" t="s">
        <v>74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3"/>
      <c r="P49" s="584" t="s">
        <v>73</v>
      </c>
      <c r="Q49" s="585"/>
      <c r="R49" s="585"/>
      <c r="S49" s="585"/>
      <c r="T49" s="585"/>
      <c r="U49" s="585"/>
      <c r="V49" s="586"/>
      <c r="W49" s="36" t="s">
        <v>71</v>
      </c>
      <c r="X49" s="577">
        <f>IFERROR(SUM(X47:X47),"0")</f>
        <v>0</v>
      </c>
      <c r="Y49" s="577">
        <f>IFERROR(SUM(Y47:Y47),"0")</f>
        <v>0</v>
      </c>
      <c r="Z49" s="36"/>
      <c r="AA49" s="578"/>
      <c r="AB49" s="578"/>
      <c r="AC49" s="578"/>
    </row>
    <row r="50" spans="1:68" ht="16.5" hidden="1" customHeight="1" x14ac:dyDescent="0.25">
      <c r="A50" s="648" t="s">
        <v>120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1"/>
      <c r="AB50" s="571"/>
      <c r="AC50" s="571"/>
    </row>
    <row r="51" spans="1:68" ht="14.25" hidden="1" customHeight="1" x14ac:dyDescent="0.25">
      <c r="A51" s="587" t="s">
        <v>104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65"/>
      <c r="AB51" s="565"/>
      <c r="AC51" s="565"/>
    </row>
    <row r="52" spans="1:68" ht="27" hidden="1" customHeight="1" x14ac:dyDescent="0.25">
      <c r="A52" s="53" t="s">
        <v>121</v>
      </c>
      <c r="B52" s="53" t="s">
        <v>122</v>
      </c>
      <c r="C52" s="30">
        <v>4301012030</v>
      </c>
      <c r="D52" s="594">
        <v>4680115885882</v>
      </c>
      <c r="E52" s="595"/>
      <c r="F52" s="574">
        <v>1.4</v>
      </c>
      <c r="G52" s="31">
        <v>8</v>
      </c>
      <c r="H52" s="574">
        <v>11.2</v>
      </c>
      <c r="I52" s="574">
        <v>11.635</v>
      </c>
      <c r="J52" s="31">
        <v>64</v>
      </c>
      <c r="K52" s="31" t="s">
        <v>107</v>
      </c>
      <c r="L52" s="31"/>
      <c r="M52" s="32" t="s">
        <v>79</v>
      </c>
      <c r="N52" s="32"/>
      <c r="O52" s="31">
        <v>50</v>
      </c>
      <c r="P52" s="6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3"/>
      <c r="V52" s="33"/>
      <c r="W52" s="34" t="s">
        <v>71</v>
      </c>
      <c r="X52" s="575">
        <v>0</v>
      </c>
      <c r="Y52" s="576">
        <f t="shared" ref="Y52:Y57" si="6">IFERROR(IF(X52="",0,CEILING((X52/$H52),1)*$H52),"")</f>
        <v>0</v>
      </c>
      <c r="Z52" s="35" t="str">
        <f>IFERROR(IF(Y52=0,"",ROUNDUP(Y52/H52,0)*0.01898),"")</f>
        <v/>
      </c>
      <c r="AA52" s="55"/>
      <c r="AB52" s="56"/>
      <c r="AC52" s="91" t="s">
        <v>123</v>
      </c>
      <c r="AG52" s="63"/>
      <c r="AJ52" s="66"/>
      <c r="AK52" s="66">
        <v>0</v>
      </c>
      <c r="BB52" s="92" t="s">
        <v>1</v>
      </c>
      <c r="BM52" s="63">
        <f t="shared" ref="BM52:BM57" si="7">IFERROR(X52*I52/H52,"0")</f>
        <v>0</v>
      </c>
      <c r="BN52" s="63">
        <f t="shared" ref="BN52:BN57" si="8">IFERROR(Y52*I52/H52,"0")</f>
        <v>0</v>
      </c>
      <c r="BO52" s="63">
        <f t="shared" ref="BO52:BO57" si="9">IFERROR(1/J52*(X52/H52),"0")</f>
        <v>0</v>
      </c>
      <c r="BP52" s="63">
        <f t="shared" ref="BP52:BP57" si="10">IFERROR(1/J52*(Y52/H52),"0")</f>
        <v>0</v>
      </c>
    </row>
    <row r="53" spans="1:68" ht="27" hidden="1" customHeight="1" x14ac:dyDescent="0.25">
      <c r="A53" s="53" t="s">
        <v>124</v>
      </c>
      <c r="B53" s="53" t="s">
        <v>125</v>
      </c>
      <c r="C53" s="30">
        <v>4301011816</v>
      </c>
      <c r="D53" s="594">
        <v>4680115881426</v>
      </c>
      <c r="E53" s="595"/>
      <c r="F53" s="574">
        <v>1.35</v>
      </c>
      <c r="G53" s="31">
        <v>8</v>
      </c>
      <c r="H53" s="574">
        <v>10.8</v>
      </c>
      <c r="I53" s="574">
        <v>11.234999999999999</v>
      </c>
      <c r="J53" s="31">
        <v>64</v>
      </c>
      <c r="K53" s="31" t="s">
        <v>107</v>
      </c>
      <c r="L53" s="31" t="s">
        <v>126</v>
      </c>
      <c r="M53" s="32" t="s">
        <v>108</v>
      </c>
      <c r="N53" s="32"/>
      <c r="O53" s="31">
        <v>50</v>
      </c>
      <c r="P53" s="7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3"/>
      <c r="V53" s="33"/>
      <c r="W53" s="34" t="s">
        <v>71</v>
      </c>
      <c r="X53" s="575">
        <v>0</v>
      </c>
      <c r="Y53" s="576">
        <f t="shared" si="6"/>
        <v>0</v>
      </c>
      <c r="Z53" s="35" t="str">
        <f>IFERROR(IF(Y53=0,"",ROUNDUP(Y53/H53,0)*0.01898),"")</f>
        <v/>
      </c>
      <c r="AA53" s="55"/>
      <c r="AB53" s="56"/>
      <c r="AC53" s="93" t="s">
        <v>127</v>
      </c>
      <c r="AG53" s="63"/>
      <c r="AJ53" s="66" t="s">
        <v>128</v>
      </c>
      <c r="AK53" s="66">
        <v>691.2</v>
      </c>
      <c r="BB53" s="94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hidden="1" customHeight="1" x14ac:dyDescent="0.25">
      <c r="A54" s="53" t="s">
        <v>129</v>
      </c>
      <c r="B54" s="53" t="s">
        <v>130</v>
      </c>
      <c r="C54" s="30">
        <v>4301011386</v>
      </c>
      <c r="D54" s="594">
        <v>4680115880283</v>
      </c>
      <c r="E54" s="595"/>
      <c r="F54" s="574">
        <v>0.6</v>
      </c>
      <c r="G54" s="31">
        <v>8</v>
      </c>
      <c r="H54" s="574">
        <v>4.8</v>
      </c>
      <c r="I54" s="574">
        <v>5.01</v>
      </c>
      <c r="J54" s="31">
        <v>132</v>
      </c>
      <c r="K54" s="31" t="s">
        <v>112</v>
      </c>
      <c r="L54" s="31"/>
      <c r="M54" s="32" t="s">
        <v>108</v>
      </c>
      <c r="N54" s="32"/>
      <c r="O54" s="31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3"/>
      <c r="V54" s="33"/>
      <c r="W54" s="34" t="s">
        <v>71</v>
      </c>
      <c r="X54" s="575">
        <v>0</v>
      </c>
      <c r="Y54" s="576">
        <f t="shared" si="6"/>
        <v>0</v>
      </c>
      <c r="Z54" s="35" t="str">
        <f>IFERROR(IF(Y54=0,"",ROUNDUP(Y54/H54,0)*0.00902),"")</f>
        <v/>
      </c>
      <c r="AA54" s="55"/>
      <c r="AB54" s="56"/>
      <c r="AC54" s="95" t="s">
        <v>131</v>
      </c>
      <c r="AG54" s="63"/>
      <c r="AJ54" s="66"/>
      <c r="AK54" s="66">
        <v>0</v>
      </c>
      <c r="BB54" s="96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ht="16.5" hidden="1" customHeight="1" x14ac:dyDescent="0.25">
      <c r="A55" s="53" t="s">
        <v>132</v>
      </c>
      <c r="B55" s="53" t="s">
        <v>133</v>
      </c>
      <c r="C55" s="30">
        <v>4301011806</v>
      </c>
      <c r="D55" s="594">
        <v>4680115881525</v>
      </c>
      <c r="E55" s="595"/>
      <c r="F55" s="574">
        <v>0.4</v>
      </c>
      <c r="G55" s="31">
        <v>10</v>
      </c>
      <c r="H55" s="574">
        <v>4</v>
      </c>
      <c r="I55" s="574">
        <v>4.21</v>
      </c>
      <c r="J55" s="31">
        <v>132</v>
      </c>
      <c r="K55" s="31" t="s">
        <v>112</v>
      </c>
      <c r="L55" s="31"/>
      <c r="M55" s="32" t="s">
        <v>108</v>
      </c>
      <c r="N55" s="32"/>
      <c r="O55" s="31">
        <v>50</v>
      </c>
      <c r="P55" s="7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3"/>
      <c r="V55" s="33"/>
      <c r="W55" s="34" t="s">
        <v>71</v>
      </c>
      <c r="X55" s="575">
        <v>0</v>
      </c>
      <c r="Y55" s="576">
        <f t="shared" si="6"/>
        <v>0</v>
      </c>
      <c r="Z55" s="35" t="str">
        <f>IFERROR(IF(Y55=0,"",ROUNDUP(Y55/H55,0)*0.00902),"")</f>
        <v/>
      </c>
      <c r="AA55" s="55"/>
      <c r="AB55" s="56"/>
      <c r="AC55" s="97" t="s">
        <v>127</v>
      </c>
      <c r="AG55" s="63"/>
      <c r="AJ55" s="66"/>
      <c r="AK55" s="66">
        <v>0</v>
      </c>
      <c r="BB55" s="98" t="s">
        <v>1</v>
      </c>
      <c r="BM55" s="63">
        <f t="shared" si="7"/>
        <v>0</v>
      </c>
      <c r="BN55" s="63">
        <f t="shared" si="8"/>
        <v>0</v>
      </c>
      <c r="BO55" s="63">
        <f t="shared" si="9"/>
        <v>0</v>
      </c>
      <c r="BP55" s="63">
        <f t="shared" si="10"/>
        <v>0</v>
      </c>
    </row>
    <row r="56" spans="1:68" ht="27" hidden="1" customHeight="1" x14ac:dyDescent="0.25">
      <c r="A56" s="53" t="s">
        <v>134</v>
      </c>
      <c r="B56" s="53" t="s">
        <v>135</v>
      </c>
      <c r="C56" s="30">
        <v>4301011589</v>
      </c>
      <c r="D56" s="594">
        <v>4680115885899</v>
      </c>
      <c r="E56" s="595"/>
      <c r="F56" s="574">
        <v>0.35</v>
      </c>
      <c r="G56" s="31">
        <v>6</v>
      </c>
      <c r="H56" s="574">
        <v>2.1</v>
      </c>
      <c r="I56" s="574">
        <v>2.2799999999999998</v>
      </c>
      <c r="J56" s="31">
        <v>182</v>
      </c>
      <c r="K56" s="31" t="s">
        <v>78</v>
      </c>
      <c r="L56" s="31"/>
      <c r="M56" s="32" t="s">
        <v>94</v>
      </c>
      <c r="N56" s="32"/>
      <c r="O56" s="31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3"/>
      <c r="V56" s="33"/>
      <c r="W56" s="34" t="s">
        <v>71</v>
      </c>
      <c r="X56" s="575">
        <v>0</v>
      </c>
      <c r="Y56" s="576">
        <f t="shared" si="6"/>
        <v>0</v>
      </c>
      <c r="Z56" s="35" t="str">
        <f>IFERROR(IF(Y56=0,"",ROUNDUP(Y56/H56,0)*0.00651),"")</f>
        <v/>
      </c>
      <c r="AA56" s="55"/>
      <c r="AB56" s="56"/>
      <c r="AC56" s="99" t="s">
        <v>136</v>
      </c>
      <c r="AG56" s="63"/>
      <c r="AJ56" s="66"/>
      <c r="AK56" s="66">
        <v>0</v>
      </c>
      <c r="BB56" s="100" t="s">
        <v>1</v>
      </c>
      <c r="BM56" s="63">
        <f t="shared" si="7"/>
        <v>0</v>
      </c>
      <c r="BN56" s="63">
        <f t="shared" si="8"/>
        <v>0</v>
      </c>
      <c r="BO56" s="63">
        <f t="shared" si="9"/>
        <v>0</v>
      </c>
      <c r="BP56" s="63">
        <f t="shared" si="10"/>
        <v>0</v>
      </c>
    </row>
    <row r="57" spans="1:68" ht="27" customHeight="1" x14ac:dyDescent="0.25">
      <c r="A57" s="53" t="s">
        <v>137</v>
      </c>
      <c r="B57" s="53" t="s">
        <v>138</v>
      </c>
      <c r="C57" s="30">
        <v>4301011801</v>
      </c>
      <c r="D57" s="594">
        <v>4680115881419</v>
      </c>
      <c r="E57" s="595"/>
      <c r="F57" s="574">
        <v>0.45</v>
      </c>
      <c r="G57" s="31">
        <v>10</v>
      </c>
      <c r="H57" s="574">
        <v>4.5</v>
      </c>
      <c r="I57" s="574">
        <v>4.71</v>
      </c>
      <c r="J57" s="31">
        <v>132</v>
      </c>
      <c r="K57" s="31" t="s">
        <v>112</v>
      </c>
      <c r="L57" s="31" t="s">
        <v>126</v>
      </c>
      <c r="M57" s="32" t="s">
        <v>108</v>
      </c>
      <c r="N57" s="32"/>
      <c r="O57" s="31">
        <v>50</v>
      </c>
      <c r="P57" s="8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3"/>
      <c r="V57" s="33"/>
      <c r="W57" s="34" t="s">
        <v>71</v>
      </c>
      <c r="X57" s="575">
        <v>135</v>
      </c>
      <c r="Y57" s="576">
        <f t="shared" si="6"/>
        <v>135</v>
      </c>
      <c r="Z57" s="35">
        <f>IFERROR(IF(Y57=0,"",ROUNDUP(Y57/H57,0)*0.00902),"")</f>
        <v>0.27060000000000001</v>
      </c>
      <c r="AA57" s="55"/>
      <c r="AB57" s="56"/>
      <c r="AC57" s="101" t="s">
        <v>139</v>
      </c>
      <c r="AG57" s="63"/>
      <c r="AJ57" s="66" t="s">
        <v>128</v>
      </c>
      <c r="AK57" s="66">
        <v>594</v>
      </c>
      <c r="BB57" s="102" t="s">
        <v>1</v>
      </c>
      <c r="BM57" s="63">
        <f t="shared" si="7"/>
        <v>141.30000000000001</v>
      </c>
      <c r="BN57" s="63">
        <f t="shared" si="8"/>
        <v>141.30000000000001</v>
      </c>
      <c r="BO57" s="63">
        <f t="shared" si="9"/>
        <v>0.22727272727272729</v>
      </c>
      <c r="BP57" s="63">
        <f t="shared" si="10"/>
        <v>0.22727272727272729</v>
      </c>
    </row>
    <row r="58" spans="1:68" x14ac:dyDescent="0.2">
      <c r="A58" s="592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3"/>
      <c r="P58" s="584" t="s">
        <v>73</v>
      </c>
      <c r="Q58" s="585"/>
      <c r="R58" s="585"/>
      <c r="S58" s="585"/>
      <c r="T58" s="585"/>
      <c r="U58" s="585"/>
      <c r="V58" s="586"/>
      <c r="W58" s="36" t="s">
        <v>74</v>
      </c>
      <c r="X58" s="577">
        <f>IFERROR(X52/H52,"0")+IFERROR(X53/H53,"0")+IFERROR(X54/H54,"0")+IFERROR(X55/H55,"0")+IFERROR(X56/H56,"0")+IFERROR(X57/H57,"0")</f>
        <v>30</v>
      </c>
      <c r="Y58" s="577">
        <f>IFERROR(Y52/H52,"0")+IFERROR(Y53/H53,"0")+IFERROR(Y54/H54,"0")+IFERROR(Y55/H55,"0")+IFERROR(Y56/H56,"0")+IFERROR(Y57/H57,"0")</f>
        <v>30</v>
      </c>
      <c r="Z58" s="577">
        <f>IFERROR(IF(Z52="",0,Z52),"0")+IFERROR(IF(Z53="",0,Z53),"0")+IFERROR(IF(Z54="",0,Z54),"0")+IFERROR(IF(Z55="",0,Z55),"0")+IFERROR(IF(Z56="",0,Z56),"0")+IFERROR(IF(Z57="",0,Z57),"0")</f>
        <v>0.27060000000000001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3"/>
      <c r="P59" s="584" t="s">
        <v>73</v>
      </c>
      <c r="Q59" s="585"/>
      <c r="R59" s="585"/>
      <c r="S59" s="585"/>
      <c r="T59" s="585"/>
      <c r="U59" s="585"/>
      <c r="V59" s="586"/>
      <c r="W59" s="36" t="s">
        <v>71</v>
      </c>
      <c r="X59" s="577">
        <f>IFERROR(SUM(X52:X57),"0")</f>
        <v>135</v>
      </c>
      <c r="Y59" s="577">
        <f>IFERROR(SUM(Y52:Y57),"0")</f>
        <v>135</v>
      </c>
      <c r="Z59" s="36"/>
      <c r="AA59" s="578"/>
      <c r="AB59" s="578"/>
      <c r="AC59" s="578"/>
    </row>
    <row r="60" spans="1:68" ht="14.25" hidden="1" customHeight="1" x14ac:dyDescent="0.25">
      <c r="A60" s="587" t="s">
        <v>140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65"/>
      <c r="AB60" s="565"/>
      <c r="AC60" s="565"/>
    </row>
    <row r="61" spans="1:68" ht="16.5" customHeight="1" x14ac:dyDescent="0.25">
      <c r="A61" s="53" t="s">
        <v>141</v>
      </c>
      <c r="B61" s="53" t="s">
        <v>142</v>
      </c>
      <c r="C61" s="30">
        <v>4301020298</v>
      </c>
      <c r="D61" s="594">
        <v>4680115881440</v>
      </c>
      <c r="E61" s="595"/>
      <c r="F61" s="574">
        <v>1.35</v>
      </c>
      <c r="G61" s="31">
        <v>8</v>
      </c>
      <c r="H61" s="574">
        <v>10.8</v>
      </c>
      <c r="I61" s="574">
        <v>11.234999999999999</v>
      </c>
      <c r="J61" s="31">
        <v>64</v>
      </c>
      <c r="K61" s="31" t="s">
        <v>107</v>
      </c>
      <c r="L61" s="31"/>
      <c r="M61" s="32" t="s">
        <v>108</v>
      </c>
      <c r="N61" s="32"/>
      <c r="O61" s="31">
        <v>50</v>
      </c>
      <c r="P61" s="8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3"/>
      <c r="V61" s="33"/>
      <c r="W61" s="34" t="s">
        <v>71</v>
      </c>
      <c r="X61" s="575">
        <v>390</v>
      </c>
      <c r="Y61" s="576">
        <f>IFERROR(IF(X61="",0,CEILING((X61/$H61),1)*$H61),"")</f>
        <v>399.6</v>
      </c>
      <c r="Z61" s="35">
        <f>IFERROR(IF(Y61=0,"",ROUNDUP(Y61/H61,0)*0.01898),"")</f>
        <v>0.70226</v>
      </c>
      <c r="AA61" s="55"/>
      <c r="AB61" s="56"/>
      <c r="AC61" s="103" t="s">
        <v>143</v>
      </c>
      <c r="AG61" s="63"/>
      <c r="AJ61" s="66"/>
      <c r="AK61" s="66">
        <v>0</v>
      </c>
      <c r="BB61" s="104" t="s">
        <v>1</v>
      </c>
      <c r="BM61" s="63">
        <f>IFERROR(X61*I61/H61,"0")</f>
        <v>405.70833333333326</v>
      </c>
      <c r="BN61" s="63">
        <f>IFERROR(Y61*I61/H61,"0")</f>
        <v>415.69499999999999</v>
      </c>
      <c r="BO61" s="63">
        <f>IFERROR(1/J61*(X61/H61),"0")</f>
        <v>0.56423611111111105</v>
      </c>
      <c r="BP61" s="63">
        <f>IFERROR(1/J61*(Y61/H61),"0")</f>
        <v>0.578125</v>
      </c>
    </row>
    <row r="62" spans="1:68" ht="27" hidden="1" customHeight="1" x14ac:dyDescent="0.25">
      <c r="A62" s="53" t="s">
        <v>144</v>
      </c>
      <c r="B62" s="53" t="s">
        <v>145</v>
      </c>
      <c r="C62" s="30">
        <v>4301020228</v>
      </c>
      <c r="D62" s="594">
        <v>4680115882751</v>
      </c>
      <c r="E62" s="595"/>
      <c r="F62" s="574">
        <v>0.45</v>
      </c>
      <c r="G62" s="31">
        <v>10</v>
      </c>
      <c r="H62" s="574">
        <v>4.5</v>
      </c>
      <c r="I62" s="574">
        <v>4.71</v>
      </c>
      <c r="J62" s="31">
        <v>132</v>
      </c>
      <c r="K62" s="31" t="s">
        <v>112</v>
      </c>
      <c r="L62" s="31"/>
      <c r="M62" s="32" t="s">
        <v>108</v>
      </c>
      <c r="N62" s="32"/>
      <c r="O62" s="31">
        <v>90</v>
      </c>
      <c r="P62" s="8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3"/>
      <c r="V62" s="33"/>
      <c r="W62" s="34" t="s">
        <v>71</v>
      </c>
      <c r="X62" s="575">
        <v>0</v>
      </c>
      <c r="Y62" s="576">
        <f>IFERROR(IF(X62="",0,CEILING((X62/$H62),1)*$H62),"")</f>
        <v>0</v>
      </c>
      <c r="Z62" s="35" t="str">
        <f>IFERROR(IF(Y62=0,"",ROUNDUP(Y62/H62,0)*0.00902),"")</f>
        <v/>
      </c>
      <c r="AA62" s="55"/>
      <c r="AB62" s="56"/>
      <c r="AC62" s="105" t="s">
        <v>146</v>
      </c>
      <c r="AG62" s="63"/>
      <c r="AJ62" s="66"/>
      <c r="AK62" s="66">
        <v>0</v>
      </c>
      <c r="BB62" s="106" t="s">
        <v>1</v>
      </c>
      <c r="BM62" s="63">
        <f>IFERROR(X62*I62/H62,"0")</f>
        <v>0</v>
      </c>
      <c r="BN62" s="63">
        <f>IFERROR(Y62*I62/H62,"0")</f>
        <v>0</v>
      </c>
      <c r="BO62" s="63">
        <f>IFERROR(1/J62*(X62/H62),"0")</f>
        <v>0</v>
      </c>
      <c r="BP62" s="63">
        <f>IFERROR(1/J62*(Y62/H62),"0")</f>
        <v>0</v>
      </c>
    </row>
    <row r="63" spans="1:68" ht="16.5" hidden="1" customHeight="1" x14ac:dyDescent="0.25">
      <c r="A63" s="53" t="s">
        <v>147</v>
      </c>
      <c r="B63" s="53" t="s">
        <v>148</v>
      </c>
      <c r="C63" s="30">
        <v>4301020358</v>
      </c>
      <c r="D63" s="594">
        <v>4680115885950</v>
      </c>
      <c r="E63" s="595"/>
      <c r="F63" s="574">
        <v>0.37</v>
      </c>
      <c r="G63" s="31">
        <v>6</v>
      </c>
      <c r="H63" s="574">
        <v>2.2200000000000002</v>
      </c>
      <c r="I63" s="574">
        <v>2.4</v>
      </c>
      <c r="J63" s="31">
        <v>182</v>
      </c>
      <c r="K63" s="31" t="s">
        <v>78</v>
      </c>
      <c r="L63" s="31"/>
      <c r="M63" s="32" t="s">
        <v>79</v>
      </c>
      <c r="N63" s="32"/>
      <c r="O63" s="31">
        <v>50</v>
      </c>
      <c r="P63" s="8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3"/>
      <c r="V63" s="33"/>
      <c r="W63" s="34" t="s">
        <v>71</v>
      </c>
      <c r="X63" s="575">
        <v>0</v>
      </c>
      <c r="Y63" s="576">
        <f>IFERROR(IF(X63="",0,CEILING((X63/$H63),1)*$H63),"")</f>
        <v>0</v>
      </c>
      <c r="Z63" s="35" t="str">
        <f>IFERROR(IF(Y63=0,"",ROUNDUP(Y63/H63,0)*0.00651),"")</f>
        <v/>
      </c>
      <c r="AA63" s="55"/>
      <c r="AB63" s="56"/>
      <c r="AC63" s="107" t="s">
        <v>143</v>
      </c>
      <c r="AG63" s="63"/>
      <c r="AJ63" s="66"/>
      <c r="AK63" s="66">
        <v>0</v>
      </c>
      <c r="BB63" s="108" t="s">
        <v>1</v>
      </c>
      <c r="BM63" s="63">
        <f>IFERROR(X63*I63/H63,"0")</f>
        <v>0</v>
      </c>
      <c r="BN63" s="63">
        <f>IFERROR(Y63*I63/H63,"0")</f>
        <v>0</v>
      </c>
      <c r="BO63" s="63">
        <f>IFERROR(1/J63*(X63/H63),"0")</f>
        <v>0</v>
      </c>
      <c r="BP63" s="63">
        <f>IFERROR(1/J63*(Y63/H63),"0")</f>
        <v>0</v>
      </c>
    </row>
    <row r="64" spans="1:68" ht="27" customHeight="1" x14ac:dyDescent="0.25">
      <c r="A64" s="53" t="s">
        <v>149</v>
      </c>
      <c r="B64" s="53" t="s">
        <v>150</v>
      </c>
      <c r="C64" s="30">
        <v>4301020296</v>
      </c>
      <c r="D64" s="594">
        <v>4680115881433</v>
      </c>
      <c r="E64" s="595"/>
      <c r="F64" s="574">
        <v>0.45</v>
      </c>
      <c r="G64" s="31">
        <v>6</v>
      </c>
      <c r="H64" s="574">
        <v>2.7</v>
      </c>
      <c r="I64" s="574">
        <v>2.88</v>
      </c>
      <c r="J64" s="31">
        <v>182</v>
      </c>
      <c r="K64" s="31" t="s">
        <v>78</v>
      </c>
      <c r="L64" s="31" t="s">
        <v>126</v>
      </c>
      <c r="M64" s="32" t="s">
        <v>108</v>
      </c>
      <c r="N64" s="32"/>
      <c r="O64" s="31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3"/>
      <c r="V64" s="33"/>
      <c r="W64" s="34" t="s">
        <v>71</v>
      </c>
      <c r="X64" s="575">
        <v>32</v>
      </c>
      <c r="Y64" s="576">
        <f>IFERROR(IF(X64="",0,CEILING((X64/$H64),1)*$H64),"")</f>
        <v>32.400000000000006</v>
      </c>
      <c r="Z64" s="35">
        <f>IFERROR(IF(Y64=0,"",ROUNDUP(Y64/H64,0)*0.00651),"")</f>
        <v>7.8119999999999995E-2</v>
      </c>
      <c r="AA64" s="55"/>
      <c r="AB64" s="56"/>
      <c r="AC64" s="109" t="s">
        <v>143</v>
      </c>
      <c r="AG64" s="63"/>
      <c r="AJ64" s="66" t="s">
        <v>128</v>
      </c>
      <c r="AK64" s="66">
        <v>491.4</v>
      </c>
      <c r="BB64" s="110" t="s">
        <v>1</v>
      </c>
      <c r="BM64" s="63">
        <f>IFERROR(X64*I64/H64,"0")</f>
        <v>34.133333333333333</v>
      </c>
      <c r="BN64" s="63">
        <f>IFERROR(Y64*I64/H64,"0")</f>
        <v>34.56</v>
      </c>
      <c r="BO64" s="63">
        <f>IFERROR(1/J64*(X64/H64),"0")</f>
        <v>6.5120065120065115E-2</v>
      </c>
      <c r="BP64" s="63">
        <f>IFERROR(1/J64*(Y64/H64),"0")</f>
        <v>6.593406593406595E-2</v>
      </c>
    </row>
    <row r="65" spans="1:68" x14ac:dyDescent="0.2">
      <c r="A65" s="592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3"/>
      <c r="P65" s="584" t="s">
        <v>73</v>
      </c>
      <c r="Q65" s="585"/>
      <c r="R65" s="585"/>
      <c r="S65" s="585"/>
      <c r="T65" s="585"/>
      <c r="U65" s="585"/>
      <c r="V65" s="586"/>
      <c r="W65" s="36" t="s">
        <v>74</v>
      </c>
      <c r="X65" s="577">
        <f>IFERROR(X61/H61,"0")+IFERROR(X62/H62,"0")+IFERROR(X63/H63,"0")+IFERROR(X64/H64,"0")</f>
        <v>47.962962962962962</v>
      </c>
      <c r="Y65" s="577">
        <f>IFERROR(Y61/H61,"0")+IFERROR(Y62/H62,"0")+IFERROR(Y63/H63,"0")+IFERROR(Y64/H64,"0")</f>
        <v>49</v>
      </c>
      <c r="Z65" s="577">
        <f>IFERROR(IF(Z61="",0,Z61),"0")+IFERROR(IF(Z62="",0,Z62),"0")+IFERROR(IF(Z63="",0,Z63),"0")+IFERROR(IF(Z64="",0,Z64),"0")</f>
        <v>0.78037999999999996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3"/>
      <c r="P66" s="584" t="s">
        <v>73</v>
      </c>
      <c r="Q66" s="585"/>
      <c r="R66" s="585"/>
      <c r="S66" s="585"/>
      <c r="T66" s="585"/>
      <c r="U66" s="585"/>
      <c r="V66" s="586"/>
      <c r="W66" s="36" t="s">
        <v>71</v>
      </c>
      <c r="X66" s="577">
        <f>IFERROR(SUM(X61:X64),"0")</f>
        <v>422</v>
      </c>
      <c r="Y66" s="577">
        <f>IFERROR(SUM(Y61:Y64),"0")</f>
        <v>432</v>
      </c>
      <c r="Z66" s="36"/>
      <c r="AA66" s="578"/>
      <c r="AB66" s="578"/>
      <c r="AC66" s="578"/>
    </row>
    <row r="67" spans="1:68" ht="14.25" hidden="1" customHeight="1" x14ac:dyDescent="0.25">
      <c r="A67" s="587" t="s">
        <v>65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65"/>
      <c r="AB67" s="565"/>
      <c r="AC67" s="565"/>
    </row>
    <row r="68" spans="1:68" ht="27" hidden="1" customHeight="1" x14ac:dyDescent="0.25">
      <c r="A68" s="53" t="s">
        <v>151</v>
      </c>
      <c r="B68" s="53" t="s">
        <v>152</v>
      </c>
      <c r="C68" s="30">
        <v>4301031243</v>
      </c>
      <c r="D68" s="594">
        <v>4680115885073</v>
      </c>
      <c r="E68" s="595"/>
      <c r="F68" s="574">
        <v>0.3</v>
      </c>
      <c r="G68" s="31">
        <v>6</v>
      </c>
      <c r="H68" s="574">
        <v>1.8</v>
      </c>
      <c r="I68" s="574">
        <v>1.9</v>
      </c>
      <c r="J68" s="31">
        <v>234</v>
      </c>
      <c r="K68" s="31" t="s">
        <v>68</v>
      </c>
      <c r="L68" s="31"/>
      <c r="M68" s="32" t="s">
        <v>69</v>
      </c>
      <c r="N68" s="32"/>
      <c r="O68" s="31">
        <v>40</v>
      </c>
      <c r="P68" s="7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3"/>
      <c r="V68" s="33"/>
      <c r="W68" s="34" t="s">
        <v>71</v>
      </c>
      <c r="X68" s="575">
        <v>0</v>
      </c>
      <c r="Y68" s="576">
        <f>IFERROR(IF(X68="",0,CEILING((X68/$H68),1)*$H68),"")</f>
        <v>0</v>
      </c>
      <c r="Z68" s="35" t="str">
        <f>IFERROR(IF(Y68=0,"",ROUNDUP(Y68/H68,0)*0.00502),"")</f>
        <v/>
      </c>
      <c r="AA68" s="55"/>
      <c r="AB68" s="56"/>
      <c r="AC68" s="111" t="s">
        <v>153</v>
      </c>
      <c r="AG68" s="63"/>
      <c r="AJ68" s="66"/>
      <c r="AK68" s="66">
        <v>0</v>
      </c>
      <c r="BB68" s="112" t="s">
        <v>1</v>
      </c>
      <c r="BM68" s="63">
        <f>IFERROR(X68*I68/H68,"0")</f>
        <v>0</v>
      </c>
      <c r="BN68" s="63">
        <f>IFERROR(Y68*I68/H68,"0")</f>
        <v>0</v>
      </c>
      <c r="BO68" s="63">
        <f>IFERROR(1/J68*(X68/H68),"0")</f>
        <v>0</v>
      </c>
      <c r="BP68" s="63">
        <f>IFERROR(1/J68*(Y68/H68),"0")</f>
        <v>0</v>
      </c>
    </row>
    <row r="69" spans="1:68" ht="27" hidden="1" customHeight="1" x14ac:dyDescent="0.25">
      <c r="A69" s="53" t="s">
        <v>154</v>
      </c>
      <c r="B69" s="53" t="s">
        <v>155</v>
      </c>
      <c r="C69" s="30">
        <v>4301031241</v>
      </c>
      <c r="D69" s="594">
        <v>4680115885059</v>
      </c>
      <c r="E69" s="595"/>
      <c r="F69" s="574">
        <v>0.3</v>
      </c>
      <c r="G69" s="31">
        <v>6</v>
      </c>
      <c r="H69" s="574">
        <v>1.8</v>
      </c>
      <c r="I69" s="574">
        <v>1.9</v>
      </c>
      <c r="J69" s="31">
        <v>234</v>
      </c>
      <c r="K69" s="31" t="s">
        <v>68</v>
      </c>
      <c r="L69" s="31"/>
      <c r="M69" s="32" t="s">
        <v>69</v>
      </c>
      <c r="N69" s="32"/>
      <c r="O69" s="31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3"/>
      <c r="V69" s="33"/>
      <c r="W69" s="34" t="s">
        <v>71</v>
      </c>
      <c r="X69" s="575">
        <v>0</v>
      </c>
      <c r="Y69" s="576">
        <f>IFERROR(IF(X69="",0,CEILING((X69/$H69),1)*$H69),"")</f>
        <v>0</v>
      </c>
      <c r="Z69" s="35" t="str">
        <f>IFERROR(IF(Y69=0,"",ROUNDUP(Y69/H69,0)*0.00502),"")</f>
        <v/>
      </c>
      <c r="AA69" s="55"/>
      <c r="AB69" s="56"/>
      <c r="AC69" s="113" t="s">
        <v>156</v>
      </c>
      <c r="AG69" s="63"/>
      <c r="AJ69" s="66"/>
      <c r="AK69" s="66">
        <v>0</v>
      </c>
      <c r="BB69" s="114" t="s">
        <v>1</v>
      </c>
      <c r="BM69" s="63">
        <f>IFERROR(X69*I69/H69,"0")</f>
        <v>0</v>
      </c>
      <c r="BN69" s="63">
        <f>IFERROR(Y69*I69/H69,"0")</f>
        <v>0</v>
      </c>
      <c r="BO69" s="63">
        <f>IFERROR(1/J69*(X69/H69),"0")</f>
        <v>0</v>
      </c>
      <c r="BP69" s="63">
        <f>IFERROR(1/J69*(Y69/H69),"0")</f>
        <v>0</v>
      </c>
    </row>
    <row r="70" spans="1:68" ht="27" hidden="1" customHeight="1" x14ac:dyDescent="0.25">
      <c r="A70" s="53" t="s">
        <v>157</v>
      </c>
      <c r="B70" s="53" t="s">
        <v>158</v>
      </c>
      <c r="C70" s="30">
        <v>4301031316</v>
      </c>
      <c r="D70" s="594">
        <v>4680115885097</v>
      </c>
      <c r="E70" s="595"/>
      <c r="F70" s="574">
        <v>0.3</v>
      </c>
      <c r="G70" s="31">
        <v>6</v>
      </c>
      <c r="H70" s="574">
        <v>1.8</v>
      </c>
      <c r="I70" s="574">
        <v>1.9</v>
      </c>
      <c r="J70" s="31">
        <v>234</v>
      </c>
      <c r="K70" s="31" t="s">
        <v>68</v>
      </c>
      <c r="L70" s="31"/>
      <c r="M70" s="32" t="s">
        <v>69</v>
      </c>
      <c r="N70" s="32"/>
      <c r="O70" s="31">
        <v>40</v>
      </c>
      <c r="P70" s="8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3"/>
      <c r="V70" s="33"/>
      <c r="W70" s="34" t="s">
        <v>71</v>
      </c>
      <c r="X70" s="575">
        <v>0</v>
      </c>
      <c r="Y70" s="576">
        <f>IFERROR(IF(X70="",0,CEILING((X70/$H70),1)*$H70),"")</f>
        <v>0</v>
      </c>
      <c r="Z70" s="35" t="str">
        <f>IFERROR(IF(Y70=0,"",ROUNDUP(Y70/H70,0)*0.00502),"")</f>
        <v/>
      </c>
      <c r="AA70" s="55"/>
      <c r="AB70" s="56"/>
      <c r="AC70" s="115" t="s">
        <v>159</v>
      </c>
      <c r="AG70" s="63"/>
      <c r="AJ70" s="66"/>
      <c r="AK70" s="66">
        <v>0</v>
      </c>
      <c r="BB70" s="116" t="s">
        <v>1</v>
      </c>
      <c r="BM70" s="63">
        <f>IFERROR(X70*I70/H70,"0")</f>
        <v>0</v>
      </c>
      <c r="BN70" s="63">
        <f>IFERROR(Y70*I70/H70,"0")</f>
        <v>0</v>
      </c>
      <c r="BO70" s="63">
        <f>IFERROR(1/J70*(X70/H70),"0")</f>
        <v>0</v>
      </c>
      <c r="BP70" s="63">
        <f>IFERROR(1/J70*(Y70/H70),"0")</f>
        <v>0</v>
      </c>
    </row>
    <row r="71" spans="1:68" hidden="1" x14ac:dyDescent="0.2">
      <c r="A71" s="592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3"/>
      <c r="P71" s="584" t="s">
        <v>73</v>
      </c>
      <c r="Q71" s="585"/>
      <c r="R71" s="585"/>
      <c r="S71" s="585"/>
      <c r="T71" s="585"/>
      <c r="U71" s="585"/>
      <c r="V71" s="586"/>
      <c r="W71" s="36" t="s">
        <v>74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3"/>
      <c r="P72" s="584" t="s">
        <v>73</v>
      </c>
      <c r="Q72" s="585"/>
      <c r="R72" s="585"/>
      <c r="S72" s="585"/>
      <c r="T72" s="585"/>
      <c r="U72" s="585"/>
      <c r="V72" s="586"/>
      <c r="W72" s="36" t="s">
        <v>71</v>
      </c>
      <c r="X72" s="577">
        <f>IFERROR(SUM(X68:X70),"0")</f>
        <v>0</v>
      </c>
      <c r="Y72" s="577">
        <f>IFERROR(SUM(Y68:Y70),"0")</f>
        <v>0</v>
      </c>
      <c r="Z72" s="36"/>
      <c r="AA72" s="578"/>
      <c r="AB72" s="578"/>
      <c r="AC72" s="578"/>
    </row>
    <row r="73" spans="1:68" ht="14.25" hidden="1" customHeight="1" x14ac:dyDescent="0.25">
      <c r="A73" s="587" t="s">
        <v>75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65"/>
      <c r="AB73" s="565"/>
      <c r="AC73" s="565"/>
    </row>
    <row r="74" spans="1:68" ht="16.5" hidden="1" customHeight="1" x14ac:dyDescent="0.25">
      <c r="A74" s="53" t="s">
        <v>160</v>
      </c>
      <c r="B74" s="53" t="s">
        <v>161</v>
      </c>
      <c r="C74" s="30">
        <v>4301051838</v>
      </c>
      <c r="D74" s="594">
        <v>4680115881891</v>
      </c>
      <c r="E74" s="595"/>
      <c r="F74" s="574">
        <v>1.4</v>
      </c>
      <c r="G74" s="31">
        <v>6</v>
      </c>
      <c r="H74" s="574">
        <v>8.4</v>
      </c>
      <c r="I74" s="574">
        <v>8.9190000000000005</v>
      </c>
      <c r="J74" s="31">
        <v>64</v>
      </c>
      <c r="K74" s="31" t="s">
        <v>107</v>
      </c>
      <c r="L74" s="31"/>
      <c r="M74" s="32" t="s">
        <v>79</v>
      </c>
      <c r="N74" s="32"/>
      <c r="O74" s="31">
        <v>40</v>
      </c>
      <c r="P74" s="7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3"/>
      <c r="V74" s="33"/>
      <c r="W74" s="34" t="s">
        <v>71</v>
      </c>
      <c r="X74" s="575">
        <v>0</v>
      </c>
      <c r="Y74" s="576">
        <f t="shared" ref="Y74:Y79" si="11">IFERROR(IF(X74="",0,CEILING((X74/$H74),1)*$H74),"")</f>
        <v>0</v>
      </c>
      <c r="Z74" s="35" t="str">
        <f>IFERROR(IF(Y74=0,"",ROUNDUP(Y74/H74,0)*0.01898),"")</f>
        <v/>
      </c>
      <c r="AA74" s="55"/>
      <c r="AB74" s="56"/>
      <c r="AC74" s="117" t="s">
        <v>162</v>
      </c>
      <c r="AG74" s="63"/>
      <c r="AJ74" s="66"/>
      <c r="AK74" s="66">
        <v>0</v>
      </c>
      <c r="BB74" s="118" t="s">
        <v>1</v>
      </c>
      <c r="BM74" s="63">
        <f t="shared" ref="BM74:BM79" si="12">IFERROR(X74*I74/H74,"0")</f>
        <v>0</v>
      </c>
      <c r="BN74" s="63">
        <f t="shared" ref="BN74:BN79" si="13">IFERROR(Y74*I74/H74,"0")</f>
        <v>0</v>
      </c>
      <c r="BO74" s="63">
        <f t="shared" ref="BO74:BO79" si="14">IFERROR(1/J74*(X74/H74),"0")</f>
        <v>0</v>
      </c>
      <c r="BP74" s="63">
        <f t="shared" ref="BP74:BP79" si="15">IFERROR(1/J74*(Y74/H74),"0")</f>
        <v>0</v>
      </c>
    </row>
    <row r="75" spans="1:68" ht="27" hidden="1" customHeight="1" x14ac:dyDescent="0.25">
      <c r="A75" s="53" t="s">
        <v>163</v>
      </c>
      <c r="B75" s="53" t="s">
        <v>164</v>
      </c>
      <c r="C75" s="30">
        <v>4301051846</v>
      </c>
      <c r="D75" s="594">
        <v>4680115885769</v>
      </c>
      <c r="E75" s="595"/>
      <c r="F75" s="574">
        <v>1.4</v>
      </c>
      <c r="G75" s="31">
        <v>6</v>
      </c>
      <c r="H75" s="574">
        <v>8.4</v>
      </c>
      <c r="I75" s="574">
        <v>8.8350000000000009</v>
      </c>
      <c r="J75" s="31">
        <v>64</v>
      </c>
      <c r="K75" s="31" t="s">
        <v>107</v>
      </c>
      <c r="L75" s="31"/>
      <c r="M75" s="32" t="s">
        <v>79</v>
      </c>
      <c r="N75" s="32"/>
      <c r="O75" s="31">
        <v>45</v>
      </c>
      <c r="P75" s="8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3"/>
      <c r="V75" s="33"/>
      <c r="W75" s="34" t="s">
        <v>71</v>
      </c>
      <c r="X75" s="575">
        <v>0</v>
      </c>
      <c r="Y75" s="576">
        <f t="shared" si="11"/>
        <v>0</v>
      </c>
      <c r="Z75" s="35" t="str">
        <f>IFERROR(IF(Y75=0,"",ROUNDUP(Y75/H75,0)*0.01898),"")</f>
        <v/>
      </c>
      <c r="AA75" s="55"/>
      <c r="AB75" s="56"/>
      <c r="AC75" s="119" t="s">
        <v>165</v>
      </c>
      <c r="AG75" s="63"/>
      <c r="AJ75" s="66"/>
      <c r="AK75" s="66">
        <v>0</v>
      </c>
      <c r="BB75" s="120" t="s">
        <v>1</v>
      </c>
      <c r="BM75" s="63">
        <f t="shared" si="12"/>
        <v>0</v>
      </c>
      <c r="BN75" s="63">
        <f t="shared" si="13"/>
        <v>0</v>
      </c>
      <c r="BO75" s="63">
        <f t="shared" si="14"/>
        <v>0</v>
      </c>
      <c r="BP75" s="63">
        <f t="shared" si="15"/>
        <v>0</v>
      </c>
    </row>
    <row r="76" spans="1:68" ht="27" hidden="1" customHeight="1" x14ac:dyDescent="0.25">
      <c r="A76" s="53" t="s">
        <v>166</v>
      </c>
      <c r="B76" s="53" t="s">
        <v>167</v>
      </c>
      <c r="C76" s="30">
        <v>4301051927</v>
      </c>
      <c r="D76" s="594">
        <v>4680115884410</v>
      </c>
      <c r="E76" s="595"/>
      <c r="F76" s="574">
        <v>1.4</v>
      </c>
      <c r="G76" s="31">
        <v>6</v>
      </c>
      <c r="H76" s="574">
        <v>8.4</v>
      </c>
      <c r="I76" s="574">
        <v>8.907</v>
      </c>
      <c r="J76" s="31">
        <v>64</v>
      </c>
      <c r="K76" s="31" t="s">
        <v>107</v>
      </c>
      <c r="L76" s="31"/>
      <c r="M76" s="32" t="s">
        <v>79</v>
      </c>
      <c r="N76" s="32"/>
      <c r="O76" s="31">
        <v>40</v>
      </c>
      <c r="P76" s="7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3"/>
      <c r="V76" s="33"/>
      <c r="W76" s="34" t="s">
        <v>71</v>
      </c>
      <c r="X76" s="575">
        <v>0</v>
      </c>
      <c r="Y76" s="576">
        <f t="shared" si="11"/>
        <v>0</v>
      </c>
      <c r="Z76" s="35" t="str">
        <f>IFERROR(IF(Y76=0,"",ROUNDUP(Y76/H76,0)*0.01898),"")</f>
        <v/>
      </c>
      <c r="AA76" s="55"/>
      <c r="AB76" s="56"/>
      <c r="AC76" s="121" t="s">
        <v>168</v>
      </c>
      <c r="AG76" s="63"/>
      <c r="AJ76" s="66"/>
      <c r="AK76" s="66">
        <v>0</v>
      </c>
      <c r="BB76" s="122" t="s">
        <v>1</v>
      </c>
      <c r="BM76" s="63">
        <f t="shared" si="12"/>
        <v>0</v>
      </c>
      <c r="BN76" s="63">
        <f t="shared" si="13"/>
        <v>0</v>
      </c>
      <c r="BO76" s="63">
        <f t="shared" si="14"/>
        <v>0</v>
      </c>
      <c r="BP76" s="63">
        <f t="shared" si="15"/>
        <v>0</v>
      </c>
    </row>
    <row r="77" spans="1:68" ht="16.5" hidden="1" customHeight="1" x14ac:dyDescent="0.25">
      <c r="A77" s="53" t="s">
        <v>169</v>
      </c>
      <c r="B77" s="53" t="s">
        <v>170</v>
      </c>
      <c r="C77" s="30">
        <v>4301051837</v>
      </c>
      <c r="D77" s="594">
        <v>4680115884311</v>
      </c>
      <c r="E77" s="595"/>
      <c r="F77" s="574">
        <v>0.3</v>
      </c>
      <c r="G77" s="31">
        <v>6</v>
      </c>
      <c r="H77" s="574">
        <v>1.8</v>
      </c>
      <c r="I77" s="574">
        <v>2.0459999999999998</v>
      </c>
      <c r="J77" s="31">
        <v>182</v>
      </c>
      <c r="K77" s="31" t="s">
        <v>78</v>
      </c>
      <c r="L77" s="31"/>
      <c r="M77" s="32" t="s">
        <v>79</v>
      </c>
      <c r="N77" s="32"/>
      <c r="O77" s="31">
        <v>40</v>
      </c>
      <c r="P77" s="7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3"/>
      <c r="V77" s="33"/>
      <c r="W77" s="34" t="s">
        <v>71</v>
      </c>
      <c r="X77" s="575">
        <v>0</v>
      </c>
      <c r="Y77" s="576">
        <f t="shared" si="11"/>
        <v>0</v>
      </c>
      <c r="Z77" s="35" t="str">
        <f>IFERROR(IF(Y77=0,"",ROUNDUP(Y77/H77,0)*0.00651),"")</f>
        <v/>
      </c>
      <c r="AA77" s="55"/>
      <c r="AB77" s="56"/>
      <c r="AC77" s="123" t="s">
        <v>162</v>
      </c>
      <c r="AG77" s="63"/>
      <c r="AJ77" s="66"/>
      <c r="AK77" s="66">
        <v>0</v>
      </c>
      <c r="BB77" s="124" t="s">
        <v>1</v>
      </c>
      <c r="BM77" s="63">
        <f t="shared" si="12"/>
        <v>0</v>
      </c>
      <c r="BN77" s="63">
        <f t="shared" si="13"/>
        <v>0</v>
      </c>
      <c r="BO77" s="63">
        <f t="shared" si="14"/>
        <v>0</v>
      </c>
      <c r="BP77" s="63">
        <f t="shared" si="15"/>
        <v>0</v>
      </c>
    </row>
    <row r="78" spans="1:68" ht="27" hidden="1" customHeight="1" x14ac:dyDescent="0.25">
      <c r="A78" s="53" t="s">
        <v>171</v>
      </c>
      <c r="B78" s="53" t="s">
        <v>172</v>
      </c>
      <c r="C78" s="30">
        <v>4301051844</v>
      </c>
      <c r="D78" s="594">
        <v>4680115885929</v>
      </c>
      <c r="E78" s="595"/>
      <c r="F78" s="574">
        <v>0.42</v>
      </c>
      <c r="G78" s="31">
        <v>6</v>
      </c>
      <c r="H78" s="574">
        <v>2.52</v>
      </c>
      <c r="I78" s="574">
        <v>2.7</v>
      </c>
      <c r="J78" s="31">
        <v>182</v>
      </c>
      <c r="K78" s="31" t="s">
        <v>78</v>
      </c>
      <c r="L78" s="31"/>
      <c r="M78" s="32" t="s">
        <v>79</v>
      </c>
      <c r="N78" s="32"/>
      <c r="O78" s="31">
        <v>45</v>
      </c>
      <c r="P78" s="69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3"/>
      <c r="V78" s="33"/>
      <c r="W78" s="34" t="s">
        <v>71</v>
      </c>
      <c r="X78" s="575">
        <v>0</v>
      </c>
      <c r="Y78" s="576">
        <f t="shared" si="11"/>
        <v>0</v>
      </c>
      <c r="Z78" s="35" t="str">
        <f>IFERROR(IF(Y78=0,"",ROUNDUP(Y78/H78,0)*0.00651),"")</f>
        <v/>
      </c>
      <c r="AA78" s="55"/>
      <c r="AB78" s="56"/>
      <c r="AC78" s="125" t="s">
        <v>165</v>
      </c>
      <c r="AG78" s="63"/>
      <c r="AJ78" s="66"/>
      <c r="AK78" s="66">
        <v>0</v>
      </c>
      <c r="BB78" s="126" t="s">
        <v>1</v>
      </c>
      <c r="BM78" s="63">
        <f t="shared" si="12"/>
        <v>0</v>
      </c>
      <c r="BN78" s="63">
        <f t="shared" si="13"/>
        <v>0</v>
      </c>
      <c r="BO78" s="63">
        <f t="shared" si="14"/>
        <v>0</v>
      </c>
      <c r="BP78" s="63">
        <f t="shared" si="15"/>
        <v>0</v>
      </c>
    </row>
    <row r="79" spans="1:68" ht="27" hidden="1" customHeight="1" x14ac:dyDescent="0.25">
      <c r="A79" s="53" t="s">
        <v>173</v>
      </c>
      <c r="B79" s="53" t="s">
        <v>174</v>
      </c>
      <c r="C79" s="30">
        <v>4301051929</v>
      </c>
      <c r="D79" s="594">
        <v>4680115884403</v>
      </c>
      <c r="E79" s="595"/>
      <c r="F79" s="574">
        <v>0.3</v>
      </c>
      <c r="G79" s="31">
        <v>6</v>
      </c>
      <c r="H79" s="574">
        <v>1.8</v>
      </c>
      <c r="I79" s="574">
        <v>1.98</v>
      </c>
      <c r="J79" s="31">
        <v>182</v>
      </c>
      <c r="K79" s="31" t="s">
        <v>78</v>
      </c>
      <c r="L79" s="31"/>
      <c r="M79" s="32" t="s">
        <v>79</v>
      </c>
      <c r="N79" s="32"/>
      <c r="O79" s="31">
        <v>40</v>
      </c>
      <c r="P79" s="6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3"/>
      <c r="V79" s="33"/>
      <c r="W79" s="34" t="s">
        <v>71</v>
      </c>
      <c r="X79" s="575">
        <v>0</v>
      </c>
      <c r="Y79" s="576">
        <f t="shared" si="11"/>
        <v>0</v>
      </c>
      <c r="Z79" s="35" t="str">
        <f>IFERROR(IF(Y79=0,"",ROUNDUP(Y79/H79,0)*0.00651),"")</f>
        <v/>
      </c>
      <c r="AA79" s="55"/>
      <c r="AB79" s="56"/>
      <c r="AC79" s="127" t="s">
        <v>168</v>
      </c>
      <c r="AG79" s="63"/>
      <c r="AJ79" s="66"/>
      <c r="AK79" s="66">
        <v>0</v>
      </c>
      <c r="BB79" s="128" t="s">
        <v>1</v>
      </c>
      <c r="BM79" s="63">
        <f t="shared" si="12"/>
        <v>0</v>
      </c>
      <c r="BN79" s="63">
        <f t="shared" si="13"/>
        <v>0</v>
      </c>
      <c r="BO79" s="63">
        <f t="shared" si="14"/>
        <v>0</v>
      </c>
      <c r="BP79" s="63">
        <f t="shared" si="15"/>
        <v>0</v>
      </c>
    </row>
    <row r="80" spans="1:68" hidden="1" x14ac:dyDescent="0.2">
      <c r="A80" s="592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3"/>
      <c r="P80" s="584" t="s">
        <v>73</v>
      </c>
      <c r="Q80" s="585"/>
      <c r="R80" s="585"/>
      <c r="S80" s="585"/>
      <c r="T80" s="585"/>
      <c r="U80" s="585"/>
      <c r="V80" s="586"/>
      <c r="W80" s="36" t="s">
        <v>74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3"/>
      <c r="P81" s="584" t="s">
        <v>73</v>
      </c>
      <c r="Q81" s="585"/>
      <c r="R81" s="585"/>
      <c r="S81" s="585"/>
      <c r="T81" s="585"/>
      <c r="U81" s="585"/>
      <c r="V81" s="586"/>
      <c r="W81" s="36" t="s">
        <v>71</v>
      </c>
      <c r="X81" s="577">
        <f>IFERROR(SUM(X74:X79),"0")</f>
        <v>0</v>
      </c>
      <c r="Y81" s="577">
        <f>IFERROR(SUM(Y74:Y79),"0")</f>
        <v>0</v>
      </c>
      <c r="Z81" s="36"/>
      <c r="AA81" s="578"/>
      <c r="AB81" s="578"/>
      <c r="AC81" s="578"/>
    </row>
    <row r="82" spans="1:68" ht="14.25" hidden="1" customHeight="1" x14ac:dyDescent="0.25">
      <c r="A82" s="587" t="s">
        <v>175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65"/>
      <c r="AB82" s="565"/>
      <c r="AC82" s="565"/>
    </row>
    <row r="83" spans="1:68" ht="27" hidden="1" customHeight="1" x14ac:dyDescent="0.25">
      <c r="A83" s="53" t="s">
        <v>176</v>
      </c>
      <c r="B83" s="53" t="s">
        <v>177</v>
      </c>
      <c r="C83" s="30">
        <v>4301060455</v>
      </c>
      <c r="D83" s="594">
        <v>4680115881532</v>
      </c>
      <c r="E83" s="595"/>
      <c r="F83" s="574">
        <v>1.3</v>
      </c>
      <c r="G83" s="31">
        <v>6</v>
      </c>
      <c r="H83" s="574">
        <v>7.8</v>
      </c>
      <c r="I83" s="574">
        <v>8.2349999999999994</v>
      </c>
      <c r="J83" s="31">
        <v>64</v>
      </c>
      <c r="K83" s="31" t="s">
        <v>107</v>
      </c>
      <c r="L83" s="31"/>
      <c r="M83" s="32" t="s">
        <v>94</v>
      </c>
      <c r="N83" s="32"/>
      <c r="O83" s="31">
        <v>30</v>
      </c>
      <c r="P83" s="9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3"/>
      <c r="V83" s="33"/>
      <c r="W83" s="34" t="s">
        <v>71</v>
      </c>
      <c r="X83" s="575">
        <v>0</v>
      </c>
      <c r="Y83" s="576">
        <f>IFERROR(IF(X83="",0,CEILING((X83/$H83),1)*$H83),"")</f>
        <v>0</v>
      </c>
      <c r="Z83" s="35" t="str">
        <f>IFERROR(IF(Y83=0,"",ROUNDUP(Y83/H83,0)*0.01898),"")</f>
        <v/>
      </c>
      <c r="AA83" s="55"/>
      <c r="AB83" s="56"/>
      <c r="AC83" s="129" t="s">
        <v>178</v>
      </c>
      <c r="AG83" s="63"/>
      <c r="AJ83" s="66"/>
      <c r="AK83" s="66">
        <v>0</v>
      </c>
      <c r="BB83" s="130" t="s">
        <v>1</v>
      </c>
      <c r="BM83" s="63">
        <f>IFERROR(X83*I83/H83,"0")</f>
        <v>0</v>
      </c>
      <c r="BN83" s="63">
        <f>IFERROR(Y83*I83/H83,"0")</f>
        <v>0</v>
      </c>
      <c r="BO83" s="63">
        <f>IFERROR(1/J83*(X83/H83),"0")</f>
        <v>0</v>
      </c>
      <c r="BP83" s="63">
        <f>IFERROR(1/J83*(Y83/H83),"0")</f>
        <v>0</v>
      </c>
    </row>
    <row r="84" spans="1:68" ht="27" hidden="1" customHeight="1" x14ac:dyDescent="0.25">
      <c r="A84" s="53" t="s">
        <v>179</v>
      </c>
      <c r="B84" s="53" t="s">
        <v>180</v>
      </c>
      <c r="C84" s="30">
        <v>4301060351</v>
      </c>
      <c r="D84" s="594">
        <v>4680115881464</v>
      </c>
      <c r="E84" s="595"/>
      <c r="F84" s="574">
        <v>0.4</v>
      </c>
      <c r="G84" s="31">
        <v>6</v>
      </c>
      <c r="H84" s="574">
        <v>2.4</v>
      </c>
      <c r="I84" s="574">
        <v>2.61</v>
      </c>
      <c r="J84" s="31">
        <v>132</v>
      </c>
      <c r="K84" s="31" t="s">
        <v>112</v>
      </c>
      <c r="L84" s="31"/>
      <c r="M84" s="32" t="s">
        <v>79</v>
      </c>
      <c r="N84" s="32"/>
      <c r="O84" s="31">
        <v>30</v>
      </c>
      <c r="P84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3"/>
      <c r="V84" s="33"/>
      <c r="W84" s="34" t="s">
        <v>71</v>
      </c>
      <c r="X84" s="575">
        <v>0</v>
      </c>
      <c r="Y84" s="576">
        <f>IFERROR(IF(X84="",0,CEILING((X84/$H84),1)*$H84),"")</f>
        <v>0</v>
      </c>
      <c r="Z84" s="35" t="str">
        <f>IFERROR(IF(Y84=0,"",ROUNDUP(Y84/H84,0)*0.00902),"")</f>
        <v/>
      </c>
      <c r="AA84" s="55"/>
      <c r="AB84" s="56"/>
      <c r="AC84" s="131" t="s">
        <v>181</v>
      </c>
      <c r="AG84" s="63"/>
      <c r="AJ84" s="66"/>
      <c r="AK84" s="66">
        <v>0</v>
      </c>
      <c r="BB84" s="132" t="s">
        <v>1</v>
      </c>
      <c r="BM84" s="63">
        <f>IFERROR(X84*I84/H84,"0")</f>
        <v>0</v>
      </c>
      <c r="BN84" s="63">
        <f>IFERROR(Y84*I84/H84,"0")</f>
        <v>0</v>
      </c>
      <c r="BO84" s="63">
        <f>IFERROR(1/J84*(X84/H84),"0")</f>
        <v>0</v>
      </c>
      <c r="BP84" s="63">
        <f>IFERROR(1/J84*(Y84/H84),"0")</f>
        <v>0</v>
      </c>
    </row>
    <row r="85" spans="1:68" hidden="1" x14ac:dyDescent="0.2">
      <c r="A85" s="592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3"/>
      <c r="P85" s="584" t="s">
        <v>73</v>
      </c>
      <c r="Q85" s="585"/>
      <c r="R85" s="585"/>
      <c r="S85" s="585"/>
      <c r="T85" s="585"/>
      <c r="U85" s="585"/>
      <c r="V85" s="586"/>
      <c r="W85" s="36" t="s">
        <v>74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3"/>
      <c r="P86" s="584" t="s">
        <v>73</v>
      </c>
      <c r="Q86" s="585"/>
      <c r="R86" s="585"/>
      <c r="S86" s="585"/>
      <c r="T86" s="585"/>
      <c r="U86" s="585"/>
      <c r="V86" s="586"/>
      <c r="W86" s="36" t="s">
        <v>71</v>
      </c>
      <c r="X86" s="577">
        <f>IFERROR(SUM(X83:X84),"0")</f>
        <v>0</v>
      </c>
      <c r="Y86" s="577">
        <f>IFERROR(SUM(Y83:Y84),"0")</f>
        <v>0</v>
      </c>
      <c r="Z86" s="36"/>
      <c r="AA86" s="578"/>
      <c r="AB86" s="578"/>
      <c r="AC86" s="578"/>
    </row>
    <row r="87" spans="1:68" ht="16.5" hidden="1" customHeight="1" x14ac:dyDescent="0.25">
      <c r="A87" s="648" t="s">
        <v>182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1"/>
      <c r="AB87" s="571"/>
      <c r="AC87" s="571"/>
    </row>
    <row r="88" spans="1:68" ht="14.25" hidden="1" customHeight="1" x14ac:dyDescent="0.25">
      <c r="A88" s="587" t="s">
        <v>104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65"/>
      <c r="AB88" s="565"/>
      <c r="AC88" s="565"/>
    </row>
    <row r="89" spans="1:68" ht="27" hidden="1" customHeight="1" x14ac:dyDescent="0.25">
      <c r="A89" s="53" t="s">
        <v>183</v>
      </c>
      <c r="B89" s="53" t="s">
        <v>184</v>
      </c>
      <c r="C89" s="30">
        <v>4301011468</v>
      </c>
      <c r="D89" s="594">
        <v>4680115881327</v>
      </c>
      <c r="E89" s="595"/>
      <c r="F89" s="574">
        <v>1.35</v>
      </c>
      <c r="G89" s="31">
        <v>8</v>
      </c>
      <c r="H89" s="574">
        <v>10.8</v>
      </c>
      <c r="I89" s="574">
        <v>11.234999999999999</v>
      </c>
      <c r="J89" s="31">
        <v>64</v>
      </c>
      <c r="K89" s="31" t="s">
        <v>107</v>
      </c>
      <c r="L89" s="31"/>
      <c r="M89" s="32" t="s">
        <v>94</v>
      </c>
      <c r="N89" s="32"/>
      <c r="O89" s="31">
        <v>50</v>
      </c>
      <c r="P89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3"/>
      <c r="V89" s="33"/>
      <c r="W89" s="34" t="s">
        <v>71</v>
      </c>
      <c r="X89" s="575">
        <v>0</v>
      </c>
      <c r="Y89" s="576">
        <f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33" t="s">
        <v>185</v>
      </c>
      <c r="AG89" s="63"/>
      <c r="AJ89" s="66"/>
      <c r="AK89" s="66">
        <v>0</v>
      </c>
      <c r="BB89" s="134" t="s">
        <v>1</v>
      </c>
      <c r="BM89" s="63">
        <f>IFERROR(X89*I89/H89,"0")</f>
        <v>0</v>
      </c>
      <c r="BN89" s="63">
        <f>IFERROR(Y89*I89/H89,"0")</f>
        <v>0</v>
      </c>
      <c r="BO89" s="63">
        <f>IFERROR(1/J89*(X89/H89),"0")</f>
        <v>0</v>
      </c>
      <c r="BP89" s="63">
        <f>IFERROR(1/J89*(Y89/H89),"0")</f>
        <v>0</v>
      </c>
    </row>
    <row r="90" spans="1:68" ht="16.5" hidden="1" customHeight="1" x14ac:dyDescent="0.25">
      <c r="A90" s="53" t="s">
        <v>186</v>
      </c>
      <c r="B90" s="53" t="s">
        <v>187</v>
      </c>
      <c r="C90" s="30">
        <v>4301011476</v>
      </c>
      <c r="D90" s="594">
        <v>4680115881518</v>
      </c>
      <c r="E90" s="595"/>
      <c r="F90" s="574">
        <v>0.4</v>
      </c>
      <c r="G90" s="31">
        <v>10</v>
      </c>
      <c r="H90" s="574">
        <v>4</v>
      </c>
      <c r="I90" s="574">
        <v>4.21</v>
      </c>
      <c r="J90" s="31">
        <v>132</v>
      </c>
      <c r="K90" s="31" t="s">
        <v>112</v>
      </c>
      <c r="L90" s="31"/>
      <c r="M90" s="32" t="s">
        <v>79</v>
      </c>
      <c r="N90" s="32"/>
      <c r="O90" s="31">
        <v>50</v>
      </c>
      <c r="P90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3"/>
      <c r="V90" s="33"/>
      <c r="W90" s="34" t="s">
        <v>71</v>
      </c>
      <c r="X90" s="575">
        <v>0</v>
      </c>
      <c r="Y90" s="576">
        <f>IFERROR(IF(X90="",0,CEILING((X90/$H90),1)*$H90),"")</f>
        <v>0</v>
      </c>
      <c r="Z90" s="35" t="str">
        <f>IFERROR(IF(Y90=0,"",ROUNDUP(Y90/H90,0)*0.00902),"")</f>
        <v/>
      </c>
      <c r="AA90" s="55"/>
      <c r="AB90" s="56"/>
      <c r="AC90" s="135" t="s">
        <v>185</v>
      </c>
      <c r="AG90" s="63"/>
      <c r="AJ90" s="66"/>
      <c r="AK90" s="66">
        <v>0</v>
      </c>
      <c r="BB90" s="136" t="s">
        <v>1</v>
      </c>
      <c r="BM90" s="63">
        <f>IFERROR(X90*I90/H90,"0")</f>
        <v>0</v>
      </c>
      <c r="BN90" s="63">
        <f>IFERROR(Y90*I90/H90,"0")</f>
        <v>0</v>
      </c>
      <c r="BO90" s="63">
        <f>IFERROR(1/J90*(X90/H90),"0")</f>
        <v>0</v>
      </c>
      <c r="BP90" s="63">
        <f>IFERROR(1/J90*(Y90/H90),"0")</f>
        <v>0</v>
      </c>
    </row>
    <row r="91" spans="1:68" ht="27" customHeight="1" x14ac:dyDescent="0.25">
      <c r="A91" s="53" t="s">
        <v>188</v>
      </c>
      <c r="B91" s="53" t="s">
        <v>189</v>
      </c>
      <c r="C91" s="30">
        <v>4301011443</v>
      </c>
      <c r="D91" s="594">
        <v>4680115881303</v>
      </c>
      <c r="E91" s="595"/>
      <c r="F91" s="574">
        <v>0.45</v>
      </c>
      <c r="G91" s="31">
        <v>10</v>
      </c>
      <c r="H91" s="574">
        <v>4.5</v>
      </c>
      <c r="I91" s="574">
        <v>4.71</v>
      </c>
      <c r="J91" s="31">
        <v>132</v>
      </c>
      <c r="K91" s="31" t="s">
        <v>112</v>
      </c>
      <c r="L91" s="31" t="s">
        <v>115</v>
      </c>
      <c r="M91" s="32" t="s">
        <v>94</v>
      </c>
      <c r="N91" s="32"/>
      <c r="O91" s="31">
        <v>50</v>
      </c>
      <c r="P91" s="8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3"/>
      <c r="V91" s="33"/>
      <c r="W91" s="34" t="s">
        <v>71</v>
      </c>
      <c r="X91" s="575">
        <v>131</v>
      </c>
      <c r="Y91" s="576">
        <f>IFERROR(IF(X91="",0,CEILING((X91/$H91),1)*$H91),"")</f>
        <v>135</v>
      </c>
      <c r="Z91" s="35">
        <f>IFERROR(IF(Y91=0,"",ROUNDUP(Y91/H91,0)*0.00902),"")</f>
        <v>0.27060000000000001</v>
      </c>
      <c r="AA91" s="55"/>
      <c r="AB91" s="56"/>
      <c r="AC91" s="137" t="s">
        <v>185</v>
      </c>
      <c r="AG91" s="63"/>
      <c r="AJ91" s="66" t="s">
        <v>116</v>
      </c>
      <c r="AK91" s="66">
        <v>54</v>
      </c>
      <c r="BB91" s="138" t="s">
        <v>1</v>
      </c>
      <c r="BM91" s="63">
        <f>IFERROR(X91*I91/H91,"0")</f>
        <v>137.11333333333334</v>
      </c>
      <c r="BN91" s="63">
        <f>IFERROR(Y91*I91/H91,"0")</f>
        <v>141.30000000000001</v>
      </c>
      <c r="BO91" s="63">
        <f>IFERROR(1/J91*(X91/H91),"0")</f>
        <v>0.22053872053872053</v>
      </c>
      <c r="BP91" s="63">
        <f>IFERROR(1/J91*(Y91/H91),"0")</f>
        <v>0.22727272727272729</v>
      </c>
    </row>
    <row r="92" spans="1:68" x14ac:dyDescent="0.2">
      <c r="A92" s="592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3"/>
      <c r="P92" s="584" t="s">
        <v>73</v>
      </c>
      <c r="Q92" s="585"/>
      <c r="R92" s="585"/>
      <c r="S92" s="585"/>
      <c r="T92" s="585"/>
      <c r="U92" s="585"/>
      <c r="V92" s="586"/>
      <c r="W92" s="36" t="s">
        <v>74</v>
      </c>
      <c r="X92" s="577">
        <f>IFERROR(X89/H89,"0")+IFERROR(X90/H90,"0")+IFERROR(X91/H91,"0")</f>
        <v>29.111111111111111</v>
      </c>
      <c r="Y92" s="577">
        <f>IFERROR(Y89/H89,"0")+IFERROR(Y90/H90,"0")+IFERROR(Y91/H91,"0")</f>
        <v>30</v>
      </c>
      <c r="Z92" s="577">
        <f>IFERROR(IF(Z89="",0,Z89),"0")+IFERROR(IF(Z90="",0,Z90),"0")+IFERROR(IF(Z91="",0,Z91),"0")</f>
        <v>0.27060000000000001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3"/>
      <c r="P93" s="584" t="s">
        <v>73</v>
      </c>
      <c r="Q93" s="585"/>
      <c r="R93" s="585"/>
      <c r="S93" s="585"/>
      <c r="T93" s="585"/>
      <c r="U93" s="585"/>
      <c r="V93" s="586"/>
      <c r="W93" s="36" t="s">
        <v>71</v>
      </c>
      <c r="X93" s="577">
        <f>IFERROR(SUM(X89:X91),"0")</f>
        <v>131</v>
      </c>
      <c r="Y93" s="577">
        <f>IFERROR(SUM(Y89:Y91),"0")</f>
        <v>135</v>
      </c>
      <c r="Z93" s="36"/>
      <c r="AA93" s="578"/>
      <c r="AB93" s="578"/>
      <c r="AC93" s="578"/>
    </row>
    <row r="94" spans="1:68" ht="14.25" hidden="1" customHeight="1" x14ac:dyDescent="0.25">
      <c r="A94" s="587" t="s">
        <v>75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65"/>
      <c r="AB94" s="565"/>
      <c r="AC94" s="565"/>
    </row>
    <row r="95" spans="1:68" ht="16.5" customHeight="1" x14ac:dyDescent="0.25">
      <c r="A95" s="53" t="s">
        <v>190</v>
      </c>
      <c r="B95" s="53" t="s">
        <v>191</v>
      </c>
      <c r="C95" s="30">
        <v>4301051712</v>
      </c>
      <c r="D95" s="594">
        <v>4607091386967</v>
      </c>
      <c r="E95" s="595"/>
      <c r="F95" s="574">
        <v>1.35</v>
      </c>
      <c r="G95" s="31">
        <v>6</v>
      </c>
      <c r="H95" s="574">
        <v>8.1</v>
      </c>
      <c r="I95" s="574">
        <v>8.6189999999999998</v>
      </c>
      <c r="J95" s="31">
        <v>64</v>
      </c>
      <c r="K95" s="31" t="s">
        <v>107</v>
      </c>
      <c r="L95" s="31"/>
      <c r="M95" s="32" t="s">
        <v>94</v>
      </c>
      <c r="N95" s="32"/>
      <c r="O95" s="31">
        <v>45</v>
      </c>
      <c r="P95" s="659" t="s">
        <v>192</v>
      </c>
      <c r="Q95" s="580"/>
      <c r="R95" s="580"/>
      <c r="S95" s="580"/>
      <c r="T95" s="581"/>
      <c r="U95" s="33"/>
      <c r="V95" s="33"/>
      <c r="W95" s="34" t="s">
        <v>71</v>
      </c>
      <c r="X95" s="575">
        <v>24</v>
      </c>
      <c r="Y95" s="576">
        <f t="shared" ref="Y95:Y100" si="16">IFERROR(IF(X95="",0,CEILING((X95/$H95),1)*$H95),"")</f>
        <v>24.299999999999997</v>
      </c>
      <c r="Z95" s="35">
        <f>IFERROR(IF(Y95=0,"",ROUNDUP(Y95/H95,0)*0.01898),"")</f>
        <v>5.6940000000000004E-2</v>
      </c>
      <c r="AA95" s="55"/>
      <c r="AB95" s="56"/>
      <c r="AC95" s="139" t="s">
        <v>193</v>
      </c>
      <c r="AG95" s="63"/>
      <c r="AJ95" s="66"/>
      <c r="AK95" s="66">
        <v>0</v>
      </c>
      <c r="BB95" s="140" t="s">
        <v>1</v>
      </c>
      <c r="BM95" s="63">
        <f t="shared" ref="BM95:BM100" si="17">IFERROR(X95*I95/H95,"0")</f>
        <v>25.537777777777777</v>
      </c>
      <c r="BN95" s="63">
        <f t="shared" ref="BN95:BN100" si="18">IFERROR(Y95*I95/H95,"0")</f>
        <v>25.856999999999996</v>
      </c>
      <c r="BO95" s="63">
        <f t="shared" ref="BO95:BO100" si="19">IFERROR(1/J95*(X95/H95),"0")</f>
        <v>4.6296296296296301E-2</v>
      </c>
      <c r="BP95" s="63">
        <f t="shared" ref="BP95:BP100" si="20">IFERROR(1/J95*(Y95/H95),"0")</f>
        <v>4.6875E-2</v>
      </c>
    </row>
    <row r="96" spans="1:68" ht="16.5" hidden="1" customHeight="1" x14ac:dyDescent="0.25">
      <c r="A96" s="53" t="s">
        <v>190</v>
      </c>
      <c r="B96" s="53" t="s">
        <v>194</v>
      </c>
      <c r="C96" s="30">
        <v>4301051437</v>
      </c>
      <c r="D96" s="594">
        <v>4607091386967</v>
      </c>
      <c r="E96" s="595"/>
      <c r="F96" s="574">
        <v>1.35</v>
      </c>
      <c r="G96" s="31">
        <v>6</v>
      </c>
      <c r="H96" s="574">
        <v>8.1</v>
      </c>
      <c r="I96" s="574">
        <v>8.6189999999999998</v>
      </c>
      <c r="J96" s="31">
        <v>64</v>
      </c>
      <c r="K96" s="31" t="s">
        <v>107</v>
      </c>
      <c r="L96" s="31"/>
      <c r="M96" s="32" t="s">
        <v>79</v>
      </c>
      <c r="N96" s="32"/>
      <c r="O96" s="31">
        <v>45</v>
      </c>
      <c r="P96" s="7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3"/>
      <c r="V96" s="33"/>
      <c r="W96" s="34" t="s">
        <v>71</v>
      </c>
      <c r="X96" s="575">
        <v>0</v>
      </c>
      <c r="Y96" s="576">
        <f t="shared" si="16"/>
        <v>0</v>
      </c>
      <c r="Z96" s="35" t="str">
        <f>IFERROR(IF(Y96=0,"",ROUNDUP(Y96/H96,0)*0.01898),"")</f>
        <v/>
      </c>
      <c r="AA96" s="55"/>
      <c r="AB96" s="56"/>
      <c r="AC96" s="141" t="s">
        <v>193</v>
      </c>
      <c r="AG96" s="63"/>
      <c r="AJ96" s="66"/>
      <c r="AK96" s="66">
        <v>0</v>
      </c>
      <c r="BB96" s="142" t="s">
        <v>1</v>
      </c>
      <c r="BM96" s="63">
        <f t="shared" si="17"/>
        <v>0</v>
      </c>
      <c r="BN96" s="63">
        <f t="shared" si="18"/>
        <v>0</v>
      </c>
      <c r="BO96" s="63">
        <f t="shared" si="19"/>
        <v>0</v>
      </c>
      <c r="BP96" s="63">
        <f t="shared" si="20"/>
        <v>0</v>
      </c>
    </row>
    <row r="97" spans="1:68" ht="27" hidden="1" customHeight="1" x14ac:dyDescent="0.25">
      <c r="A97" s="53" t="s">
        <v>195</v>
      </c>
      <c r="B97" s="53" t="s">
        <v>196</v>
      </c>
      <c r="C97" s="30">
        <v>4301051788</v>
      </c>
      <c r="D97" s="594">
        <v>4680115884953</v>
      </c>
      <c r="E97" s="595"/>
      <c r="F97" s="574">
        <v>0.37</v>
      </c>
      <c r="G97" s="31">
        <v>6</v>
      </c>
      <c r="H97" s="574">
        <v>2.2200000000000002</v>
      </c>
      <c r="I97" s="574">
        <v>2.472</v>
      </c>
      <c r="J97" s="31">
        <v>182</v>
      </c>
      <c r="K97" s="31" t="s">
        <v>78</v>
      </c>
      <c r="L97" s="31"/>
      <c r="M97" s="32" t="s">
        <v>79</v>
      </c>
      <c r="N97" s="32"/>
      <c r="O97" s="31">
        <v>45</v>
      </c>
      <c r="P97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3"/>
      <c r="V97" s="33"/>
      <c r="W97" s="34" t="s">
        <v>71</v>
      </c>
      <c r="X97" s="575">
        <v>0</v>
      </c>
      <c r="Y97" s="576">
        <f t="shared" si="16"/>
        <v>0</v>
      </c>
      <c r="Z97" s="35" t="str">
        <f>IFERROR(IF(Y97=0,"",ROUNDUP(Y97/H97,0)*0.00651),"")</f>
        <v/>
      </c>
      <c r="AA97" s="55"/>
      <c r="AB97" s="56"/>
      <c r="AC97" s="143" t="s">
        <v>197</v>
      </c>
      <c r="AG97" s="63"/>
      <c r="AJ97" s="66"/>
      <c r="AK97" s="66">
        <v>0</v>
      </c>
      <c r="BB97" s="144" t="s">
        <v>1</v>
      </c>
      <c r="BM97" s="63">
        <f t="shared" si="17"/>
        <v>0</v>
      </c>
      <c r="BN97" s="63">
        <f t="shared" si="18"/>
        <v>0</v>
      </c>
      <c r="BO97" s="63">
        <f t="shared" si="19"/>
        <v>0</v>
      </c>
      <c r="BP97" s="63">
        <f t="shared" si="20"/>
        <v>0</v>
      </c>
    </row>
    <row r="98" spans="1:68" ht="27" hidden="1" customHeight="1" x14ac:dyDescent="0.25">
      <c r="A98" s="53" t="s">
        <v>198</v>
      </c>
      <c r="B98" s="53" t="s">
        <v>199</v>
      </c>
      <c r="C98" s="30">
        <v>4301051718</v>
      </c>
      <c r="D98" s="594">
        <v>4607091385731</v>
      </c>
      <c r="E98" s="595"/>
      <c r="F98" s="574">
        <v>0.45</v>
      </c>
      <c r="G98" s="31">
        <v>6</v>
      </c>
      <c r="H98" s="574">
        <v>2.7</v>
      </c>
      <c r="I98" s="574">
        <v>2.952</v>
      </c>
      <c r="J98" s="31">
        <v>182</v>
      </c>
      <c r="K98" s="31" t="s">
        <v>78</v>
      </c>
      <c r="L98" s="31"/>
      <c r="M98" s="32" t="s">
        <v>94</v>
      </c>
      <c r="N98" s="32"/>
      <c r="O98" s="31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3"/>
      <c r="V98" s="33"/>
      <c r="W98" s="34" t="s">
        <v>71</v>
      </c>
      <c r="X98" s="575">
        <v>0</v>
      </c>
      <c r="Y98" s="576">
        <f t="shared" si="16"/>
        <v>0</v>
      </c>
      <c r="Z98" s="35" t="str">
        <f>IFERROR(IF(Y98=0,"",ROUNDUP(Y98/H98,0)*0.00651),"")</f>
        <v/>
      </c>
      <c r="AA98" s="55"/>
      <c r="AB98" s="56"/>
      <c r="AC98" s="145" t="s">
        <v>193</v>
      </c>
      <c r="AG98" s="63"/>
      <c r="AJ98" s="66"/>
      <c r="AK98" s="66">
        <v>0</v>
      </c>
      <c r="BB98" s="146" t="s">
        <v>1</v>
      </c>
      <c r="BM98" s="63">
        <f t="shared" si="17"/>
        <v>0</v>
      </c>
      <c r="BN98" s="63">
        <f t="shared" si="18"/>
        <v>0</v>
      </c>
      <c r="BO98" s="63">
        <f t="shared" si="19"/>
        <v>0</v>
      </c>
      <c r="BP98" s="63">
        <f t="shared" si="20"/>
        <v>0</v>
      </c>
    </row>
    <row r="99" spans="1:68" ht="27" customHeight="1" x14ac:dyDescent="0.25">
      <c r="A99" s="53" t="s">
        <v>198</v>
      </c>
      <c r="B99" s="53" t="s">
        <v>200</v>
      </c>
      <c r="C99" s="30">
        <v>4301052039</v>
      </c>
      <c r="D99" s="594">
        <v>4607091385731</v>
      </c>
      <c r="E99" s="595"/>
      <c r="F99" s="574">
        <v>0.45</v>
      </c>
      <c r="G99" s="31">
        <v>6</v>
      </c>
      <c r="H99" s="574">
        <v>2.7</v>
      </c>
      <c r="I99" s="574">
        <v>2.952</v>
      </c>
      <c r="J99" s="31">
        <v>182</v>
      </c>
      <c r="K99" s="31" t="s">
        <v>78</v>
      </c>
      <c r="L99" s="31"/>
      <c r="M99" s="32" t="s">
        <v>79</v>
      </c>
      <c r="N99" s="32"/>
      <c r="O99" s="31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3"/>
      <c r="V99" s="33"/>
      <c r="W99" s="34" t="s">
        <v>71</v>
      </c>
      <c r="X99" s="575">
        <v>101</v>
      </c>
      <c r="Y99" s="576">
        <f t="shared" si="16"/>
        <v>102.60000000000001</v>
      </c>
      <c r="Z99" s="35">
        <f>IFERROR(IF(Y99=0,"",ROUNDUP(Y99/H99,0)*0.00651),"")</f>
        <v>0.24738000000000002</v>
      </c>
      <c r="AA99" s="55"/>
      <c r="AB99" s="56"/>
      <c r="AC99" s="147" t="s">
        <v>201</v>
      </c>
      <c r="AG99" s="63"/>
      <c r="AJ99" s="66"/>
      <c r="AK99" s="66">
        <v>0</v>
      </c>
      <c r="BB99" s="148" t="s">
        <v>1</v>
      </c>
      <c r="BM99" s="63">
        <f t="shared" si="17"/>
        <v>110.42666666666665</v>
      </c>
      <c r="BN99" s="63">
        <f t="shared" si="18"/>
        <v>112.176</v>
      </c>
      <c r="BO99" s="63">
        <f t="shared" si="19"/>
        <v>0.20553520553520555</v>
      </c>
      <c r="BP99" s="63">
        <f t="shared" si="20"/>
        <v>0.2087912087912088</v>
      </c>
    </row>
    <row r="100" spans="1:68" ht="16.5" hidden="1" customHeight="1" x14ac:dyDescent="0.25">
      <c r="A100" s="53" t="s">
        <v>202</v>
      </c>
      <c r="B100" s="53" t="s">
        <v>203</v>
      </c>
      <c r="C100" s="30">
        <v>4301051438</v>
      </c>
      <c r="D100" s="594">
        <v>4680115880894</v>
      </c>
      <c r="E100" s="595"/>
      <c r="F100" s="574">
        <v>0.33</v>
      </c>
      <c r="G100" s="31">
        <v>6</v>
      </c>
      <c r="H100" s="574">
        <v>1.98</v>
      </c>
      <c r="I100" s="574">
        <v>2.238</v>
      </c>
      <c r="J100" s="31">
        <v>182</v>
      </c>
      <c r="K100" s="31" t="s">
        <v>78</v>
      </c>
      <c r="L100" s="31"/>
      <c r="M100" s="32" t="s">
        <v>79</v>
      </c>
      <c r="N100" s="32"/>
      <c r="O100" s="31">
        <v>45</v>
      </c>
      <c r="P100" s="6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3"/>
      <c r="V100" s="33"/>
      <c r="W100" s="34" t="s">
        <v>71</v>
      </c>
      <c r="X100" s="575">
        <v>0</v>
      </c>
      <c r="Y100" s="576">
        <f t="shared" si="16"/>
        <v>0</v>
      </c>
      <c r="Z100" s="35" t="str">
        <f>IFERROR(IF(Y100=0,"",ROUNDUP(Y100/H100,0)*0.00651),"")</f>
        <v/>
      </c>
      <c r="AA100" s="55"/>
      <c r="AB100" s="56"/>
      <c r="AC100" s="149" t="s">
        <v>204</v>
      </c>
      <c r="AG100" s="63"/>
      <c r="AJ100" s="66"/>
      <c r="AK100" s="66">
        <v>0</v>
      </c>
      <c r="BB100" s="150" t="s">
        <v>1</v>
      </c>
      <c r="BM100" s="63">
        <f t="shared" si="17"/>
        <v>0</v>
      </c>
      <c r="BN100" s="63">
        <f t="shared" si="18"/>
        <v>0</v>
      </c>
      <c r="BO100" s="63">
        <f t="shared" si="19"/>
        <v>0</v>
      </c>
      <c r="BP100" s="63">
        <f t="shared" si="20"/>
        <v>0</v>
      </c>
    </row>
    <row r="101" spans="1:68" x14ac:dyDescent="0.2">
      <c r="A101" s="592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3"/>
      <c r="P101" s="584" t="s">
        <v>73</v>
      </c>
      <c r="Q101" s="585"/>
      <c r="R101" s="585"/>
      <c r="S101" s="585"/>
      <c r="T101" s="585"/>
      <c r="U101" s="585"/>
      <c r="V101" s="586"/>
      <c r="W101" s="36" t="s">
        <v>74</v>
      </c>
      <c r="X101" s="577">
        <f>IFERROR(X95/H95,"0")+IFERROR(X96/H96,"0")+IFERROR(X97/H97,"0")+IFERROR(X98/H98,"0")+IFERROR(X99/H99,"0")+IFERROR(X100/H100,"0")</f>
        <v>40.370370370370367</v>
      </c>
      <c r="Y101" s="577">
        <f>IFERROR(Y95/H95,"0")+IFERROR(Y96/H96,"0")+IFERROR(Y97/H97,"0")+IFERROR(Y98/H98,"0")+IFERROR(Y99/H99,"0")+IFERROR(Y100/H100,"0")</f>
        <v>41</v>
      </c>
      <c r="Z101" s="577">
        <f>IFERROR(IF(Z95="",0,Z95),"0")+IFERROR(IF(Z96="",0,Z96),"0")+IFERROR(IF(Z97="",0,Z97),"0")+IFERROR(IF(Z98="",0,Z98),"0")+IFERROR(IF(Z99="",0,Z99),"0")+IFERROR(IF(Z100="",0,Z100),"0")</f>
        <v>0.30432000000000003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3"/>
      <c r="P102" s="584" t="s">
        <v>73</v>
      </c>
      <c r="Q102" s="585"/>
      <c r="R102" s="585"/>
      <c r="S102" s="585"/>
      <c r="T102" s="585"/>
      <c r="U102" s="585"/>
      <c r="V102" s="586"/>
      <c r="W102" s="36" t="s">
        <v>71</v>
      </c>
      <c r="X102" s="577">
        <f>IFERROR(SUM(X95:X100),"0")</f>
        <v>125</v>
      </c>
      <c r="Y102" s="577">
        <f>IFERROR(SUM(Y95:Y100),"0")</f>
        <v>126.9</v>
      </c>
      <c r="Z102" s="36"/>
      <c r="AA102" s="578"/>
      <c r="AB102" s="578"/>
      <c r="AC102" s="578"/>
    </row>
    <row r="103" spans="1:68" ht="16.5" hidden="1" customHeight="1" x14ac:dyDescent="0.25">
      <c r="A103" s="648" t="s">
        <v>205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1"/>
      <c r="AB103" s="571"/>
      <c r="AC103" s="571"/>
    </row>
    <row r="104" spans="1:68" ht="14.25" hidden="1" customHeight="1" x14ac:dyDescent="0.25">
      <c r="A104" s="587" t="s">
        <v>104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65"/>
      <c r="AB104" s="565"/>
      <c r="AC104" s="565"/>
    </row>
    <row r="105" spans="1:68" ht="16.5" hidden="1" customHeight="1" x14ac:dyDescent="0.25">
      <c r="A105" s="53" t="s">
        <v>206</v>
      </c>
      <c r="B105" s="53" t="s">
        <v>207</v>
      </c>
      <c r="C105" s="30">
        <v>4301011514</v>
      </c>
      <c r="D105" s="594">
        <v>4680115882133</v>
      </c>
      <c r="E105" s="595"/>
      <c r="F105" s="574">
        <v>1.35</v>
      </c>
      <c r="G105" s="31">
        <v>8</v>
      </c>
      <c r="H105" s="574">
        <v>10.8</v>
      </c>
      <c r="I105" s="574">
        <v>11.234999999999999</v>
      </c>
      <c r="J105" s="31">
        <v>64</v>
      </c>
      <c r="K105" s="31" t="s">
        <v>107</v>
      </c>
      <c r="L105" s="31"/>
      <c r="M105" s="32" t="s">
        <v>108</v>
      </c>
      <c r="N105" s="32"/>
      <c r="O105" s="31">
        <v>50</v>
      </c>
      <c r="P105" s="9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3"/>
      <c r="V105" s="33"/>
      <c r="W105" s="34" t="s">
        <v>71</v>
      </c>
      <c r="X105" s="575">
        <v>0</v>
      </c>
      <c r="Y105" s="576">
        <f>IFERROR(IF(X105="",0,CEILING((X105/$H105),1)*$H105),"")</f>
        <v>0</v>
      </c>
      <c r="Z105" s="35" t="str">
        <f>IFERROR(IF(Y105=0,"",ROUNDUP(Y105/H105,0)*0.01898),"")</f>
        <v/>
      </c>
      <c r="AA105" s="55"/>
      <c r="AB105" s="56"/>
      <c r="AC105" s="151" t="s">
        <v>208</v>
      </c>
      <c r="AG105" s="63"/>
      <c r="AJ105" s="66"/>
      <c r="AK105" s="66">
        <v>0</v>
      </c>
      <c r="BB105" s="152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209</v>
      </c>
      <c r="B106" s="53" t="s">
        <v>210</v>
      </c>
      <c r="C106" s="30">
        <v>4301011417</v>
      </c>
      <c r="D106" s="594">
        <v>4680115880269</v>
      </c>
      <c r="E106" s="595"/>
      <c r="F106" s="574">
        <v>0.375</v>
      </c>
      <c r="G106" s="31">
        <v>10</v>
      </c>
      <c r="H106" s="574">
        <v>3.75</v>
      </c>
      <c r="I106" s="574">
        <v>3.96</v>
      </c>
      <c r="J106" s="31">
        <v>132</v>
      </c>
      <c r="K106" s="31" t="s">
        <v>112</v>
      </c>
      <c r="L106" s="31" t="s">
        <v>115</v>
      </c>
      <c r="M106" s="32" t="s">
        <v>79</v>
      </c>
      <c r="N106" s="32"/>
      <c r="O106" s="31">
        <v>50</v>
      </c>
      <c r="P106" s="8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3"/>
      <c r="V106" s="33"/>
      <c r="W106" s="34" t="s">
        <v>71</v>
      </c>
      <c r="X106" s="575">
        <v>0</v>
      </c>
      <c r="Y106" s="576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53" t="s">
        <v>208</v>
      </c>
      <c r="AG106" s="63"/>
      <c r="AJ106" s="66" t="s">
        <v>116</v>
      </c>
      <c r="AK106" s="66">
        <v>45</v>
      </c>
      <c r="BB106" s="154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customHeight="1" x14ac:dyDescent="0.25">
      <c r="A107" s="53" t="s">
        <v>211</v>
      </c>
      <c r="B107" s="53" t="s">
        <v>212</v>
      </c>
      <c r="C107" s="30">
        <v>4301011415</v>
      </c>
      <c r="D107" s="594">
        <v>4680115880429</v>
      </c>
      <c r="E107" s="595"/>
      <c r="F107" s="574">
        <v>0.45</v>
      </c>
      <c r="G107" s="31">
        <v>10</v>
      </c>
      <c r="H107" s="574">
        <v>4.5</v>
      </c>
      <c r="I107" s="574">
        <v>4.71</v>
      </c>
      <c r="J107" s="31">
        <v>132</v>
      </c>
      <c r="K107" s="31" t="s">
        <v>112</v>
      </c>
      <c r="L107" s="31"/>
      <c r="M107" s="32" t="s">
        <v>79</v>
      </c>
      <c r="N107" s="32"/>
      <c r="O107" s="31">
        <v>50</v>
      </c>
      <c r="P107" s="8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3"/>
      <c r="V107" s="33"/>
      <c r="W107" s="34" t="s">
        <v>71</v>
      </c>
      <c r="X107" s="575">
        <v>90</v>
      </c>
      <c r="Y107" s="576">
        <f>IFERROR(IF(X107="",0,CEILING((X107/$H107),1)*$H107),"")</f>
        <v>90</v>
      </c>
      <c r="Z107" s="35">
        <f>IFERROR(IF(Y107=0,"",ROUNDUP(Y107/H107,0)*0.00902),"")</f>
        <v>0.1804</v>
      </c>
      <c r="AA107" s="55"/>
      <c r="AB107" s="56"/>
      <c r="AC107" s="155" t="s">
        <v>208</v>
      </c>
      <c r="AG107" s="63"/>
      <c r="AJ107" s="66"/>
      <c r="AK107" s="66">
        <v>0</v>
      </c>
      <c r="BB107" s="156" t="s">
        <v>1</v>
      </c>
      <c r="BM107" s="63">
        <f>IFERROR(X107*I107/H107,"0")</f>
        <v>94.199999999999989</v>
      </c>
      <c r="BN107" s="63">
        <f>IFERROR(Y107*I107/H107,"0")</f>
        <v>94.199999999999989</v>
      </c>
      <c r="BO107" s="63">
        <f>IFERROR(1/J107*(X107/H107),"0")</f>
        <v>0.15151515151515152</v>
      </c>
      <c r="BP107" s="63">
        <f>IFERROR(1/J107*(Y107/H107),"0")</f>
        <v>0.15151515151515152</v>
      </c>
    </row>
    <row r="108" spans="1:68" ht="16.5" hidden="1" customHeight="1" x14ac:dyDescent="0.25">
      <c r="A108" s="53" t="s">
        <v>213</v>
      </c>
      <c r="B108" s="53" t="s">
        <v>214</v>
      </c>
      <c r="C108" s="30">
        <v>4301011462</v>
      </c>
      <c r="D108" s="594">
        <v>4680115881457</v>
      </c>
      <c r="E108" s="595"/>
      <c r="F108" s="574">
        <v>0.75</v>
      </c>
      <c r="G108" s="31">
        <v>6</v>
      </c>
      <c r="H108" s="574">
        <v>4.5</v>
      </c>
      <c r="I108" s="574">
        <v>4.71</v>
      </c>
      <c r="J108" s="31">
        <v>132</v>
      </c>
      <c r="K108" s="31" t="s">
        <v>112</v>
      </c>
      <c r="L108" s="31"/>
      <c r="M108" s="32" t="s">
        <v>79</v>
      </c>
      <c r="N108" s="32"/>
      <c r="O108" s="31">
        <v>50</v>
      </c>
      <c r="P108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3"/>
      <c r="V108" s="33"/>
      <c r="W108" s="34" t="s">
        <v>71</v>
      </c>
      <c r="X108" s="575">
        <v>0</v>
      </c>
      <c r="Y108" s="5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57" t="s">
        <v>208</v>
      </c>
      <c r="AG108" s="63"/>
      <c r="AJ108" s="66"/>
      <c r="AK108" s="66">
        <v>0</v>
      </c>
      <c r="BB108" s="158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x14ac:dyDescent="0.2">
      <c r="A109" s="592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3"/>
      <c r="P109" s="584" t="s">
        <v>73</v>
      </c>
      <c r="Q109" s="585"/>
      <c r="R109" s="585"/>
      <c r="S109" s="585"/>
      <c r="T109" s="585"/>
      <c r="U109" s="585"/>
      <c r="V109" s="586"/>
      <c r="W109" s="36" t="s">
        <v>74</v>
      </c>
      <c r="X109" s="577">
        <f>IFERROR(X105/H105,"0")+IFERROR(X106/H106,"0")+IFERROR(X107/H107,"0")+IFERROR(X108/H108,"0")</f>
        <v>20</v>
      </c>
      <c r="Y109" s="577">
        <f>IFERROR(Y105/H105,"0")+IFERROR(Y106/H106,"0")+IFERROR(Y107/H107,"0")+IFERROR(Y108/H108,"0")</f>
        <v>20</v>
      </c>
      <c r="Z109" s="577">
        <f>IFERROR(IF(Z105="",0,Z105),"0")+IFERROR(IF(Z106="",0,Z106),"0")+IFERROR(IF(Z107="",0,Z107),"0")+IFERROR(IF(Z108="",0,Z108),"0")</f>
        <v>0.1804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3"/>
      <c r="P110" s="584" t="s">
        <v>73</v>
      </c>
      <c r="Q110" s="585"/>
      <c r="R110" s="585"/>
      <c r="S110" s="585"/>
      <c r="T110" s="585"/>
      <c r="U110" s="585"/>
      <c r="V110" s="586"/>
      <c r="W110" s="36" t="s">
        <v>71</v>
      </c>
      <c r="X110" s="577">
        <f>IFERROR(SUM(X105:X108),"0")</f>
        <v>90</v>
      </c>
      <c r="Y110" s="577">
        <f>IFERROR(SUM(Y105:Y108),"0")</f>
        <v>90</v>
      </c>
      <c r="Z110" s="36"/>
      <c r="AA110" s="578"/>
      <c r="AB110" s="578"/>
      <c r="AC110" s="578"/>
    </row>
    <row r="111" spans="1:68" ht="14.25" hidden="1" customHeight="1" x14ac:dyDescent="0.25">
      <c r="A111" s="587" t="s">
        <v>140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65"/>
      <c r="AB111" s="565"/>
      <c r="AC111" s="565"/>
    </row>
    <row r="112" spans="1:68" ht="16.5" hidden="1" customHeight="1" x14ac:dyDescent="0.25">
      <c r="A112" s="53" t="s">
        <v>215</v>
      </c>
      <c r="B112" s="53" t="s">
        <v>216</v>
      </c>
      <c r="C112" s="30">
        <v>4301020345</v>
      </c>
      <c r="D112" s="594">
        <v>4680115881488</v>
      </c>
      <c r="E112" s="595"/>
      <c r="F112" s="574">
        <v>1.35</v>
      </c>
      <c r="G112" s="31">
        <v>8</v>
      </c>
      <c r="H112" s="574">
        <v>10.8</v>
      </c>
      <c r="I112" s="574">
        <v>11.234999999999999</v>
      </c>
      <c r="J112" s="31">
        <v>64</v>
      </c>
      <c r="K112" s="31" t="s">
        <v>107</v>
      </c>
      <c r="L112" s="31"/>
      <c r="M112" s="32" t="s">
        <v>108</v>
      </c>
      <c r="N112" s="32"/>
      <c r="O112" s="31">
        <v>55</v>
      </c>
      <c r="P112" s="91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3"/>
      <c r="V112" s="33"/>
      <c r="W112" s="34" t="s">
        <v>71</v>
      </c>
      <c r="X112" s="575">
        <v>0</v>
      </c>
      <c r="Y112" s="576">
        <f>IFERROR(IF(X112="",0,CEILING((X112/$H112),1)*$H112),"")</f>
        <v>0</v>
      </c>
      <c r="Z112" s="35" t="str">
        <f>IFERROR(IF(Y112=0,"",ROUNDUP(Y112/H112,0)*0.01898),"")</f>
        <v/>
      </c>
      <c r="AA112" s="55"/>
      <c r="AB112" s="56"/>
      <c r="AC112" s="159" t="s">
        <v>217</v>
      </c>
      <c r="AG112" s="63"/>
      <c r="AJ112" s="66"/>
      <c r="AK112" s="66">
        <v>0</v>
      </c>
      <c r="BB112" s="160" t="s">
        <v>1</v>
      </c>
      <c r="BM112" s="63">
        <f>IFERROR(X112*I112/H112,"0")</f>
        <v>0</v>
      </c>
      <c r="BN112" s="63">
        <f>IFERROR(Y112*I112/H112,"0")</f>
        <v>0</v>
      </c>
      <c r="BO112" s="63">
        <f>IFERROR(1/J112*(X112/H112),"0")</f>
        <v>0</v>
      </c>
      <c r="BP112" s="63">
        <f>IFERROR(1/J112*(Y112/H112),"0")</f>
        <v>0</v>
      </c>
    </row>
    <row r="113" spans="1:68" ht="16.5" hidden="1" customHeight="1" x14ac:dyDescent="0.25">
      <c r="A113" s="53" t="s">
        <v>218</v>
      </c>
      <c r="B113" s="53" t="s">
        <v>219</v>
      </c>
      <c r="C113" s="30">
        <v>4301020346</v>
      </c>
      <c r="D113" s="594">
        <v>4680115882775</v>
      </c>
      <c r="E113" s="595"/>
      <c r="F113" s="574">
        <v>0.3</v>
      </c>
      <c r="G113" s="31">
        <v>8</v>
      </c>
      <c r="H113" s="574">
        <v>2.4</v>
      </c>
      <c r="I113" s="574">
        <v>2.5</v>
      </c>
      <c r="J113" s="31">
        <v>234</v>
      </c>
      <c r="K113" s="31" t="s">
        <v>68</v>
      </c>
      <c r="L113" s="31"/>
      <c r="M113" s="32" t="s">
        <v>108</v>
      </c>
      <c r="N113" s="32"/>
      <c r="O113" s="31">
        <v>55</v>
      </c>
      <c r="P113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3"/>
      <c r="V113" s="33"/>
      <c r="W113" s="34" t="s">
        <v>71</v>
      </c>
      <c r="X113" s="575">
        <v>0</v>
      </c>
      <c r="Y113" s="576">
        <f>IFERROR(IF(X113="",0,CEILING((X113/$H113),1)*$H113),"")</f>
        <v>0</v>
      </c>
      <c r="Z113" s="35" t="str">
        <f>IFERROR(IF(Y113=0,"",ROUNDUP(Y113/H113,0)*0.00502),"")</f>
        <v/>
      </c>
      <c r="AA113" s="55"/>
      <c r="AB113" s="56"/>
      <c r="AC113" s="161" t="s">
        <v>217</v>
      </c>
      <c r="AG113" s="63"/>
      <c r="AJ113" s="66"/>
      <c r="AK113" s="66">
        <v>0</v>
      </c>
      <c r="BB113" s="162" t="s">
        <v>1</v>
      </c>
      <c r="BM113" s="63">
        <f>IFERROR(X113*I113/H113,"0")</f>
        <v>0</v>
      </c>
      <c r="BN113" s="63">
        <f>IFERROR(Y113*I113/H113,"0")</f>
        <v>0</v>
      </c>
      <c r="BO113" s="63">
        <f>IFERROR(1/J113*(X113/H113),"0")</f>
        <v>0</v>
      </c>
      <c r="BP113" s="63">
        <f>IFERROR(1/J113*(Y113/H113),"0")</f>
        <v>0</v>
      </c>
    </row>
    <row r="114" spans="1:68" ht="16.5" hidden="1" customHeight="1" x14ac:dyDescent="0.25">
      <c r="A114" s="53" t="s">
        <v>220</v>
      </c>
      <c r="B114" s="53" t="s">
        <v>221</v>
      </c>
      <c r="C114" s="30">
        <v>4301020344</v>
      </c>
      <c r="D114" s="594">
        <v>4680115880658</v>
      </c>
      <c r="E114" s="595"/>
      <c r="F114" s="574">
        <v>0.4</v>
      </c>
      <c r="G114" s="31">
        <v>6</v>
      </c>
      <c r="H114" s="574">
        <v>2.4</v>
      </c>
      <c r="I114" s="574">
        <v>2.58</v>
      </c>
      <c r="J114" s="31">
        <v>182</v>
      </c>
      <c r="K114" s="31" t="s">
        <v>78</v>
      </c>
      <c r="L114" s="31"/>
      <c r="M114" s="32" t="s">
        <v>108</v>
      </c>
      <c r="N114" s="32"/>
      <c r="O114" s="31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3"/>
      <c r="V114" s="33"/>
      <c r="W114" s="34" t="s">
        <v>71</v>
      </c>
      <c r="X114" s="575">
        <v>0</v>
      </c>
      <c r="Y114" s="576">
        <f>IFERROR(IF(X114="",0,CEILING((X114/$H114),1)*$H114),"")</f>
        <v>0</v>
      </c>
      <c r="Z114" s="35" t="str">
        <f>IFERROR(IF(Y114=0,"",ROUNDUP(Y114/H114,0)*0.00651),"")</f>
        <v/>
      </c>
      <c r="AA114" s="55"/>
      <c r="AB114" s="56"/>
      <c r="AC114" s="163" t="s">
        <v>217</v>
      </c>
      <c r="AG114" s="63"/>
      <c r="AJ114" s="66"/>
      <c r="AK114" s="66">
        <v>0</v>
      </c>
      <c r="BB114" s="164" t="s">
        <v>1</v>
      </c>
      <c r="BM114" s="63">
        <f>IFERROR(X114*I114/H114,"0")</f>
        <v>0</v>
      </c>
      <c r="BN114" s="63">
        <f>IFERROR(Y114*I114/H114,"0")</f>
        <v>0</v>
      </c>
      <c r="BO114" s="63">
        <f>IFERROR(1/J114*(X114/H114),"0")</f>
        <v>0</v>
      </c>
      <c r="BP114" s="63">
        <f>IFERROR(1/J114*(Y114/H114),"0")</f>
        <v>0</v>
      </c>
    </row>
    <row r="115" spans="1:68" hidden="1" x14ac:dyDescent="0.2">
      <c r="A115" s="592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3"/>
      <c r="P115" s="584" t="s">
        <v>73</v>
      </c>
      <c r="Q115" s="585"/>
      <c r="R115" s="585"/>
      <c r="S115" s="585"/>
      <c r="T115" s="585"/>
      <c r="U115" s="585"/>
      <c r="V115" s="586"/>
      <c r="W115" s="36" t="s">
        <v>74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3"/>
      <c r="P116" s="584" t="s">
        <v>73</v>
      </c>
      <c r="Q116" s="585"/>
      <c r="R116" s="585"/>
      <c r="S116" s="585"/>
      <c r="T116" s="585"/>
      <c r="U116" s="585"/>
      <c r="V116" s="586"/>
      <c r="W116" s="36" t="s">
        <v>71</v>
      </c>
      <c r="X116" s="577">
        <f>IFERROR(SUM(X112:X114),"0")</f>
        <v>0</v>
      </c>
      <c r="Y116" s="577">
        <f>IFERROR(SUM(Y112:Y114),"0")</f>
        <v>0</v>
      </c>
      <c r="Z116" s="36"/>
      <c r="AA116" s="578"/>
      <c r="AB116" s="578"/>
      <c r="AC116" s="578"/>
    </row>
    <row r="117" spans="1:68" ht="14.25" hidden="1" customHeight="1" x14ac:dyDescent="0.25">
      <c r="A117" s="587" t="s">
        <v>75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65"/>
      <c r="AB117" s="565"/>
      <c r="AC117" s="565"/>
    </row>
    <row r="118" spans="1:68" ht="16.5" hidden="1" customHeight="1" x14ac:dyDescent="0.25">
      <c r="A118" s="53" t="s">
        <v>222</v>
      </c>
      <c r="B118" s="53" t="s">
        <v>223</v>
      </c>
      <c r="C118" s="30">
        <v>4301051724</v>
      </c>
      <c r="D118" s="594">
        <v>4607091385168</v>
      </c>
      <c r="E118" s="595"/>
      <c r="F118" s="574">
        <v>1.35</v>
      </c>
      <c r="G118" s="31">
        <v>6</v>
      </c>
      <c r="H118" s="574">
        <v>8.1</v>
      </c>
      <c r="I118" s="574">
        <v>8.6129999999999995</v>
      </c>
      <c r="J118" s="31">
        <v>64</v>
      </c>
      <c r="K118" s="31" t="s">
        <v>107</v>
      </c>
      <c r="L118" s="31"/>
      <c r="M118" s="32" t="s">
        <v>94</v>
      </c>
      <c r="N118" s="32"/>
      <c r="O118" s="31">
        <v>45</v>
      </c>
      <c r="P118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3"/>
      <c r="V118" s="33"/>
      <c r="W118" s="34" t="s">
        <v>71</v>
      </c>
      <c r="X118" s="575">
        <v>0</v>
      </c>
      <c r="Y118" s="576">
        <f>IFERROR(IF(X118="",0,CEILING((X118/$H118),1)*$H118),"")</f>
        <v>0</v>
      </c>
      <c r="Z118" s="35" t="str">
        <f>IFERROR(IF(Y118=0,"",ROUNDUP(Y118/H118,0)*0.01898),"")</f>
        <v/>
      </c>
      <c r="AA118" s="55"/>
      <c r="AB118" s="56"/>
      <c r="AC118" s="165" t="s">
        <v>224</v>
      </c>
      <c r="AG118" s="63"/>
      <c r="AJ118" s="66"/>
      <c r="AK118" s="66">
        <v>0</v>
      </c>
      <c r="BB118" s="166" t="s">
        <v>1</v>
      </c>
      <c r="BM118" s="63">
        <f>IFERROR(X118*I118/H118,"0")</f>
        <v>0</v>
      </c>
      <c r="BN118" s="63">
        <f>IFERROR(Y118*I118/H118,"0")</f>
        <v>0</v>
      </c>
      <c r="BO118" s="63">
        <f>IFERROR(1/J118*(X118/H118),"0")</f>
        <v>0</v>
      </c>
      <c r="BP118" s="63">
        <f>IFERROR(1/J118*(Y118/H118),"0")</f>
        <v>0</v>
      </c>
    </row>
    <row r="119" spans="1:68" ht="27" hidden="1" customHeight="1" x14ac:dyDescent="0.25">
      <c r="A119" s="53" t="s">
        <v>222</v>
      </c>
      <c r="B119" s="53" t="s">
        <v>225</v>
      </c>
      <c r="C119" s="30">
        <v>4301051360</v>
      </c>
      <c r="D119" s="594">
        <v>4607091385168</v>
      </c>
      <c r="E119" s="595"/>
      <c r="F119" s="574">
        <v>1.35</v>
      </c>
      <c r="G119" s="31">
        <v>6</v>
      </c>
      <c r="H119" s="574">
        <v>8.1</v>
      </c>
      <c r="I119" s="574">
        <v>8.6129999999999995</v>
      </c>
      <c r="J119" s="31">
        <v>64</v>
      </c>
      <c r="K119" s="31" t="s">
        <v>107</v>
      </c>
      <c r="L119" s="31"/>
      <c r="M119" s="32" t="s">
        <v>79</v>
      </c>
      <c r="N119" s="32"/>
      <c r="O119" s="31">
        <v>45</v>
      </c>
      <c r="P119" s="8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3"/>
      <c r="V119" s="33"/>
      <c r="W119" s="34" t="s">
        <v>71</v>
      </c>
      <c r="X119" s="575">
        <v>0</v>
      </c>
      <c r="Y119" s="576">
        <f>IFERROR(IF(X119="",0,CEILING((X119/$H119),1)*$H119),"")</f>
        <v>0</v>
      </c>
      <c r="Z119" s="35" t="str">
        <f>IFERROR(IF(Y119=0,"",ROUNDUP(Y119/H119,0)*0.01898),"")</f>
        <v/>
      </c>
      <c r="AA119" s="55"/>
      <c r="AB119" s="56"/>
      <c r="AC119" s="167" t="s">
        <v>226</v>
      </c>
      <c r="AG119" s="63"/>
      <c r="AJ119" s="66"/>
      <c r="AK119" s="66">
        <v>0</v>
      </c>
      <c r="BB119" s="168" t="s">
        <v>1</v>
      </c>
      <c r="BM119" s="63">
        <f>IFERROR(X119*I119/H119,"0")</f>
        <v>0</v>
      </c>
      <c r="BN119" s="63">
        <f>IFERROR(Y119*I119/H119,"0")</f>
        <v>0</v>
      </c>
      <c r="BO119" s="63">
        <f>IFERROR(1/J119*(X119/H119),"0")</f>
        <v>0</v>
      </c>
      <c r="BP119" s="63">
        <f>IFERROR(1/J119*(Y119/H119),"0")</f>
        <v>0</v>
      </c>
    </row>
    <row r="120" spans="1:68" ht="27" hidden="1" customHeight="1" x14ac:dyDescent="0.25">
      <c r="A120" s="53" t="s">
        <v>227</v>
      </c>
      <c r="B120" s="53" t="s">
        <v>228</v>
      </c>
      <c r="C120" s="30">
        <v>4301051730</v>
      </c>
      <c r="D120" s="594">
        <v>4607091383256</v>
      </c>
      <c r="E120" s="595"/>
      <c r="F120" s="574">
        <v>0.33</v>
      </c>
      <c r="G120" s="31">
        <v>6</v>
      </c>
      <c r="H120" s="574">
        <v>1.98</v>
      </c>
      <c r="I120" s="574">
        <v>2.226</v>
      </c>
      <c r="J120" s="31">
        <v>182</v>
      </c>
      <c r="K120" s="31" t="s">
        <v>78</v>
      </c>
      <c r="L120" s="31"/>
      <c r="M120" s="32" t="s">
        <v>94</v>
      </c>
      <c r="N120" s="32"/>
      <c r="O120" s="31">
        <v>45</v>
      </c>
      <c r="P120" s="6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3"/>
      <c r="V120" s="33"/>
      <c r="W120" s="34" t="s">
        <v>71</v>
      </c>
      <c r="X120" s="575">
        <v>0</v>
      </c>
      <c r="Y120" s="576">
        <f>IFERROR(IF(X120="",0,CEILING((X120/$H120),1)*$H120),"")</f>
        <v>0</v>
      </c>
      <c r="Z120" s="35" t="str">
        <f>IFERROR(IF(Y120=0,"",ROUNDUP(Y120/H120,0)*0.00651),"")</f>
        <v/>
      </c>
      <c r="AA120" s="55"/>
      <c r="AB120" s="56"/>
      <c r="AC120" s="169" t="s">
        <v>224</v>
      </c>
      <c r="AG120" s="63"/>
      <c r="AJ120" s="66"/>
      <c r="AK120" s="66">
        <v>0</v>
      </c>
      <c r="BB120" s="170" t="s">
        <v>1</v>
      </c>
      <c r="BM120" s="63">
        <f>IFERROR(X120*I120/H120,"0")</f>
        <v>0</v>
      </c>
      <c r="BN120" s="63">
        <f>IFERROR(Y120*I120/H120,"0")</f>
        <v>0</v>
      </c>
      <c r="BO120" s="63">
        <f>IFERROR(1/J120*(X120/H120),"0")</f>
        <v>0</v>
      </c>
      <c r="BP120" s="63">
        <f>IFERROR(1/J120*(Y120/H120),"0")</f>
        <v>0</v>
      </c>
    </row>
    <row r="121" spans="1:68" ht="27" customHeight="1" x14ac:dyDescent="0.25">
      <c r="A121" s="53" t="s">
        <v>229</v>
      </c>
      <c r="B121" s="53" t="s">
        <v>230</v>
      </c>
      <c r="C121" s="30">
        <v>4301051721</v>
      </c>
      <c r="D121" s="594">
        <v>4607091385748</v>
      </c>
      <c r="E121" s="595"/>
      <c r="F121" s="574">
        <v>0.45</v>
      </c>
      <c r="G121" s="31">
        <v>6</v>
      </c>
      <c r="H121" s="574">
        <v>2.7</v>
      </c>
      <c r="I121" s="574">
        <v>2.952</v>
      </c>
      <c r="J121" s="31">
        <v>182</v>
      </c>
      <c r="K121" s="31" t="s">
        <v>78</v>
      </c>
      <c r="L121" s="31"/>
      <c r="M121" s="32" t="s">
        <v>94</v>
      </c>
      <c r="N121" s="32"/>
      <c r="O121" s="31">
        <v>45</v>
      </c>
      <c r="P121" s="8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3"/>
      <c r="V121" s="33"/>
      <c r="W121" s="34" t="s">
        <v>71</v>
      </c>
      <c r="X121" s="575">
        <v>101</v>
      </c>
      <c r="Y121" s="576">
        <f>IFERROR(IF(X121="",0,CEILING((X121/$H121),1)*$H121),"")</f>
        <v>102.60000000000001</v>
      </c>
      <c r="Z121" s="35">
        <f>IFERROR(IF(Y121=0,"",ROUNDUP(Y121/H121,0)*0.00651),"")</f>
        <v>0.24738000000000002</v>
      </c>
      <c r="AA121" s="55"/>
      <c r="AB121" s="56"/>
      <c r="AC121" s="171" t="s">
        <v>224</v>
      </c>
      <c r="AG121" s="63"/>
      <c r="AJ121" s="66"/>
      <c r="AK121" s="66">
        <v>0</v>
      </c>
      <c r="BB121" s="172" t="s">
        <v>1</v>
      </c>
      <c r="BM121" s="63">
        <f>IFERROR(X121*I121/H121,"0")</f>
        <v>110.42666666666665</v>
      </c>
      <c r="BN121" s="63">
        <f>IFERROR(Y121*I121/H121,"0")</f>
        <v>112.176</v>
      </c>
      <c r="BO121" s="63">
        <f>IFERROR(1/J121*(X121/H121),"0")</f>
        <v>0.20553520553520555</v>
      </c>
      <c r="BP121" s="63">
        <f>IFERROR(1/J121*(Y121/H121),"0")</f>
        <v>0.2087912087912088</v>
      </c>
    </row>
    <row r="122" spans="1:68" ht="16.5" hidden="1" customHeight="1" x14ac:dyDescent="0.25">
      <c r="A122" s="53" t="s">
        <v>231</v>
      </c>
      <c r="B122" s="53" t="s">
        <v>232</v>
      </c>
      <c r="C122" s="30">
        <v>4301051740</v>
      </c>
      <c r="D122" s="594">
        <v>4680115884533</v>
      </c>
      <c r="E122" s="595"/>
      <c r="F122" s="574">
        <v>0.3</v>
      </c>
      <c r="G122" s="31">
        <v>6</v>
      </c>
      <c r="H122" s="574">
        <v>1.8</v>
      </c>
      <c r="I122" s="574">
        <v>1.98</v>
      </c>
      <c r="J122" s="31">
        <v>182</v>
      </c>
      <c r="K122" s="31" t="s">
        <v>78</v>
      </c>
      <c r="L122" s="31"/>
      <c r="M122" s="32" t="s">
        <v>79</v>
      </c>
      <c r="N122" s="32"/>
      <c r="O122" s="31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3"/>
      <c r="V122" s="33"/>
      <c r="W122" s="34" t="s">
        <v>71</v>
      </c>
      <c r="X122" s="575">
        <v>0</v>
      </c>
      <c r="Y122" s="576">
        <f>IFERROR(IF(X122="",0,CEILING((X122/$H122),1)*$H122),"")</f>
        <v>0</v>
      </c>
      <c r="Z122" s="35" t="str">
        <f>IFERROR(IF(Y122=0,"",ROUNDUP(Y122/H122,0)*0.00651),"")</f>
        <v/>
      </c>
      <c r="AA122" s="55"/>
      <c r="AB122" s="56"/>
      <c r="AC122" s="173" t="s">
        <v>233</v>
      </c>
      <c r="AG122" s="63"/>
      <c r="AJ122" s="66"/>
      <c r="AK122" s="66">
        <v>0</v>
      </c>
      <c r="BB122" s="174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x14ac:dyDescent="0.2">
      <c r="A123" s="592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3"/>
      <c r="P123" s="584" t="s">
        <v>73</v>
      </c>
      <c r="Q123" s="585"/>
      <c r="R123" s="585"/>
      <c r="S123" s="585"/>
      <c r="T123" s="585"/>
      <c r="U123" s="585"/>
      <c r="V123" s="586"/>
      <c r="W123" s="36" t="s">
        <v>74</v>
      </c>
      <c r="X123" s="577">
        <f>IFERROR(X118/H118,"0")+IFERROR(X119/H119,"0")+IFERROR(X120/H120,"0")+IFERROR(X121/H121,"0")+IFERROR(X122/H122,"0")</f>
        <v>37.407407407407405</v>
      </c>
      <c r="Y123" s="577">
        <f>IFERROR(Y118/H118,"0")+IFERROR(Y119/H119,"0")+IFERROR(Y120/H120,"0")+IFERROR(Y121/H121,"0")+IFERROR(Y122/H122,"0")</f>
        <v>38</v>
      </c>
      <c r="Z123" s="577">
        <f>IFERROR(IF(Z118="",0,Z118),"0")+IFERROR(IF(Z119="",0,Z119),"0")+IFERROR(IF(Z120="",0,Z120),"0")+IFERROR(IF(Z121="",0,Z121),"0")+IFERROR(IF(Z122="",0,Z122),"0")</f>
        <v>0.24738000000000002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3"/>
      <c r="P124" s="584" t="s">
        <v>73</v>
      </c>
      <c r="Q124" s="585"/>
      <c r="R124" s="585"/>
      <c r="S124" s="585"/>
      <c r="T124" s="585"/>
      <c r="U124" s="585"/>
      <c r="V124" s="586"/>
      <c r="W124" s="36" t="s">
        <v>71</v>
      </c>
      <c r="X124" s="577">
        <f>IFERROR(SUM(X118:X122),"0")</f>
        <v>101</v>
      </c>
      <c r="Y124" s="577">
        <f>IFERROR(SUM(Y118:Y122),"0")</f>
        <v>102.60000000000001</v>
      </c>
      <c r="Z124" s="36"/>
      <c r="AA124" s="578"/>
      <c r="AB124" s="578"/>
      <c r="AC124" s="578"/>
    </row>
    <row r="125" spans="1:68" ht="14.25" hidden="1" customHeight="1" x14ac:dyDescent="0.25">
      <c r="A125" s="587" t="s">
        <v>175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65"/>
      <c r="AB125" s="565"/>
      <c r="AC125" s="565"/>
    </row>
    <row r="126" spans="1:68" ht="27" hidden="1" customHeight="1" x14ac:dyDescent="0.25">
      <c r="A126" s="53" t="s">
        <v>234</v>
      </c>
      <c r="B126" s="53" t="s">
        <v>235</v>
      </c>
      <c r="C126" s="30">
        <v>4301060357</v>
      </c>
      <c r="D126" s="594">
        <v>4680115882652</v>
      </c>
      <c r="E126" s="595"/>
      <c r="F126" s="574">
        <v>0.33</v>
      </c>
      <c r="G126" s="31">
        <v>6</v>
      </c>
      <c r="H126" s="574">
        <v>1.98</v>
      </c>
      <c r="I126" s="574">
        <v>2.82</v>
      </c>
      <c r="J126" s="31">
        <v>182</v>
      </c>
      <c r="K126" s="31" t="s">
        <v>78</v>
      </c>
      <c r="L126" s="31"/>
      <c r="M126" s="32" t="s">
        <v>79</v>
      </c>
      <c r="N126" s="32"/>
      <c r="O126" s="31">
        <v>40</v>
      </c>
      <c r="P126" s="9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3"/>
      <c r="V126" s="33"/>
      <c r="W126" s="34" t="s">
        <v>71</v>
      </c>
      <c r="X126" s="575">
        <v>0</v>
      </c>
      <c r="Y126" s="576">
        <f>IFERROR(IF(X126="",0,CEILING((X126/$H126),1)*$H126),"")</f>
        <v>0</v>
      </c>
      <c r="Z126" s="35" t="str">
        <f>IFERROR(IF(Y126=0,"",ROUNDUP(Y126/H126,0)*0.00651),"")</f>
        <v/>
      </c>
      <c r="AA126" s="55"/>
      <c r="AB126" s="56"/>
      <c r="AC126" s="175" t="s">
        <v>236</v>
      </c>
      <c r="AG126" s="63"/>
      <c r="AJ126" s="66"/>
      <c r="AK126" s="66">
        <v>0</v>
      </c>
      <c r="BB126" s="176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237</v>
      </c>
      <c r="B127" s="53" t="s">
        <v>238</v>
      </c>
      <c r="C127" s="30">
        <v>4301060317</v>
      </c>
      <c r="D127" s="594">
        <v>4680115880238</v>
      </c>
      <c r="E127" s="595"/>
      <c r="F127" s="574">
        <v>0.33</v>
      </c>
      <c r="G127" s="31">
        <v>6</v>
      </c>
      <c r="H127" s="574">
        <v>1.98</v>
      </c>
      <c r="I127" s="574">
        <v>2.238</v>
      </c>
      <c r="J127" s="31">
        <v>182</v>
      </c>
      <c r="K127" s="31" t="s">
        <v>78</v>
      </c>
      <c r="L127" s="31"/>
      <c r="M127" s="32" t="s">
        <v>79</v>
      </c>
      <c r="N127" s="32"/>
      <c r="O127" s="31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3"/>
      <c r="V127" s="33"/>
      <c r="W127" s="34" t="s">
        <v>71</v>
      </c>
      <c r="X127" s="575">
        <v>0</v>
      </c>
      <c r="Y127" s="576">
        <f>IFERROR(IF(X127="",0,CEILING((X127/$H127),1)*$H127),"")</f>
        <v>0</v>
      </c>
      <c r="Z127" s="35" t="str">
        <f>IFERROR(IF(Y127=0,"",ROUNDUP(Y127/H127,0)*0.00651),"")</f>
        <v/>
      </c>
      <c r="AA127" s="55"/>
      <c r="AB127" s="56"/>
      <c r="AC127" s="177" t="s">
        <v>239</v>
      </c>
      <c r="AG127" s="63"/>
      <c r="AJ127" s="66"/>
      <c r="AK127" s="66">
        <v>0</v>
      </c>
      <c r="BB127" s="178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592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3"/>
      <c r="P128" s="584" t="s">
        <v>73</v>
      </c>
      <c r="Q128" s="585"/>
      <c r="R128" s="585"/>
      <c r="S128" s="585"/>
      <c r="T128" s="585"/>
      <c r="U128" s="585"/>
      <c r="V128" s="586"/>
      <c r="W128" s="36" t="s">
        <v>74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3"/>
      <c r="P129" s="584" t="s">
        <v>73</v>
      </c>
      <c r="Q129" s="585"/>
      <c r="R129" s="585"/>
      <c r="S129" s="585"/>
      <c r="T129" s="585"/>
      <c r="U129" s="585"/>
      <c r="V129" s="586"/>
      <c r="W129" s="36" t="s">
        <v>71</v>
      </c>
      <c r="X129" s="577">
        <f>IFERROR(SUM(X126:X127),"0")</f>
        <v>0</v>
      </c>
      <c r="Y129" s="577">
        <f>IFERROR(SUM(Y126:Y127),"0")</f>
        <v>0</v>
      </c>
      <c r="Z129" s="36"/>
      <c r="AA129" s="578"/>
      <c r="AB129" s="578"/>
      <c r="AC129" s="578"/>
    </row>
    <row r="130" spans="1:68" ht="16.5" hidden="1" customHeight="1" x14ac:dyDescent="0.25">
      <c r="A130" s="648" t="s">
        <v>240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1"/>
      <c r="AB130" s="571"/>
      <c r="AC130" s="571"/>
    </row>
    <row r="131" spans="1:68" ht="14.25" hidden="1" customHeight="1" x14ac:dyDescent="0.25">
      <c r="A131" s="587" t="s">
        <v>104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65"/>
      <c r="AB131" s="565"/>
      <c r="AC131" s="565"/>
    </row>
    <row r="132" spans="1:68" ht="27" hidden="1" customHeight="1" x14ac:dyDescent="0.25">
      <c r="A132" s="53" t="s">
        <v>241</v>
      </c>
      <c r="B132" s="53" t="s">
        <v>242</v>
      </c>
      <c r="C132" s="30">
        <v>4301011564</v>
      </c>
      <c r="D132" s="594">
        <v>4680115882577</v>
      </c>
      <c r="E132" s="595"/>
      <c r="F132" s="574">
        <v>0.4</v>
      </c>
      <c r="G132" s="31">
        <v>8</v>
      </c>
      <c r="H132" s="574">
        <v>3.2</v>
      </c>
      <c r="I132" s="574">
        <v>3.38</v>
      </c>
      <c r="J132" s="31">
        <v>182</v>
      </c>
      <c r="K132" s="31" t="s">
        <v>78</v>
      </c>
      <c r="L132" s="31"/>
      <c r="M132" s="32" t="s">
        <v>99</v>
      </c>
      <c r="N132" s="32"/>
      <c r="O132" s="31">
        <v>90</v>
      </c>
      <c r="P132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3"/>
      <c r="V132" s="33"/>
      <c r="W132" s="34" t="s">
        <v>71</v>
      </c>
      <c r="X132" s="575">
        <v>0</v>
      </c>
      <c r="Y132" s="576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79" t="s">
        <v>243</v>
      </c>
      <c r="AG132" s="63"/>
      <c r="AJ132" s="66"/>
      <c r="AK132" s="66">
        <v>0</v>
      </c>
      <c r="BB132" s="180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27" customHeight="1" x14ac:dyDescent="0.25">
      <c r="A133" s="53" t="s">
        <v>241</v>
      </c>
      <c r="B133" s="53" t="s">
        <v>244</v>
      </c>
      <c r="C133" s="30">
        <v>4301011562</v>
      </c>
      <c r="D133" s="594">
        <v>4680115882577</v>
      </c>
      <c r="E133" s="595"/>
      <c r="F133" s="574">
        <v>0.4</v>
      </c>
      <c r="G133" s="31">
        <v>8</v>
      </c>
      <c r="H133" s="574">
        <v>3.2</v>
      </c>
      <c r="I133" s="574">
        <v>3.38</v>
      </c>
      <c r="J133" s="31">
        <v>182</v>
      </c>
      <c r="K133" s="31" t="s">
        <v>78</v>
      </c>
      <c r="L133" s="31"/>
      <c r="M133" s="32" t="s">
        <v>99</v>
      </c>
      <c r="N133" s="32"/>
      <c r="O133" s="31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3"/>
      <c r="V133" s="33"/>
      <c r="W133" s="34" t="s">
        <v>71</v>
      </c>
      <c r="X133" s="575">
        <v>58</v>
      </c>
      <c r="Y133" s="576">
        <f>IFERROR(IF(X133="",0,CEILING((X133/$H133),1)*$H133),"")</f>
        <v>60.800000000000004</v>
      </c>
      <c r="Z133" s="35">
        <f>IFERROR(IF(Y133=0,"",ROUNDUP(Y133/H133,0)*0.00651),"")</f>
        <v>0.12369000000000001</v>
      </c>
      <c r="AA133" s="55"/>
      <c r="AB133" s="56"/>
      <c r="AC133" s="181" t="s">
        <v>243</v>
      </c>
      <c r="AG133" s="63"/>
      <c r="AJ133" s="66"/>
      <c r="AK133" s="66">
        <v>0</v>
      </c>
      <c r="BB133" s="182" t="s">
        <v>1</v>
      </c>
      <c r="BM133" s="63">
        <f>IFERROR(X133*I133/H133,"0")</f>
        <v>61.262499999999996</v>
      </c>
      <c r="BN133" s="63">
        <f>IFERROR(Y133*I133/H133,"0")</f>
        <v>64.22</v>
      </c>
      <c r="BO133" s="63">
        <f>IFERROR(1/J133*(X133/H133),"0")</f>
        <v>9.9587912087912095E-2</v>
      </c>
      <c r="BP133" s="63">
        <f>IFERROR(1/J133*(Y133/H133),"0")</f>
        <v>0.1043956043956044</v>
      </c>
    </row>
    <row r="134" spans="1:68" x14ac:dyDescent="0.2">
      <c r="A134" s="592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3"/>
      <c r="P134" s="584" t="s">
        <v>73</v>
      </c>
      <c r="Q134" s="585"/>
      <c r="R134" s="585"/>
      <c r="S134" s="585"/>
      <c r="T134" s="585"/>
      <c r="U134" s="585"/>
      <c r="V134" s="586"/>
      <c r="W134" s="36" t="s">
        <v>74</v>
      </c>
      <c r="X134" s="577">
        <f>IFERROR(X132/H132,"0")+IFERROR(X133/H133,"0")</f>
        <v>18.125</v>
      </c>
      <c r="Y134" s="577">
        <f>IFERROR(Y132/H132,"0")+IFERROR(Y133/H133,"0")</f>
        <v>19</v>
      </c>
      <c r="Z134" s="577">
        <f>IFERROR(IF(Z132="",0,Z132),"0")+IFERROR(IF(Z133="",0,Z133),"0")</f>
        <v>0.12369000000000001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3"/>
      <c r="P135" s="584" t="s">
        <v>73</v>
      </c>
      <c r="Q135" s="585"/>
      <c r="R135" s="585"/>
      <c r="S135" s="585"/>
      <c r="T135" s="585"/>
      <c r="U135" s="585"/>
      <c r="V135" s="586"/>
      <c r="W135" s="36" t="s">
        <v>71</v>
      </c>
      <c r="X135" s="577">
        <f>IFERROR(SUM(X132:X133),"0")</f>
        <v>58</v>
      </c>
      <c r="Y135" s="577">
        <f>IFERROR(SUM(Y132:Y133),"0")</f>
        <v>60.800000000000004</v>
      </c>
      <c r="Z135" s="36"/>
      <c r="AA135" s="578"/>
      <c r="AB135" s="578"/>
      <c r="AC135" s="578"/>
    </row>
    <row r="136" spans="1:68" ht="14.25" hidden="1" customHeight="1" x14ac:dyDescent="0.25">
      <c r="A136" s="587" t="s">
        <v>65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65"/>
      <c r="AB136" s="565"/>
      <c r="AC136" s="565"/>
    </row>
    <row r="137" spans="1:68" ht="27" hidden="1" customHeight="1" x14ac:dyDescent="0.25">
      <c r="A137" s="53" t="s">
        <v>245</v>
      </c>
      <c r="B137" s="53" t="s">
        <v>246</v>
      </c>
      <c r="C137" s="30">
        <v>4301031235</v>
      </c>
      <c r="D137" s="594">
        <v>4680115883444</v>
      </c>
      <c r="E137" s="595"/>
      <c r="F137" s="574">
        <v>0.35</v>
      </c>
      <c r="G137" s="31">
        <v>8</v>
      </c>
      <c r="H137" s="574">
        <v>2.8</v>
      </c>
      <c r="I137" s="574">
        <v>3.0680000000000001</v>
      </c>
      <c r="J137" s="31">
        <v>182</v>
      </c>
      <c r="K137" s="31" t="s">
        <v>78</v>
      </c>
      <c r="L137" s="31"/>
      <c r="M137" s="32" t="s">
        <v>99</v>
      </c>
      <c r="N137" s="32"/>
      <c r="O137" s="31">
        <v>90</v>
      </c>
      <c r="P137" s="7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3"/>
      <c r="V137" s="33"/>
      <c r="W137" s="34" t="s">
        <v>71</v>
      </c>
      <c r="X137" s="575">
        <v>0</v>
      </c>
      <c r="Y137" s="576">
        <f>IFERROR(IF(X137="",0,CEILING((X137/$H137),1)*$H137),"")</f>
        <v>0</v>
      </c>
      <c r="Z137" s="35" t="str">
        <f>IFERROR(IF(Y137=0,"",ROUNDUP(Y137/H137,0)*0.00651),"")</f>
        <v/>
      </c>
      <c r="AA137" s="55"/>
      <c r="AB137" s="56"/>
      <c r="AC137" s="183" t="s">
        <v>247</v>
      </c>
      <c r="AG137" s="63"/>
      <c r="AJ137" s="66"/>
      <c r="AK137" s="66">
        <v>0</v>
      </c>
      <c r="BB137" s="184" t="s">
        <v>1</v>
      </c>
      <c r="BM137" s="63">
        <f>IFERROR(X137*I137/H137,"0")</f>
        <v>0</v>
      </c>
      <c r="BN137" s="63">
        <f>IFERROR(Y137*I137/H137,"0")</f>
        <v>0</v>
      </c>
      <c r="BO137" s="63">
        <f>IFERROR(1/J137*(X137/H137),"0")</f>
        <v>0</v>
      </c>
      <c r="BP137" s="63">
        <f>IFERROR(1/J137*(Y137/H137),"0")</f>
        <v>0</v>
      </c>
    </row>
    <row r="138" spans="1:68" ht="27" customHeight="1" x14ac:dyDescent="0.25">
      <c r="A138" s="53" t="s">
        <v>245</v>
      </c>
      <c r="B138" s="53" t="s">
        <v>248</v>
      </c>
      <c r="C138" s="30">
        <v>4301031234</v>
      </c>
      <c r="D138" s="594">
        <v>4680115883444</v>
      </c>
      <c r="E138" s="595"/>
      <c r="F138" s="574">
        <v>0.35</v>
      </c>
      <c r="G138" s="31">
        <v>8</v>
      </c>
      <c r="H138" s="574">
        <v>2.8</v>
      </c>
      <c r="I138" s="574">
        <v>3.0680000000000001</v>
      </c>
      <c r="J138" s="31">
        <v>182</v>
      </c>
      <c r="K138" s="31" t="s">
        <v>78</v>
      </c>
      <c r="L138" s="31"/>
      <c r="M138" s="32" t="s">
        <v>99</v>
      </c>
      <c r="N138" s="32"/>
      <c r="O138" s="31">
        <v>90</v>
      </c>
      <c r="P138" s="7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3"/>
      <c r="V138" s="33"/>
      <c r="W138" s="34" t="s">
        <v>71</v>
      </c>
      <c r="X138" s="575">
        <v>23</v>
      </c>
      <c r="Y138" s="576">
        <f>IFERROR(IF(X138="",0,CEILING((X138/$H138),1)*$H138),"")</f>
        <v>25.2</v>
      </c>
      <c r="Z138" s="35">
        <f>IFERROR(IF(Y138=0,"",ROUNDUP(Y138/H138,0)*0.00651),"")</f>
        <v>5.8590000000000003E-2</v>
      </c>
      <c r="AA138" s="55"/>
      <c r="AB138" s="56"/>
      <c r="AC138" s="185" t="s">
        <v>247</v>
      </c>
      <c r="AG138" s="63"/>
      <c r="AJ138" s="66"/>
      <c r="AK138" s="66">
        <v>0</v>
      </c>
      <c r="BB138" s="186" t="s">
        <v>1</v>
      </c>
      <c r="BM138" s="63">
        <f>IFERROR(X138*I138/H138,"0")</f>
        <v>25.201428571428576</v>
      </c>
      <c r="BN138" s="63">
        <f>IFERROR(Y138*I138/H138,"0")</f>
        <v>27.611999999999998</v>
      </c>
      <c r="BO138" s="63">
        <f>IFERROR(1/J138*(X138/H138),"0")</f>
        <v>4.5133437990580859E-2</v>
      </c>
      <c r="BP138" s="63">
        <f>IFERROR(1/J138*(Y138/H138),"0")</f>
        <v>4.9450549450549455E-2</v>
      </c>
    </row>
    <row r="139" spans="1:68" x14ac:dyDescent="0.2">
      <c r="A139" s="592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3"/>
      <c r="P139" s="584" t="s">
        <v>73</v>
      </c>
      <c r="Q139" s="585"/>
      <c r="R139" s="585"/>
      <c r="S139" s="585"/>
      <c r="T139" s="585"/>
      <c r="U139" s="585"/>
      <c r="V139" s="586"/>
      <c r="W139" s="36" t="s">
        <v>74</v>
      </c>
      <c r="X139" s="577">
        <f>IFERROR(X137/H137,"0")+IFERROR(X138/H138,"0")</f>
        <v>8.2142857142857153</v>
      </c>
      <c r="Y139" s="577">
        <f>IFERROR(Y137/H137,"0")+IFERROR(Y138/H138,"0")</f>
        <v>9</v>
      </c>
      <c r="Z139" s="577">
        <f>IFERROR(IF(Z137="",0,Z137),"0")+IFERROR(IF(Z138="",0,Z138),"0")</f>
        <v>5.8590000000000003E-2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3"/>
      <c r="P140" s="584" t="s">
        <v>73</v>
      </c>
      <c r="Q140" s="585"/>
      <c r="R140" s="585"/>
      <c r="S140" s="585"/>
      <c r="T140" s="585"/>
      <c r="U140" s="585"/>
      <c r="V140" s="586"/>
      <c r="W140" s="36" t="s">
        <v>71</v>
      </c>
      <c r="X140" s="577">
        <f>IFERROR(SUM(X137:X138),"0")</f>
        <v>23</v>
      </c>
      <c r="Y140" s="577">
        <f>IFERROR(SUM(Y137:Y138),"0")</f>
        <v>25.2</v>
      </c>
      <c r="Z140" s="36"/>
      <c r="AA140" s="578"/>
      <c r="AB140" s="578"/>
      <c r="AC140" s="578"/>
    </row>
    <row r="141" spans="1:68" ht="14.25" hidden="1" customHeight="1" x14ac:dyDescent="0.25">
      <c r="A141" s="587" t="s">
        <v>75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65"/>
      <c r="AB141" s="565"/>
      <c r="AC141" s="565"/>
    </row>
    <row r="142" spans="1:68" ht="16.5" hidden="1" customHeight="1" x14ac:dyDescent="0.25">
      <c r="A142" s="53" t="s">
        <v>249</v>
      </c>
      <c r="B142" s="53" t="s">
        <v>250</v>
      </c>
      <c r="C142" s="30">
        <v>4301051477</v>
      </c>
      <c r="D142" s="594">
        <v>4680115882584</v>
      </c>
      <c r="E142" s="595"/>
      <c r="F142" s="574">
        <v>0.33</v>
      </c>
      <c r="G142" s="31">
        <v>8</v>
      </c>
      <c r="H142" s="574">
        <v>2.64</v>
      </c>
      <c r="I142" s="574">
        <v>2.9079999999999999</v>
      </c>
      <c r="J142" s="31">
        <v>182</v>
      </c>
      <c r="K142" s="31" t="s">
        <v>78</v>
      </c>
      <c r="L142" s="31"/>
      <c r="M142" s="32" t="s">
        <v>99</v>
      </c>
      <c r="N142" s="32"/>
      <c r="O142" s="31">
        <v>60</v>
      </c>
      <c r="P142" s="71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3"/>
      <c r="V142" s="33"/>
      <c r="W142" s="34" t="s">
        <v>71</v>
      </c>
      <c r="X142" s="575">
        <v>0</v>
      </c>
      <c r="Y142" s="576">
        <f>IFERROR(IF(X142="",0,CEILING((X142/$H142),1)*$H142),"")</f>
        <v>0</v>
      </c>
      <c r="Z142" s="35" t="str">
        <f>IFERROR(IF(Y142=0,"",ROUNDUP(Y142/H142,0)*0.00651),"")</f>
        <v/>
      </c>
      <c r="AA142" s="55"/>
      <c r="AB142" s="56"/>
      <c r="AC142" s="187" t="s">
        <v>243</v>
      </c>
      <c r="AG142" s="63"/>
      <c r="AJ142" s="66"/>
      <c r="AK142" s="66">
        <v>0</v>
      </c>
      <c r="BB142" s="188" t="s">
        <v>1</v>
      </c>
      <c r="BM142" s="63">
        <f>IFERROR(X142*I142/H142,"0")</f>
        <v>0</v>
      </c>
      <c r="BN142" s="63">
        <f>IFERROR(Y142*I142/H142,"0")</f>
        <v>0</v>
      </c>
      <c r="BO142" s="63">
        <f>IFERROR(1/J142*(X142/H142),"0")</f>
        <v>0</v>
      </c>
      <c r="BP142" s="63">
        <f>IFERROR(1/J142*(Y142/H142),"0")</f>
        <v>0</v>
      </c>
    </row>
    <row r="143" spans="1:68" ht="16.5" customHeight="1" x14ac:dyDescent="0.25">
      <c r="A143" s="53" t="s">
        <v>249</v>
      </c>
      <c r="B143" s="53" t="s">
        <v>251</v>
      </c>
      <c r="C143" s="30">
        <v>4301051476</v>
      </c>
      <c r="D143" s="594">
        <v>4680115882584</v>
      </c>
      <c r="E143" s="595"/>
      <c r="F143" s="574">
        <v>0.33</v>
      </c>
      <c r="G143" s="31">
        <v>8</v>
      </c>
      <c r="H143" s="574">
        <v>2.64</v>
      </c>
      <c r="I143" s="574">
        <v>2.9079999999999999</v>
      </c>
      <c r="J143" s="31">
        <v>182</v>
      </c>
      <c r="K143" s="31" t="s">
        <v>78</v>
      </c>
      <c r="L143" s="31"/>
      <c r="M143" s="32" t="s">
        <v>99</v>
      </c>
      <c r="N143" s="32"/>
      <c r="O143" s="31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3"/>
      <c r="V143" s="33"/>
      <c r="W143" s="34" t="s">
        <v>71</v>
      </c>
      <c r="X143" s="575">
        <v>22</v>
      </c>
      <c r="Y143" s="576">
        <f>IFERROR(IF(X143="",0,CEILING((X143/$H143),1)*$H143),"")</f>
        <v>23.76</v>
      </c>
      <c r="Z143" s="35">
        <f>IFERROR(IF(Y143=0,"",ROUNDUP(Y143/H143,0)*0.00651),"")</f>
        <v>5.8590000000000003E-2</v>
      </c>
      <c r="AA143" s="55"/>
      <c r="AB143" s="56"/>
      <c r="AC143" s="189" t="s">
        <v>243</v>
      </c>
      <c r="AG143" s="63"/>
      <c r="AJ143" s="66"/>
      <c r="AK143" s="66">
        <v>0</v>
      </c>
      <c r="BB143" s="190" t="s">
        <v>1</v>
      </c>
      <c r="BM143" s="63">
        <f>IFERROR(X143*I143/H143,"0")</f>
        <v>24.233333333333331</v>
      </c>
      <c r="BN143" s="63">
        <f>IFERROR(Y143*I143/H143,"0")</f>
        <v>26.172000000000001</v>
      </c>
      <c r="BO143" s="63">
        <f>IFERROR(1/J143*(X143/H143),"0")</f>
        <v>4.5787545787545784E-2</v>
      </c>
      <c r="BP143" s="63">
        <f>IFERROR(1/J143*(Y143/H143),"0")</f>
        <v>4.9450549450549455E-2</v>
      </c>
    </row>
    <row r="144" spans="1:68" x14ac:dyDescent="0.2">
      <c r="A144" s="592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3"/>
      <c r="P144" s="584" t="s">
        <v>73</v>
      </c>
      <c r="Q144" s="585"/>
      <c r="R144" s="585"/>
      <c r="S144" s="585"/>
      <c r="T144" s="585"/>
      <c r="U144" s="585"/>
      <c r="V144" s="586"/>
      <c r="W144" s="36" t="s">
        <v>74</v>
      </c>
      <c r="X144" s="577">
        <f>IFERROR(X142/H142,"0")+IFERROR(X143/H143,"0")</f>
        <v>8.3333333333333321</v>
      </c>
      <c r="Y144" s="577">
        <f>IFERROR(Y142/H142,"0")+IFERROR(Y143/H143,"0")</f>
        <v>9</v>
      </c>
      <c r="Z144" s="577">
        <f>IFERROR(IF(Z142="",0,Z142),"0")+IFERROR(IF(Z143="",0,Z143),"0")</f>
        <v>5.8590000000000003E-2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3"/>
      <c r="P145" s="584" t="s">
        <v>73</v>
      </c>
      <c r="Q145" s="585"/>
      <c r="R145" s="585"/>
      <c r="S145" s="585"/>
      <c r="T145" s="585"/>
      <c r="U145" s="585"/>
      <c r="V145" s="586"/>
      <c r="W145" s="36" t="s">
        <v>71</v>
      </c>
      <c r="X145" s="577">
        <f>IFERROR(SUM(X142:X143),"0")</f>
        <v>22</v>
      </c>
      <c r="Y145" s="577">
        <f>IFERROR(SUM(Y142:Y143),"0")</f>
        <v>23.76</v>
      </c>
      <c r="Z145" s="36"/>
      <c r="AA145" s="578"/>
      <c r="AB145" s="578"/>
      <c r="AC145" s="578"/>
    </row>
    <row r="146" spans="1:68" ht="16.5" hidden="1" customHeight="1" x14ac:dyDescent="0.25">
      <c r="A146" s="648" t="s">
        <v>102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1"/>
      <c r="AB146" s="571"/>
      <c r="AC146" s="571"/>
    </row>
    <row r="147" spans="1:68" ht="14.25" hidden="1" customHeight="1" x14ac:dyDescent="0.25">
      <c r="A147" s="587" t="s">
        <v>104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65"/>
      <c r="AB147" s="565"/>
      <c r="AC147" s="565"/>
    </row>
    <row r="148" spans="1:68" ht="27" customHeight="1" x14ac:dyDescent="0.25">
      <c r="A148" s="53" t="s">
        <v>252</v>
      </c>
      <c r="B148" s="53" t="s">
        <v>253</v>
      </c>
      <c r="C148" s="30">
        <v>4301011705</v>
      </c>
      <c r="D148" s="594">
        <v>4607091384604</v>
      </c>
      <c r="E148" s="595"/>
      <c r="F148" s="574">
        <v>0.4</v>
      </c>
      <c r="G148" s="31">
        <v>10</v>
      </c>
      <c r="H148" s="574">
        <v>4</v>
      </c>
      <c r="I148" s="574">
        <v>4.21</v>
      </c>
      <c r="J148" s="31">
        <v>132</v>
      </c>
      <c r="K148" s="31" t="s">
        <v>112</v>
      </c>
      <c r="L148" s="31"/>
      <c r="M148" s="32" t="s">
        <v>108</v>
      </c>
      <c r="N148" s="32"/>
      <c r="O148" s="31">
        <v>50</v>
      </c>
      <c r="P148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3"/>
      <c r="V148" s="33"/>
      <c r="W148" s="34" t="s">
        <v>71</v>
      </c>
      <c r="X148" s="575">
        <v>75</v>
      </c>
      <c r="Y148" s="576">
        <f>IFERROR(IF(X148="",0,CEILING((X148/$H148),1)*$H148),"")</f>
        <v>76</v>
      </c>
      <c r="Z148" s="35">
        <f>IFERROR(IF(Y148=0,"",ROUNDUP(Y148/H148,0)*0.00902),"")</f>
        <v>0.17138</v>
      </c>
      <c r="AA148" s="55"/>
      <c r="AB148" s="56"/>
      <c r="AC148" s="191" t="s">
        <v>254</v>
      </c>
      <c r="AG148" s="63"/>
      <c r="AJ148" s="66"/>
      <c r="AK148" s="66">
        <v>0</v>
      </c>
      <c r="BB148" s="192" t="s">
        <v>1</v>
      </c>
      <c r="BM148" s="63">
        <f>IFERROR(X148*I148/H148,"0")</f>
        <v>78.9375</v>
      </c>
      <c r="BN148" s="63">
        <f>IFERROR(Y148*I148/H148,"0")</f>
        <v>79.989999999999995</v>
      </c>
      <c r="BO148" s="63">
        <f>IFERROR(1/J148*(X148/H148),"0")</f>
        <v>0.14204545454545456</v>
      </c>
      <c r="BP148" s="63">
        <f>IFERROR(1/J148*(Y148/H148),"0")</f>
        <v>0.14393939393939395</v>
      </c>
    </row>
    <row r="149" spans="1:68" x14ac:dyDescent="0.2">
      <c r="A149" s="592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3"/>
      <c r="P149" s="584" t="s">
        <v>73</v>
      </c>
      <c r="Q149" s="585"/>
      <c r="R149" s="585"/>
      <c r="S149" s="585"/>
      <c r="T149" s="585"/>
      <c r="U149" s="585"/>
      <c r="V149" s="586"/>
      <c r="W149" s="36" t="s">
        <v>74</v>
      </c>
      <c r="X149" s="577">
        <f>IFERROR(X148/H148,"0")</f>
        <v>18.75</v>
      </c>
      <c r="Y149" s="577">
        <f>IFERROR(Y148/H148,"0")</f>
        <v>19</v>
      </c>
      <c r="Z149" s="577">
        <f>IFERROR(IF(Z148="",0,Z148),"0")</f>
        <v>0.17138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3"/>
      <c r="P150" s="584" t="s">
        <v>73</v>
      </c>
      <c r="Q150" s="585"/>
      <c r="R150" s="585"/>
      <c r="S150" s="585"/>
      <c r="T150" s="585"/>
      <c r="U150" s="585"/>
      <c r="V150" s="586"/>
      <c r="W150" s="36" t="s">
        <v>71</v>
      </c>
      <c r="X150" s="577">
        <f>IFERROR(SUM(X148:X148),"0")</f>
        <v>75</v>
      </c>
      <c r="Y150" s="577">
        <f>IFERROR(SUM(Y148:Y148),"0")</f>
        <v>76</v>
      </c>
      <c r="Z150" s="36"/>
      <c r="AA150" s="578"/>
      <c r="AB150" s="578"/>
      <c r="AC150" s="578"/>
    </row>
    <row r="151" spans="1:68" ht="14.25" hidden="1" customHeight="1" x14ac:dyDescent="0.25">
      <c r="A151" s="587" t="s">
        <v>65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65"/>
      <c r="AB151" s="565"/>
      <c r="AC151" s="565"/>
    </row>
    <row r="152" spans="1:68" ht="16.5" hidden="1" customHeight="1" x14ac:dyDescent="0.25">
      <c r="A152" s="53" t="s">
        <v>255</v>
      </c>
      <c r="B152" s="53" t="s">
        <v>256</v>
      </c>
      <c r="C152" s="30">
        <v>4301030895</v>
      </c>
      <c r="D152" s="594">
        <v>4607091387667</v>
      </c>
      <c r="E152" s="595"/>
      <c r="F152" s="574">
        <v>0.9</v>
      </c>
      <c r="G152" s="31">
        <v>10</v>
      </c>
      <c r="H152" s="574">
        <v>9</v>
      </c>
      <c r="I152" s="574">
        <v>9.5850000000000009</v>
      </c>
      <c r="J152" s="31">
        <v>64</v>
      </c>
      <c r="K152" s="31" t="s">
        <v>107</v>
      </c>
      <c r="L152" s="31"/>
      <c r="M152" s="32" t="s">
        <v>108</v>
      </c>
      <c r="N152" s="32"/>
      <c r="O152" s="31">
        <v>40</v>
      </c>
      <c r="P152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3"/>
      <c r="V152" s="33"/>
      <c r="W152" s="34" t="s">
        <v>71</v>
      </c>
      <c r="X152" s="575">
        <v>0</v>
      </c>
      <c r="Y152" s="576">
        <f>IFERROR(IF(X152="",0,CEILING((X152/$H152),1)*$H152),"")</f>
        <v>0</v>
      </c>
      <c r="Z152" s="35" t="str">
        <f>IFERROR(IF(Y152=0,"",ROUNDUP(Y152/H152,0)*0.01898),"")</f>
        <v/>
      </c>
      <c r="AA152" s="55"/>
      <c r="AB152" s="56"/>
      <c r="AC152" s="193" t="s">
        <v>257</v>
      </c>
      <c r="AG152" s="63"/>
      <c r="AJ152" s="66"/>
      <c r="AK152" s="66">
        <v>0</v>
      </c>
      <c r="BB152" s="19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16.5" hidden="1" customHeight="1" x14ac:dyDescent="0.25">
      <c r="A153" s="53" t="s">
        <v>258</v>
      </c>
      <c r="B153" s="53" t="s">
        <v>259</v>
      </c>
      <c r="C153" s="30">
        <v>4301030961</v>
      </c>
      <c r="D153" s="594">
        <v>4607091387636</v>
      </c>
      <c r="E153" s="595"/>
      <c r="F153" s="574">
        <v>0.7</v>
      </c>
      <c r="G153" s="31">
        <v>6</v>
      </c>
      <c r="H153" s="574">
        <v>4.2</v>
      </c>
      <c r="I153" s="574">
        <v>4.47</v>
      </c>
      <c r="J153" s="31">
        <v>182</v>
      </c>
      <c r="K153" s="31" t="s">
        <v>78</v>
      </c>
      <c r="L153" s="31"/>
      <c r="M153" s="32" t="s">
        <v>69</v>
      </c>
      <c r="N153" s="32"/>
      <c r="O153" s="31">
        <v>40</v>
      </c>
      <c r="P153" s="7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3"/>
      <c r="V153" s="33"/>
      <c r="W153" s="34" t="s">
        <v>71</v>
      </c>
      <c r="X153" s="575">
        <v>0</v>
      </c>
      <c r="Y153" s="576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195" t="s">
        <v>260</v>
      </c>
      <c r="AG153" s="63"/>
      <c r="AJ153" s="66"/>
      <c r="AK153" s="66">
        <v>0</v>
      </c>
      <c r="BB153" s="19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261</v>
      </c>
      <c r="B154" s="53" t="s">
        <v>262</v>
      </c>
      <c r="C154" s="30">
        <v>4301030963</v>
      </c>
      <c r="D154" s="594">
        <v>4607091382426</v>
      </c>
      <c r="E154" s="595"/>
      <c r="F154" s="574">
        <v>0.9</v>
      </c>
      <c r="G154" s="31">
        <v>10</v>
      </c>
      <c r="H154" s="574">
        <v>9</v>
      </c>
      <c r="I154" s="574">
        <v>9.5850000000000009</v>
      </c>
      <c r="J154" s="31">
        <v>64</v>
      </c>
      <c r="K154" s="31" t="s">
        <v>107</v>
      </c>
      <c r="L154" s="31"/>
      <c r="M154" s="32" t="s">
        <v>69</v>
      </c>
      <c r="N154" s="32"/>
      <c r="O154" s="31">
        <v>40</v>
      </c>
      <c r="P154" s="7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3"/>
      <c r="V154" s="33"/>
      <c r="W154" s="34" t="s">
        <v>71</v>
      </c>
      <c r="X154" s="575">
        <v>0</v>
      </c>
      <c r="Y154" s="576">
        <f>IFERROR(IF(X154="",0,CEILING((X154/$H154),1)*$H154),"")</f>
        <v>0</v>
      </c>
      <c r="Z154" s="35" t="str">
        <f>IFERROR(IF(Y154=0,"",ROUNDUP(Y154/H154,0)*0.01898),"")</f>
        <v/>
      </c>
      <c r="AA154" s="55"/>
      <c r="AB154" s="56"/>
      <c r="AC154" s="197" t="s">
        <v>263</v>
      </c>
      <c r="AG154" s="63"/>
      <c r="AJ154" s="66"/>
      <c r="AK154" s="66">
        <v>0</v>
      </c>
      <c r="BB154" s="19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592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3"/>
      <c r="P155" s="584" t="s">
        <v>73</v>
      </c>
      <c r="Q155" s="585"/>
      <c r="R155" s="585"/>
      <c r="S155" s="585"/>
      <c r="T155" s="585"/>
      <c r="U155" s="585"/>
      <c r="V155" s="586"/>
      <c r="W155" s="36" t="s">
        <v>74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3"/>
      <c r="P156" s="584" t="s">
        <v>73</v>
      </c>
      <c r="Q156" s="585"/>
      <c r="R156" s="585"/>
      <c r="S156" s="585"/>
      <c r="T156" s="585"/>
      <c r="U156" s="585"/>
      <c r="V156" s="586"/>
      <c r="W156" s="36" t="s">
        <v>71</v>
      </c>
      <c r="X156" s="577">
        <f>IFERROR(SUM(X152:X154),"0")</f>
        <v>0</v>
      </c>
      <c r="Y156" s="577">
        <f>IFERROR(SUM(Y152:Y154),"0")</f>
        <v>0</v>
      </c>
      <c r="Z156" s="36"/>
      <c r="AA156" s="578"/>
      <c r="AB156" s="578"/>
      <c r="AC156" s="578"/>
    </row>
    <row r="157" spans="1:68" ht="27.75" hidden="1" customHeight="1" x14ac:dyDescent="0.2">
      <c r="A157" s="601" t="s">
        <v>264</v>
      </c>
      <c r="B157" s="602"/>
      <c r="C157" s="602"/>
      <c r="D157" s="602"/>
      <c r="E157" s="602"/>
      <c r="F157" s="602"/>
      <c r="G157" s="602"/>
      <c r="H157" s="602"/>
      <c r="I157" s="602"/>
      <c r="J157" s="602"/>
      <c r="K157" s="602"/>
      <c r="L157" s="602"/>
      <c r="M157" s="602"/>
      <c r="N157" s="602"/>
      <c r="O157" s="602"/>
      <c r="P157" s="602"/>
      <c r="Q157" s="602"/>
      <c r="R157" s="602"/>
      <c r="S157" s="602"/>
      <c r="T157" s="602"/>
      <c r="U157" s="602"/>
      <c r="V157" s="602"/>
      <c r="W157" s="602"/>
      <c r="X157" s="602"/>
      <c r="Y157" s="602"/>
      <c r="Z157" s="602"/>
      <c r="AA157" s="47"/>
      <c r="AB157" s="47"/>
      <c r="AC157" s="47"/>
    </row>
    <row r="158" spans="1:68" ht="16.5" hidden="1" customHeight="1" x14ac:dyDescent="0.25">
      <c r="A158" s="648" t="s">
        <v>265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1"/>
      <c r="AB158" s="571"/>
      <c r="AC158" s="571"/>
    </row>
    <row r="159" spans="1:68" ht="14.25" hidden="1" customHeight="1" x14ac:dyDescent="0.25">
      <c r="A159" s="587" t="s">
        <v>140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65"/>
      <c r="AB159" s="565"/>
      <c r="AC159" s="565"/>
    </row>
    <row r="160" spans="1:68" ht="27" hidden="1" customHeight="1" x14ac:dyDescent="0.25">
      <c r="A160" s="53" t="s">
        <v>266</v>
      </c>
      <c r="B160" s="53" t="s">
        <v>267</v>
      </c>
      <c r="C160" s="30">
        <v>4301020323</v>
      </c>
      <c r="D160" s="594">
        <v>4680115886223</v>
      </c>
      <c r="E160" s="595"/>
      <c r="F160" s="574">
        <v>0.33</v>
      </c>
      <c r="G160" s="31">
        <v>6</v>
      </c>
      <c r="H160" s="574">
        <v>1.98</v>
      </c>
      <c r="I160" s="574">
        <v>2.08</v>
      </c>
      <c r="J160" s="31">
        <v>234</v>
      </c>
      <c r="K160" s="31" t="s">
        <v>68</v>
      </c>
      <c r="L160" s="31"/>
      <c r="M160" s="32" t="s">
        <v>69</v>
      </c>
      <c r="N160" s="32"/>
      <c r="O160" s="31">
        <v>40</v>
      </c>
      <c r="P160" s="6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3"/>
      <c r="V160" s="33"/>
      <c r="W160" s="34" t="s">
        <v>71</v>
      </c>
      <c r="X160" s="575">
        <v>0</v>
      </c>
      <c r="Y160" s="576">
        <f>IFERROR(IF(X160="",0,CEILING((X160/$H160),1)*$H160),"")</f>
        <v>0</v>
      </c>
      <c r="Z160" s="35" t="str">
        <f>IFERROR(IF(Y160=0,"",ROUNDUP(Y160/H160,0)*0.00502),"")</f>
        <v/>
      </c>
      <c r="AA160" s="55"/>
      <c r="AB160" s="56"/>
      <c r="AC160" s="199" t="s">
        <v>268</v>
      </c>
      <c r="AG160" s="63"/>
      <c r="AJ160" s="66"/>
      <c r="AK160" s="66">
        <v>0</v>
      </c>
      <c r="BB160" s="200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592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3"/>
      <c r="P161" s="584" t="s">
        <v>73</v>
      </c>
      <c r="Q161" s="585"/>
      <c r="R161" s="585"/>
      <c r="S161" s="585"/>
      <c r="T161" s="585"/>
      <c r="U161" s="585"/>
      <c r="V161" s="586"/>
      <c r="W161" s="36" t="s">
        <v>74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3"/>
      <c r="P162" s="584" t="s">
        <v>73</v>
      </c>
      <c r="Q162" s="585"/>
      <c r="R162" s="585"/>
      <c r="S162" s="585"/>
      <c r="T162" s="585"/>
      <c r="U162" s="585"/>
      <c r="V162" s="586"/>
      <c r="W162" s="36" t="s">
        <v>71</v>
      </c>
      <c r="X162" s="577">
        <f>IFERROR(SUM(X160:X160),"0")</f>
        <v>0</v>
      </c>
      <c r="Y162" s="577">
        <f>IFERROR(SUM(Y160:Y160),"0")</f>
        <v>0</v>
      </c>
      <c r="Z162" s="36"/>
      <c r="AA162" s="578"/>
      <c r="AB162" s="578"/>
      <c r="AC162" s="578"/>
    </row>
    <row r="163" spans="1:68" ht="14.25" hidden="1" customHeight="1" x14ac:dyDescent="0.25">
      <c r="A163" s="587" t="s">
        <v>65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65"/>
      <c r="AB163" s="565"/>
      <c r="AC163" s="565"/>
    </row>
    <row r="164" spans="1:68" ht="27" hidden="1" customHeight="1" x14ac:dyDescent="0.25">
      <c r="A164" s="53" t="s">
        <v>269</v>
      </c>
      <c r="B164" s="53" t="s">
        <v>270</v>
      </c>
      <c r="C164" s="30">
        <v>4301031191</v>
      </c>
      <c r="D164" s="594">
        <v>4680115880993</v>
      </c>
      <c r="E164" s="595"/>
      <c r="F164" s="574">
        <v>0.7</v>
      </c>
      <c r="G164" s="31">
        <v>6</v>
      </c>
      <c r="H164" s="574">
        <v>4.2</v>
      </c>
      <c r="I164" s="574">
        <v>4.47</v>
      </c>
      <c r="J164" s="31">
        <v>132</v>
      </c>
      <c r="K164" s="31" t="s">
        <v>112</v>
      </c>
      <c r="L164" s="31"/>
      <c r="M164" s="32" t="s">
        <v>69</v>
      </c>
      <c r="N164" s="32"/>
      <c r="O164" s="31">
        <v>40</v>
      </c>
      <c r="P164" s="8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3"/>
      <c r="V164" s="33"/>
      <c r="W164" s="34" t="s">
        <v>71</v>
      </c>
      <c r="X164" s="575">
        <v>0</v>
      </c>
      <c r="Y164" s="576">
        <f t="shared" ref="Y164:Y172" si="21">IFERROR(IF(X164="",0,CEILING((X164/$H164),1)*$H164),"")</f>
        <v>0</v>
      </c>
      <c r="Z164" s="35" t="str">
        <f>IFERROR(IF(Y164=0,"",ROUNDUP(Y164/H164,0)*0.00902),"")</f>
        <v/>
      </c>
      <c r="AA164" s="55"/>
      <c r="AB164" s="56"/>
      <c r="AC164" s="201" t="s">
        <v>271</v>
      </c>
      <c r="AG164" s="63"/>
      <c r="AJ164" s="66"/>
      <c r="AK164" s="66">
        <v>0</v>
      </c>
      <c r="BB164" s="202" t="s">
        <v>1</v>
      </c>
      <c r="BM164" s="63">
        <f t="shared" ref="BM164:BM172" si="22">IFERROR(X164*I164/H164,"0")</f>
        <v>0</v>
      </c>
      <c r="BN164" s="63">
        <f t="shared" ref="BN164:BN172" si="23">IFERROR(Y164*I164/H164,"0")</f>
        <v>0</v>
      </c>
      <c r="BO164" s="63">
        <f t="shared" ref="BO164:BO172" si="24">IFERROR(1/J164*(X164/H164),"0")</f>
        <v>0</v>
      </c>
      <c r="BP164" s="63">
        <f t="shared" ref="BP164:BP172" si="25">IFERROR(1/J164*(Y164/H164),"0")</f>
        <v>0</v>
      </c>
    </row>
    <row r="165" spans="1:68" ht="27" hidden="1" customHeight="1" x14ac:dyDescent="0.25">
      <c r="A165" s="53" t="s">
        <v>272</v>
      </c>
      <c r="B165" s="53" t="s">
        <v>273</v>
      </c>
      <c r="C165" s="30">
        <v>4301031204</v>
      </c>
      <c r="D165" s="594">
        <v>4680115881761</v>
      </c>
      <c r="E165" s="595"/>
      <c r="F165" s="574">
        <v>0.7</v>
      </c>
      <c r="G165" s="31">
        <v>6</v>
      </c>
      <c r="H165" s="574">
        <v>4.2</v>
      </c>
      <c r="I165" s="574">
        <v>4.47</v>
      </c>
      <c r="J165" s="31">
        <v>132</v>
      </c>
      <c r="K165" s="31" t="s">
        <v>112</v>
      </c>
      <c r="L165" s="31"/>
      <c r="M165" s="32" t="s">
        <v>69</v>
      </c>
      <c r="N165" s="32"/>
      <c r="O165" s="31">
        <v>40</v>
      </c>
      <c r="P165" s="6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3"/>
      <c r="V165" s="33"/>
      <c r="W165" s="34" t="s">
        <v>71</v>
      </c>
      <c r="X165" s="575">
        <v>0</v>
      </c>
      <c r="Y165" s="576">
        <f t="shared" si="21"/>
        <v>0</v>
      </c>
      <c r="Z165" s="35" t="str">
        <f>IFERROR(IF(Y165=0,"",ROUNDUP(Y165/H165,0)*0.00902),"")</f>
        <v/>
      </c>
      <c r="AA165" s="55"/>
      <c r="AB165" s="56"/>
      <c r="AC165" s="203" t="s">
        <v>274</v>
      </c>
      <c r="AG165" s="63"/>
      <c r="AJ165" s="66"/>
      <c r="AK165" s="66">
        <v>0</v>
      </c>
      <c r="BB165" s="204" t="s">
        <v>1</v>
      </c>
      <c r="BM165" s="63">
        <f t="shared" si="22"/>
        <v>0</v>
      </c>
      <c r="BN165" s="63">
        <f t="shared" si="23"/>
        <v>0</v>
      </c>
      <c r="BO165" s="63">
        <f t="shared" si="24"/>
        <v>0</v>
      </c>
      <c r="BP165" s="63">
        <f t="shared" si="25"/>
        <v>0</v>
      </c>
    </row>
    <row r="166" spans="1:68" ht="27" hidden="1" customHeight="1" x14ac:dyDescent="0.25">
      <c r="A166" s="53" t="s">
        <v>275</v>
      </c>
      <c r="B166" s="53" t="s">
        <v>276</v>
      </c>
      <c r="C166" s="30">
        <v>4301031201</v>
      </c>
      <c r="D166" s="594">
        <v>4680115881563</v>
      </c>
      <c r="E166" s="595"/>
      <c r="F166" s="574">
        <v>0.7</v>
      </c>
      <c r="G166" s="31">
        <v>6</v>
      </c>
      <c r="H166" s="574">
        <v>4.2</v>
      </c>
      <c r="I166" s="574">
        <v>4.41</v>
      </c>
      <c r="J166" s="31">
        <v>132</v>
      </c>
      <c r="K166" s="31" t="s">
        <v>112</v>
      </c>
      <c r="L166" s="31"/>
      <c r="M166" s="32" t="s">
        <v>69</v>
      </c>
      <c r="N166" s="32"/>
      <c r="O166" s="31">
        <v>40</v>
      </c>
      <c r="P166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3"/>
      <c r="V166" s="33"/>
      <c r="W166" s="34" t="s">
        <v>71</v>
      </c>
      <c r="X166" s="575">
        <v>0</v>
      </c>
      <c r="Y166" s="576">
        <f t="shared" si="21"/>
        <v>0</v>
      </c>
      <c r="Z166" s="35" t="str">
        <f>IFERROR(IF(Y166=0,"",ROUNDUP(Y166/H166,0)*0.00902),"")</f>
        <v/>
      </c>
      <c r="AA166" s="55"/>
      <c r="AB166" s="56"/>
      <c r="AC166" s="205" t="s">
        <v>277</v>
      </c>
      <c r="AG166" s="63"/>
      <c r="AJ166" s="66"/>
      <c r="AK166" s="66">
        <v>0</v>
      </c>
      <c r="BB166" s="206" t="s">
        <v>1</v>
      </c>
      <c r="BM166" s="63">
        <f t="shared" si="22"/>
        <v>0</v>
      </c>
      <c r="BN166" s="63">
        <f t="shared" si="23"/>
        <v>0</v>
      </c>
      <c r="BO166" s="63">
        <f t="shared" si="24"/>
        <v>0</v>
      </c>
      <c r="BP166" s="63">
        <f t="shared" si="25"/>
        <v>0</v>
      </c>
    </row>
    <row r="167" spans="1:68" ht="27" hidden="1" customHeight="1" x14ac:dyDescent="0.25">
      <c r="A167" s="53" t="s">
        <v>278</v>
      </c>
      <c r="B167" s="53" t="s">
        <v>279</v>
      </c>
      <c r="C167" s="30">
        <v>4301031199</v>
      </c>
      <c r="D167" s="594">
        <v>4680115880986</v>
      </c>
      <c r="E167" s="595"/>
      <c r="F167" s="574">
        <v>0.35</v>
      </c>
      <c r="G167" s="31">
        <v>6</v>
      </c>
      <c r="H167" s="574">
        <v>2.1</v>
      </c>
      <c r="I167" s="574">
        <v>2.23</v>
      </c>
      <c r="J167" s="31">
        <v>234</v>
      </c>
      <c r="K167" s="31" t="s">
        <v>68</v>
      </c>
      <c r="L167" s="31"/>
      <c r="M167" s="32" t="s">
        <v>69</v>
      </c>
      <c r="N167" s="32"/>
      <c r="O167" s="31">
        <v>40</v>
      </c>
      <c r="P167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3"/>
      <c r="V167" s="33"/>
      <c r="W167" s="34" t="s">
        <v>71</v>
      </c>
      <c r="X167" s="575">
        <v>0</v>
      </c>
      <c r="Y167" s="576">
        <f t="shared" si="21"/>
        <v>0</v>
      </c>
      <c r="Z167" s="35" t="str">
        <f>IFERROR(IF(Y167=0,"",ROUNDUP(Y167/H167,0)*0.00502),"")</f>
        <v/>
      </c>
      <c r="AA167" s="55"/>
      <c r="AB167" s="56"/>
      <c r="AC167" s="207" t="s">
        <v>271</v>
      </c>
      <c r="AG167" s="63"/>
      <c r="AJ167" s="66"/>
      <c r="AK167" s="66">
        <v>0</v>
      </c>
      <c r="BB167" s="208" t="s">
        <v>1</v>
      </c>
      <c r="BM167" s="63">
        <f t="shared" si="22"/>
        <v>0</v>
      </c>
      <c r="BN167" s="63">
        <f t="shared" si="23"/>
        <v>0</v>
      </c>
      <c r="BO167" s="63">
        <f t="shared" si="24"/>
        <v>0</v>
      </c>
      <c r="BP167" s="63">
        <f t="shared" si="25"/>
        <v>0</v>
      </c>
    </row>
    <row r="168" spans="1:68" ht="27" hidden="1" customHeight="1" x14ac:dyDescent="0.25">
      <c r="A168" s="53" t="s">
        <v>280</v>
      </c>
      <c r="B168" s="53" t="s">
        <v>281</v>
      </c>
      <c r="C168" s="30">
        <v>4301031205</v>
      </c>
      <c r="D168" s="594">
        <v>4680115881785</v>
      </c>
      <c r="E168" s="595"/>
      <c r="F168" s="574">
        <v>0.35</v>
      </c>
      <c r="G168" s="31">
        <v>6</v>
      </c>
      <c r="H168" s="574">
        <v>2.1</v>
      </c>
      <c r="I168" s="574">
        <v>2.23</v>
      </c>
      <c r="J168" s="31">
        <v>234</v>
      </c>
      <c r="K168" s="31" t="s">
        <v>68</v>
      </c>
      <c r="L168" s="31"/>
      <c r="M168" s="32" t="s">
        <v>69</v>
      </c>
      <c r="N168" s="32"/>
      <c r="O168" s="31">
        <v>40</v>
      </c>
      <c r="P168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3"/>
      <c r="V168" s="33"/>
      <c r="W168" s="34" t="s">
        <v>71</v>
      </c>
      <c r="X168" s="575">
        <v>0</v>
      </c>
      <c r="Y168" s="576">
        <f t="shared" si="21"/>
        <v>0</v>
      </c>
      <c r="Z168" s="35" t="str">
        <f>IFERROR(IF(Y168=0,"",ROUNDUP(Y168/H168,0)*0.00502),"")</f>
        <v/>
      </c>
      <c r="AA168" s="55"/>
      <c r="AB168" s="56"/>
      <c r="AC168" s="209" t="s">
        <v>274</v>
      </c>
      <c r="AG168" s="63"/>
      <c r="AJ168" s="66"/>
      <c r="AK168" s="66">
        <v>0</v>
      </c>
      <c r="BB168" s="210" t="s">
        <v>1</v>
      </c>
      <c r="BM168" s="63">
        <f t="shared" si="22"/>
        <v>0</v>
      </c>
      <c r="BN168" s="63">
        <f t="shared" si="23"/>
        <v>0</v>
      </c>
      <c r="BO168" s="63">
        <f t="shared" si="24"/>
        <v>0</v>
      </c>
      <c r="BP168" s="63">
        <f t="shared" si="25"/>
        <v>0</v>
      </c>
    </row>
    <row r="169" spans="1:68" ht="27" hidden="1" customHeight="1" x14ac:dyDescent="0.25">
      <c r="A169" s="53" t="s">
        <v>282</v>
      </c>
      <c r="B169" s="53" t="s">
        <v>283</v>
      </c>
      <c r="C169" s="30">
        <v>4301031399</v>
      </c>
      <c r="D169" s="594">
        <v>4680115886537</v>
      </c>
      <c r="E169" s="595"/>
      <c r="F169" s="574">
        <v>0.3</v>
      </c>
      <c r="G169" s="31">
        <v>6</v>
      </c>
      <c r="H169" s="574">
        <v>1.8</v>
      </c>
      <c r="I169" s="574">
        <v>1.93</v>
      </c>
      <c r="J169" s="31">
        <v>234</v>
      </c>
      <c r="K169" s="31" t="s">
        <v>68</v>
      </c>
      <c r="L169" s="31"/>
      <c r="M169" s="32" t="s">
        <v>69</v>
      </c>
      <c r="N169" s="32"/>
      <c r="O169" s="31">
        <v>40</v>
      </c>
      <c r="P169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3"/>
      <c r="V169" s="33"/>
      <c r="W169" s="34" t="s">
        <v>71</v>
      </c>
      <c r="X169" s="575">
        <v>0</v>
      </c>
      <c r="Y169" s="576">
        <f t="shared" si="21"/>
        <v>0</v>
      </c>
      <c r="Z169" s="35" t="str">
        <f>IFERROR(IF(Y169=0,"",ROUNDUP(Y169/H169,0)*0.00502),"")</f>
        <v/>
      </c>
      <c r="AA169" s="55"/>
      <c r="AB169" s="56"/>
      <c r="AC169" s="211" t="s">
        <v>284</v>
      </c>
      <c r="AG169" s="63"/>
      <c r="AJ169" s="66"/>
      <c r="AK169" s="66">
        <v>0</v>
      </c>
      <c r="BB169" s="212" t="s">
        <v>1</v>
      </c>
      <c r="BM169" s="63">
        <f t="shared" si="22"/>
        <v>0</v>
      </c>
      <c r="BN169" s="63">
        <f t="shared" si="23"/>
        <v>0</v>
      </c>
      <c r="BO169" s="63">
        <f t="shared" si="24"/>
        <v>0</v>
      </c>
      <c r="BP169" s="63">
        <f t="shared" si="25"/>
        <v>0</v>
      </c>
    </row>
    <row r="170" spans="1:68" ht="37.5" customHeight="1" x14ac:dyDescent="0.25">
      <c r="A170" s="53" t="s">
        <v>285</v>
      </c>
      <c r="B170" s="53" t="s">
        <v>286</v>
      </c>
      <c r="C170" s="30">
        <v>4301031202</v>
      </c>
      <c r="D170" s="594">
        <v>4680115881679</v>
      </c>
      <c r="E170" s="595"/>
      <c r="F170" s="574">
        <v>0.35</v>
      </c>
      <c r="G170" s="31">
        <v>6</v>
      </c>
      <c r="H170" s="574">
        <v>2.1</v>
      </c>
      <c r="I170" s="574">
        <v>2.2000000000000002</v>
      </c>
      <c r="J170" s="31">
        <v>234</v>
      </c>
      <c r="K170" s="31" t="s">
        <v>68</v>
      </c>
      <c r="L170" s="31"/>
      <c r="M170" s="32" t="s">
        <v>69</v>
      </c>
      <c r="N170" s="32"/>
      <c r="O170" s="31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3"/>
      <c r="V170" s="33"/>
      <c r="W170" s="34" t="s">
        <v>71</v>
      </c>
      <c r="X170" s="575">
        <v>53</v>
      </c>
      <c r="Y170" s="576">
        <f t="shared" si="21"/>
        <v>54.6</v>
      </c>
      <c r="Z170" s="35">
        <f>IFERROR(IF(Y170=0,"",ROUNDUP(Y170/H170,0)*0.00502),"")</f>
        <v>0.13052</v>
      </c>
      <c r="AA170" s="55"/>
      <c r="AB170" s="56"/>
      <c r="AC170" s="213" t="s">
        <v>277</v>
      </c>
      <c r="AG170" s="63"/>
      <c r="AJ170" s="66"/>
      <c r="AK170" s="66">
        <v>0</v>
      </c>
      <c r="BB170" s="214" t="s">
        <v>1</v>
      </c>
      <c r="BM170" s="63">
        <f t="shared" si="22"/>
        <v>55.523809523809526</v>
      </c>
      <c r="BN170" s="63">
        <f t="shared" si="23"/>
        <v>57.20000000000001</v>
      </c>
      <c r="BO170" s="63">
        <f t="shared" si="24"/>
        <v>0.10785510785510787</v>
      </c>
      <c r="BP170" s="63">
        <f t="shared" si="25"/>
        <v>0.11111111111111112</v>
      </c>
    </row>
    <row r="171" spans="1:68" ht="27" hidden="1" customHeight="1" x14ac:dyDescent="0.25">
      <c r="A171" s="53" t="s">
        <v>287</v>
      </c>
      <c r="B171" s="53" t="s">
        <v>288</v>
      </c>
      <c r="C171" s="30">
        <v>4301031158</v>
      </c>
      <c r="D171" s="594">
        <v>4680115880191</v>
      </c>
      <c r="E171" s="595"/>
      <c r="F171" s="574">
        <v>0.4</v>
      </c>
      <c r="G171" s="31">
        <v>6</v>
      </c>
      <c r="H171" s="574">
        <v>2.4</v>
      </c>
      <c r="I171" s="574">
        <v>2.58</v>
      </c>
      <c r="J171" s="31">
        <v>182</v>
      </c>
      <c r="K171" s="31" t="s">
        <v>78</v>
      </c>
      <c r="L171" s="31"/>
      <c r="M171" s="32" t="s">
        <v>69</v>
      </c>
      <c r="N171" s="32"/>
      <c r="O171" s="31">
        <v>40</v>
      </c>
      <c r="P171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3"/>
      <c r="V171" s="33"/>
      <c r="W171" s="34" t="s">
        <v>71</v>
      </c>
      <c r="X171" s="575">
        <v>0</v>
      </c>
      <c r="Y171" s="576">
        <f t="shared" si="21"/>
        <v>0</v>
      </c>
      <c r="Z171" s="35" t="str">
        <f>IFERROR(IF(Y171=0,"",ROUNDUP(Y171/H171,0)*0.00651),"")</f>
        <v/>
      </c>
      <c r="AA171" s="55"/>
      <c r="AB171" s="56"/>
      <c r="AC171" s="215" t="s">
        <v>277</v>
      </c>
      <c r="AG171" s="63"/>
      <c r="AJ171" s="66"/>
      <c r="AK171" s="66">
        <v>0</v>
      </c>
      <c r="BB171" s="216" t="s">
        <v>1</v>
      </c>
      <c r="BM171" s="63">
        <f t="shared" si="22"/>
        <v>0</v>
      </c>
      <c r="BN171" s="63">
        <f t="shared" si="23"/>
        <v>0</v>
      </c>
      <c r="BO171" s="63">
        <f t="shared" si="24"/>
        <v>0</v>
      </c>
      <c r="BP171" s="63">
        <f t="shared" si="25"/>
        <v>0</v>
      </c>
    </row>
    <row r="172" spans="1:68" ht="27" hidden="1" customHeight="1" x14ac:dyDescent="0.25">
      <c r="A172" s="53" t="s">
        <v>289</v>
      </c>
      <c r="B172" s="53" t="s">
        <v>290</v>
      </c>
      <c r="C172" s="30">
        <v>4301031245</v>
      </c>
      <c r="D172" s="594">
        <v>4680115883963</v>
      </c>
      <c r="E172" s="595"/>
      <c r="F172" s="574">
        <v>0.28000000000000003</v>
      </c>
      <c r="G172" s="31">
        <v>6</v>
      </c>
      <c r="H172" s="574">
        <v>1.68</v>
      </c>
      <c r="I172" s="574">
        <v>1.78</v>
      </c>
      <c r="J172" s="31">
        <v>234</v>
      </c>
      <c r="K172" s="31" t="s">
        <v>68</v>
      </c>
      <c r="L172" s="31"/>
      <c r="M172" s="32" t="s">
        <v>69</v>
      </c>
      <c r="N172" s="32"/>
      <c r="O172" s="31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3"/>
      <c r="V172" s="33"/>
      <c r="W172" s="34" t="s">
        <v>71</v>
      </c>
      <c r="X172" s="575">
        <v>0</v>
      </c>
      <c r="Y172" s="576">
        <f t="shared" si="21"/>
        <v>0</v>
      </c>
      <c r="Z172" s="35" t="str">
        <f>IFERROR(IF(Y172=0,"",ROUNDUP(Y172/H172,0)*0.00502),"")</f>
        <v/>
      </c>
      <c r="AA172" s="55"/>
      <c r="AB172" s="56"/>
      <c r="AC172" s="217" t="s">
        <v>291</v>
      </c>
      <c r="AG172" s="63"/>
      <c r="AJ172" s="66"/>
      <c r="AK172" s="66">
        <v>0</v>
      </c>
      <c r="BB172" s="218" t="s">
        <v>1</v>
      </c>
      <c r="BM172" s="63">
        <f t="shared" si="22"/>
        <v>0</v>
      </c>
      <c r="BN172" s="63">
        <f t="shared" si="23"/>
        <v>0</v>
      </c>
      <c r="BO172" s="63">
        <f t="shared" si="24"/>
        <v>0</v>
      </c>
      <c r="BP172" s="63">
        <f t="shared" si="25"/>
        <v>0</v>
      </c>
    </row>
    <row r="173" spans="1:68" x14ac:dyDescent="0.2">
      <c r="A173" s="592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3"/>
      <c r="P173" s="584" t="s">
        <v>73</v>
      </c>
      <c r="Q173" s="585"/>
      <c r="R173" s="585"/>
      <c r="S173" s="585"/>
      <c r="T173" s="585"/>
      <c r="U173" s="585"/>
      <c r="V173" s="586"/>
      <c r="W173" s="36" t="s">
        <v>74</v>
      </c>
      <c r="X173" s="577">
        <f>IFERROR(X164/H164,"0")+IFERROR(X165/H165,"0")+IFERROR(X166/H166,"0")+IFERROR(X167/H167,"0")+IFERROR(X168/H168,"0")+IFERROR(X169/H169,"0")+IFERROR(X170/H170,"0")+IFERROR(X171/H171,"0")+IFERROR(X172/H172,"0")</f>
        <v>25.238095238095237</v>
      </c>
      <c r="Y173" s="577">
        <f>IFERROR(Y164/H164,"0")+IFERROR(Y165/H165,"0")+IFERROR(Y166/H166,"0")+IFERROR(Y167/H167,"0")+IFERROR(Y168/H168,"0")+IFERROR(Y169/H169,"0")+IFERROR(Y170/H170,"0")+IFERROR(Y171/H171,"0")+IFERROR(Y172/H172,"0")</f>
        <v>26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0.13052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3"/>
      <c r="P174" s="584" t="s">
        <v>73</v>
      </c>
      <c r="Q174" s="585"/>
      <c r="R174" s="585"/>
      <c r="S174" s="585"/>
      <c r="T174" s="585"/>
      <c r="U174" s="585"/>
      <c r="V174" s="586"/>
      <c r="W174" s="36" t="s">
        <v>71</v>
      </c>
      <c r="X174" s="577">
        <f>IFERROR(SUM(X164:X172),"0")</f>
        <v>53</v>
      </c>
      <c r="Y174" s="577">
        <f>IFERROR(SUM(Y164:Y172),"0")</f>
        <v>54.6</v>
      </c>
      <c r="Z174" s="36"/>
      <c r="AA174" s="578"/>
      <c r="AB174" s="578"/>
      <c r="AC174" s="578"/>
    </row>
    <row r="175" spans="1:68" ht="14.25" hidden="1" customHeight="1" x14ac:dyDescent="0.25">
      <c r="A175" s="587" t="s">
        <v>96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65"/>
      <c r="AB175" s="565"/>
      <c r="AC175" s="565"/>
    </row>
    <row r="176" spans="1:68" ht="27" customHeight="1" x14ac:dyDescent="0.25">
      <c r="A176" s="53" t="s">
        <v>292</v>
      </c>
      <c r="B176" s="53" t="s">
        <v>293</v>
      </c>
      <c r="C176" s="30">
        <v>4301032053</v>
      </c>
      <c r="D176" s="594">
        <v>4680115886780</v>
      </c>
      <c r="E176" s="595"/>
      <c r="F176" s="574">
        <v>7.0000000000000007E-2</v>
      </c>
      <c r="G176" s="31">
        <v>18</v>
      </c>
      <c r="H176" s="574">
        <v>1.26</v>
      </c>
      <c r="I176" s="574">
        <v>1.45</v>
      </c>
      <c r="J176" s="31">
        <v>216</v>
      </c>
      <c r="K176" s="31" t="s">
        <v>294</v>
      </c>
      <c r="L176" s="31"/>
      <c r="M176" s="32" t="s">
        <v>295</v>
      </c>
      <c r="N176" s="32"/>
      <c r="O176" s="31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3"/>
      <c r="V176" s="33"/>
      <c r="W176" s="34" t="s">
        <v>71</v>
      </c>
      <c r="X176" s="575">
        <v>9</v>
      </c>
      <c r="Y176" s="576">
        <f>IFERROR(IF(X176="",0,CEILING((X176/$H176),1)*$H176),"")</f>
        <v>10.08</v>
      </c>
      <c r="Z176" s="35">
        <f>IFERROR(IF(Y176=0,"",ROUNDUP(Y176/H176,0)*0.0059),"")</f>
        <v>4.7199999999999999E-2</v>
      </c>
      <c r="AA176" s="55"/>
      <c r="AB176" s="56"/>
      <c r="AC176" s="219" t="s">
        <v>296</v>
      </c>
      <c r="AG176" s="63"/>
      <c r="AJ176" s="66"/>
      <c r="AK176" s="66">
        <v>0</v>
      </c>
      <c r="BB176" s="220" t="s">
        <v>1</v>
      </c>
      <c r="BM176" s="63">
        <f>IFERROR(X176*I176/H176,"0")</f>
        <v>10.357142857142856</v>
      </c>
      <c r="BN176" s="63">
        <f>IFERROR(Y176*I176/H176,"0")</f>
        <v>11.6</v>
      </c>
      <c r="BO176" s="63">
        <f>IFERROR(1/J176*(X176/H176),"0")</f>
        <v>3.3068783068783067E-2</v>
      </c>
      <c r="BP176" s="63">
        <f>IFERROR(1/J176*(Y176/H176),"0")</f>
        <v>3.7037037037037035E-2</v>
      </c>
    </row>
    <row r="177" spans="1:68" ht="27" customHeight="1" x14ac:dyDescent="0.25">
      <c r="A177" s="53" t="s">
        <v>297</v>
      </c>
      <c r="B177" s="53" t="s">
        <v>298</v>
      </c>
      <c r="C177" s="30">
        <v>4301032051</v>
      </c>
      <c r="D177" s="594">
        <v>4680115886742</v>
      </c>
      <c r="E177" s="595"/>
      <c r="F177" s="574">
        <v>7.0000000000000007E-2</v>
      </c>
      <c r="G177" s="31">
        <v>18</v>
      </c>
      <c r="H177" s="574">
        <v>1.26</v>
      </c>
      <c r="I177" s="574">
        <v>1.45</v>
      </c>
      <c r="J177" s="31">
        <v>216</v>
      </c>
      <c r="K177" s="31" t="s">
        <v>294</v>
      </c>
      <c r="L177" s="31"/>
      <c r="M177" s="32" t="s">
        <v>295</v>
      </c>
      <c r="N177" s="32"/>
      <c r="O177" s="31">
        <v>90</v>
      </c>
      <c r="P177" s="8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3"/>
      <c r="V177" s="33"/>
      <c r="W177" s="34" t="s">
        <v>71</v>
      </c>
      <c r="X177" s="575">
        <v>8</v>
      </c>
      <c r="Y177" s="576">
        <f>IFERROR(IF(X177="",0,CEILING((X177/$H177),1)*$H177),"")</f>
        <v>8.82</v>
      </c>
      <c r="Z177" s="35">
        <f>IFERROR(IF(Y177=0,"",ROUNDUP(Y177/H177,0)*0.0059),"")</f>
        <v>4.1299999999999996E-2</v>
      </c>
      <c r="AA177" s="55"/>
      <c r="AB177" s="56"/>
      <c r="AC177" s="221" t="s">
        <v>299</v>
      </c>
      <c r="AG177" s="63"/>
      <c r="AJ177" s="66"/>
      <c r="AK177" s="66">
        <v>0</v>
      </c>
      <c r="BB177" s="222" t="s">
        <v>1</v>
      </c>
      <c r="BM177" s="63">
        <f>IFERROR(X177*I177/H177,"0")</f>
        <v>9.2063492063492056</v>
      </c>
      <c r="BN177" s="63">
        <f>IFERROR(Y177*I177/H177,"0")</f>
        <v>10.15</v>
      </c>
      <c r="BO177" s="63">
        <f>IFERROR(1/J177*(X177/H177),"0")</f>
        <v>2.9394473838918279E-2</v>
      </c>
      <c r="BP177" s="63">
        <f>IFERROR(1/J177*(Y177/H177),"0")</f>
        <v>3.2407407407407406E-2</v>
      </c>
    </row>
    <row r="178" spans="1:68" ht="27" customHeight="1" x14ac:dyDescent="0.25">
      <c r="A178" s="53" t="s">
        <v>300</v>
      </c>
      <c r="B178" s="53" t="s">
        <v>301</v>
      </c>
      <c r="C178" s="30">
        <v>4301032052</v>
      </c>
      <c r="D178" s="594">
        <v>4680115886766</v>
      </c>
      <c r="E178" s="595"/>
      <c r="F178" s="574">
        <v>7.0000000000000007E-2</v>
      </c>
      <c r="G178" s="31">
        <v>18</v>
      </c>
      <c r="H178" s="574">
        <v>1.26</v>
      </c>
      <c r="I178" s="574">
        <v>1.45</v>
      </c>
      <c r="J178" s="31">
        <v>216</v>
      </c>
      <c r="K178" s="31" t="s">
        <v>294</v>
      </c>
      <c r="L178" s="31"/>
      <c r="M178" s="32" t="s">
        <v>295</v>
      </c>
      <c r="N178" s="32"/>
      <c r="O178" s="31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3"/>
      <c r="V178" s="33"/>
      <c r="W178" s="34" t="s">
        <v>71</v>
      </c>
      <c r="X178" s="575">
        <v>8</v>
      </c>
      <c r="Y178" s="576">
        <f>IFERROR(IF(X178="",0,CEILING((X178/$H178),1)*$H178),"")</f>
        <v>8.82</v>
      </c>
      <c r="Z178" s="35">
        <f>IFERROR(IF(Y178=0,"",ROUNDUP(Y178/H178,0)*0.0059),"")</f>
        <v>4.1299999999999996E-2</v>
      </c>
      <c r="AA178" s="55"/>
      <c r="AB178" s="56"/>
      <c r="AC178" s="223" t="s">
        <v>299</v>
      </c>
      <c r="AG178" s="63"/>
      <c r="AJ178" s="66"/>
      <c r="AK178" s="66">
        <v>0</v>
      </c>
      <c r="BB178" s="224" t="s">
        <v>1</v>
      </c>
      <c r="BM178" s="63">
        <f>IFERROR(X178*I178/H178,"0")</f>
        <v>9.2063492063492056</v>
      </c>
      <c r="BN178" s="63">
        <f>IFERROR(Y178*I178/H178,"0")</f>
        <v>10.15</v>
      </c>
      <c r="BO178" s="63">
        <f>IFERROR(1/J178*(X178/H178),"0")</f>
        <v>2.9394473838918279E-2</v>
      </c>
      <c r="BP178" s="63">
        <f>IFERROR(1/J178*(Y178/H178),"0")</f>
        <v>3.2407407407407406E-2</v>
      </c>
    </row>
    <row r="179" spans="1:68" x14ac:dyDescent="0.2">
      <c r="A179" s="592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3"/>
      <c r="P179" s="584" t="s">
        <v>73</v>
      </c>
      <c r="Q179" s="585"/>
      <c r="R179" s="585"/>
      <c r="S179" s="585"/>
      <c r="T179" s="585"/>
      <c r="U179" s="585"/>
      <c r="V179" s="586"/>
      <c r="W179" s="36" t="s">
        <v>74</v>
      </c>
      <c r="X179" s="577">
        <f>IFERROR(X176/H176,"0")+IFERROR(X177/H177,"0")+IFERROR(X178/H178,"0")</f>
        <v>19.841269841269842</v>
      </c>
      <c r="Y179" s="577">
        <f>IFERROR(Y176/H176,"0")+IFERROR(Y177/H177,"0")+IFERROR(Y178/H178,"0")</f>
        <v>22</v>
      </c>
      <c r="Z179" s="577">
        <f>IFERROR(IF(Z176="",0,Z176),"0")+IFERROR(IF(Z177="",0,Z177),"0")+IFERROR(IF(Z178="",0,Z178),"0")</f>
        <v>0.1298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3"/>
      <c r="P180" s="584" t="s">
        <v>73</v>
      </c>
      <c r="Q180" s="585"/>
      <c r="R180" s="585"/>
      <c r="S180" s="585"/>
      <c r="T180" s="585"/>
      <c r="U180" s="585"/>
      <c r="V180" s="586"/>
      <c r="W180" s="36" t="s">
        <v>71</v>
      </c>
      <c r="X180" s="577">
        <f>IFERROR(SUM(X176:X178),"0")</f>
        <v>25</v>
      </c>
      <c r="Y180" s="577">
        <f>IFERROR(SUM(Y176:Y178),"0")</f>
        <v>27.72</v>
      </c>
      <c r="Z180" s="36"/>
      <c r="AA180" s="578"/>
      <c r="AB180" s="578"/>
      <c r="AC180" s="578"/>
    </row>
    <row r="181" spans="1:68" ht="14.25" hidden="1" customHeight="1" x14ac:dyDescent="0.25">
      <c r="A181" s="587" t="s">
        <v>302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65"/>
      <c r="AB181" s="565"/>
      <c r="AC181" s="565"/>
    </row>
    <row r="182" spans="1:68" ht="27" hidden="1" customHeight="1" x14ac:dyDescent="0.25">
      <c r="A182" s="53" t="s">
        <v>303</v>
      </c>
      <c r="B182" s="53" t="s">
        <v>304</v>
      </c>
      <c r="C182" s="30">
        <v>4301170013</v>
      </c>
      <c r="D182" s="594">
        <v>4680115886797</v>
      </c>
      <c r="E182" s="595"/>
      <c r="F182" s="574">
        <v>7.0000000000000007E-2</v>
      </c>
      <c r="G182" s="31">
        <v>18</v>
      </c>
      <c r="H182" s="574">
        <v>1.26</v>
      </c>
      <c r="I182" s="574">
        <v>1.45</v>
      </c>
      <c r="J182" s="31">
        <v>216</v>
      </c>
      <c r="K182" s="31" t="s">
        <v>294</v>
      </c>
      <c r="L182" s="31"/>
      <c r="M182" s="32" t="s">
        <v>295</v>
      </c>
      <c r="N182" s="32"/>
      <c r="O182" s="31">
        <v>90</v>
      </c>
      <c r="P182" s="71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3"/>
      <c r="V182" s="33"/>
      <c r="W182" s="34" t="s">
        <v>71</v>
      </c>
      <c r="X182" s="575">
        <v>0</v>
      </c>
      <c r="Y182" s="576">
        <f>IFERROR(IF(X182="",0,CEILING((X182/$H182),1)*$H182),"")</f>
        <v>0</v>
      </c>
      <c r="Z182" s="35" t="str">
        <f>IFERROR(IF(Y182=0,"",ROUNDUP(Y182/H182,0)*0.0059),"")</f>
        <v/>
      </c>
      <c r="AA182" s="55"/>
      <c r="AB182" s="56"/>
      <c r="AC182" s="225" t="s">
        <v>299</v>
      </c>
      <c r="AG182" s="63"/>
      <c r="AJ182" s="66"/>
      <c r="AK182" s="66">
        <v>0</v>
      </c>
      <c r="BB182" s="226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idden="1" x14ac:dyDescent="0.2">
      <c r="A183" s="592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3"/>
      <c r="P183" s="584" t="s">
        <v>73</v>
      </c>
      <c r="Q183" s="585"/>
      <c r="R183" s="585"/>
      <c r="S183" s="585"/>
      <c r="T183" s="585"/>
      <c r="U183" s="585"/>
      <c r="V183" s="586"/>
      <c r="W183" s="36" t="s">
        <v>74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3"/>
      <c r="P184" s="584" t="s">
        <v>73</v>
      </c>
      <c r="Q184" s="585"/>
      <c r="R184" s="585"/>
      <c r="S184" s="585"/>
      <c r="T184" s="585"/>
      <c r="U184" s="585"/>
      <c r="V184" s="586"/>
      <c r="W184" s="36" t="s">
        <v>71</v>
      </c>
      <c r="X184" s="577">
        <f>IFERROR(SUM(X182:X182),"0")</f>
        <v>0</v>
      </c>
      <c r="Y184" s="577">
        <f>IFERROR(SUM(Y182:Y182),"0")</f>
        <v>0</v>
      </c>
      <c r="Z184" s="36"/>
      <c r="AA184" s="578"/>
      <c r="AB184" s="578"/>
      <c r="AC184" s="578"/>
    </row>
    <row r="185" spans="1:68" ht="16.5" hidden="1" customHeight="1" x14ac:dyDescent="0.25">
      <c r="A185" s="648" t="s">
        <v>305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1"/>
      <c r="AB185" s="571"/>
      <c r="AC185" s="571"/>
    </row>
    <row r="186" spans="1:68" ht="14.25" hidden="1" customHeight="1" x14ac:dyDescent="0.25">
      <c r="A186" s="587" t="s">
        <v>104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65"/>
      <c r="AB186" s="565"/>
      <c r="AC186" s="565"/>
    </row>
    <row r="187" spans="1:68" ht="16.5" hidden="1" customHeight="1" x14ac:dyDescent="0.25">
      <c r="A187" s="53" t="s">
        <v>306</v>
      </c>
      <c r="B187" s="53" t="s">
        <v>307</v>
      </c>
      <c r="C187" s="30">
        <v>4301011450</v>
      </c>
      <c r="D187" s="594">
        <v>4680115881402</v>
      </c>
      <c r="E187" s="595"/>
      <c r="F187" s="574">
        <v>1.35</v>
      </c>
      <c r="G187" s="31">
        <v>8</v>
      </c>
      <c r="H187" s="574">
        <v>10.8</v>
      </c>
      <c r="I187" s="574">
        <v>11.234999999999999</v>
      </c>
      <c r="J187" s="31">
        <v>64</v>
      </c>
      <c r="K187" s="31" t="s">
        <v>107</v>
      </c>
      <c r="L187" s="31"/>
      <c r="M187" s="32" t="s">
        <v>108</v>
      </c>
      <c r="N187" s="32"/>
      <c r="O187" s="31">
        <v>55</v>
      </c>
      <c r="P187" s="6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3"/>
      <c r="V187" s="33"/>
      <c r="W187" s="34" t="s">
        <v>71</v>
      </c>
      <c r="X187" s="575">
        <v>0</v>
      </c>
      <c r="Y187" s="576">
        <f>IFERROR(IF(X187="",0,CEILING((X187/$H187),1)*$H187),"")</f>
        <v>0</v>
      </c>
      <c r="Z187" s="35" t="str">
        <f>IFERROR(IF(Y187=0,"",ROUNDUP(Y187/H187,0)*0.01898),"")</f>
        <v/>
      </c>
      <c r="AA187" s="55"/>
      <c r="AB187" s="56"/>
      <c r="AC187" s="227" t="s">
        <v>308</v>
      </c>
      <c r="AG187" s="63"/>
      <c r="AJ187" s="66"/>
      <c r="AK187" s="66">
        <v>0</v>
      </c>
      <c r="BB187" s="228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t="27" hidden="1" customHeight="1" x14ac:dyDescent="0.25">
      <c r="A188" s="53" t="s">
        <v>309</v>
      </c>
      <c r="B188" s="53" t="s">
        <v>310</v>
      </c>
      <c r="C188" s="30">
        <v>4301011768</v>
      </c>
      <c r="D188" s="594">
        <v>4680115881396</v>
      </c>
      <c r="E188" s="595"/>
      <c r="F188" s="574">
        <v>0.45</v>
      </c>
      <c r="G188" s="31">
        <v>6</v>
      </c>
      <c r="H188" s="574">
        <v>2.7</v>
      </c>
      <c r="I188" s="574">
        <v>2.88</v>
      </c>
      <c r="J188" s="31">
        <v>182</v>
      </c>
      <c r="K188" s="31" t="s">
        <v>78</v>
      </c>
      <c r="L188" s="31"/>
      <c r="M188" s="32" t="s">
        <v>108</v>
      </c>
      <c r="N188" s="32"/>
      <c r="O188" s="31">
        <v>55</v>
      </c>
      <c r="P188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3"/>
      <c r="V188" s="33"/>
      <c r="W188" s="34" t="s">
        <v>71</v>
      </c>
      <c r="X188" s="575">
        <v>0</v>
      </c>
      <c r="Y188" s="576">
        <f>IFERROR(IF(X188="",0,CEILING((X188/$H188),1)*$H188),"")</f>
        <v>0</v>
      </c>
      <c r="Z188" s="35" t="str">
        <f>IFERROR(IF(Y188=0,"",ROUNDUP(Y188/H188,0)*0.00651),"")</f>
        <v/>
      </c>
      <c r="AA188" s="55"/>
      <c r="AB188" s="56"/>
      <c r="AC188" s="229" t="s">
        <v>308</v>
      </c>
      <c r="AG188" s="63"/>
      <c r="AJ188" s="66"/>
      <c r="AK188" s="66">
        <v>0</v>
      </c>
      <c r="BB188" s="230" t="s">
        <v>1</v>
      </c>
      <c r="BM188" s="63">
        <f>IFERROR(X188*I188/H188,"0")</f>
        <v>0</v>
      </c>
      <c r="BN188" s="63">
        <f>IFERROR(Y188*I188/H188,"0")</f>
        <v>0</v>
      </c>
      <c r="BO188" s="63">
        <f>IFERROR(1/J188*(X188/H188),"0")</f>
        <v>0</v>
      </c>
      <c r="BP188" s="63">
        <f>IFERROR(1/J188*(Y188/H188),"0")</f>
        <v>0</v>
      </c>
    </row>
    <row r="189" spans="1:68" hidden="1" x14ac:dyDescent="0.2">
      <c r="A189" s="592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3"/>
      <c r="P189" s="584" t="s">
        <v>73</v>
      </c>
      <c r="Q189" s="585"/>
      <c r="R189" s="585"/>
      <c r="S189" s="585"/>
      <c r="T189" s="585"/>
      <c r="U189" s="585"/>
      <c r="V189" s="586"/>
      <c r="W189" s="36" t="s">
        <v>74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3"/>
      <c r="P190" s="584" t="s">
        <v>73</v>
      </c>
      <c r="Q190" s="585"/>
      <c r="R190" s="585"/>
      <c r="S190" s="585"/>
      <c r="T190" s="585"/>
      <c r="U190" s="585"/>
      <c r="V190" s="586"/>
      <c r="W190" s="36" t="s">
        <v>71</v>
      </c>
      <c r="X190" s="577">
        <f>IFERROR(SUM(X187:X188),"0")</f>
        <v>0</v>
      </c>
      <c r="Y190" s="577">
        <f>IFERROR(SUM(Y187:Y188),"0")</f>
        <v>0</v>
      </c>
      <c r="Z190" s="36"/>
      <c r="AA190" s="578"/>
      <c r="AB190" s="578"/>
      <c r="AC190" s="578"/>
    </row>
    <row r="191" spans="1:68" ht="14.25" hidden="1" customHeight="1" x14ac:dyDescent="0.25">
      <c r="A191" s="587" t="s">
        <v>140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65"/>
      <c r="AB191" s="565"/>
      <c r="AC191" s="565"/>
    </row>
    <row r="192" spans="1:68" ht="16.5" hidden="1" customHeight="1" x14ac:dyDescent="0.25">
      <c r="A192" s="53" t="s">
        <v>311</v>
      </c>
      <c r="B192" s="53" t="s">
        <v>312</v>
      </c>
      <c r="C192" s="30">
        <v>4301020262</v>
      </c>
      <c r="D192" s="594">
        <v>4680115882935</v>
      </c>
      <c r="E192" s="595"/>
      <c r="F192" s="574">
        <v>1.35</v>
      </c>
      <c r="G192" s="31">
        <v>8</v>
      </c>
      <c r="H192" s="574">
        <v>10.8</v>
      </c>
      <c r="I192" s="574">
        <v>11.234999999999999</v>
      </c>
      <c r="J192" s="31">
        <v>64</v>
      </c>
      <c r="K192" s="31" t="s">
        <v>107</v>
      </c>
      <c r="L192" s="31"/>
      <c r="M192" s="32" t="s">
        <v>79</v>
      </c>
      <c r="N192" s="32"/>
      <c r="O192" s="31">
        <v>50</v>
      </c>
      <c r="P192" s="6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3"/>
      <c r="V192" s="33"/>
      <c r="W192" s="34" t="s">
        <v>71</v>
      </c>
      <c r="X192" s="575">
        <v>0</v>
      </c>
      <c r="Y192" s="576">
        <f>IFERROR(IF(X192="",0,CEILING((X192/$H192),1)*$H192),"")</f>
        <v>0</v>
      </c>
      <c r="Z192" s="35" t="str">
        <f>IFERROR(IF(Y192=0,"",ROUNDUP(Y192/H192,0)*0.01898),"")</f>
        <v/>
      </c>
      <c r="AA192" s="55"/>
      <c r="AB192" s="56"/>
      <c r="AC192" s="231" t="s">
        <v>313</v>
      </c>
      <c r="AG192" s="63"/>
      <c r="AJ192" s="66"/>
      <c r="AK192" s="66">
        <v>0</v>
      </c>
      <c r="BB192" s="232" t="s">
        <v>1</v>
      </c>
      <c r="BM192" s="63">
        <f>IFERROR(X192*I192/H192,"0")</f>
        <v>0</v>
      </c>
      <c r="BN192" s="63">
        <f>IFERROR(Y192*I192/H192,"0")</f>
        <v>0</v>
      </c>
      <c r="BO192" s="63">
        <f>IFERROR(1/J192*(X192/H192),"0")</f>
        <v>0</v>
      </c>
      <c r="BP192" s="63">
        <f>IFERROR(1/J192*(Y192/H192),"0")</f>
        <v>0</v>
      </c>
    </row>
    <row r="193" spans="1:68" ht="16.5" hidden="1" customHeight="1" x14ac:dyDescent="0.25">
      <c r="A193" s="53" t="s">
        <v>314</v>
      </c>
      <c r="B193" s="53" t="s">
        <v>315</v>
      </c>
      <c r="C193" s="30">
        <v>4301020220</v>
      </c>
      <c r="D193" s="594">
        <v>4680115880764</v>
      </c>
      <c r="E193" s="595"/>
      <c r="F193" s="574">
        <v>0.35</v>
      </c>
      <c r="G193" s="31">
        <v>6</v>
      </c>
      <c r="H193" s="574">
        <v>2.1</v>
      </c>
      <c r="I193" s="574">
        <v>2.2799999999999998</v>
      </c>
      <c r="J193" s="31">
        <v>182</v>
      </c>
      <c r="K193" s="31" t="s">
        <v>78</v>
      </c>
      <c r="L193" s="31"/>
      <c r="M193" s="32" t="s">
        <v>108</v>
      </c>
      <c r="N193" s="32"/>
      <c r="O193" s="31">
        <v>50</v>
      </c>
      <c r="P193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3"/>
      <c r="V193" s="33"/>
      <c r="W193" s="34" t="s">
        <v>71</v>
      </c>
      <c r="X193" s="575">
        <v>0</v>
      </c>
      <c r="Y193" s="576">
        <f>IFERROR(IF(X193="",0,CEILING((X193/$H193),1)*$H193),"")</f>
        <v>0</v>
      </c>
      <c r="Z193" s="35" t="str">
        <f>IFERROR(IF(Y193=0,"",ROUNDUP(Y193/H193,0)*0.00651),"")</f>
        <v/>
      </c>
      <c r="AA193" s="55"/>
      <c r="AB193" s="56"/>
      <c r="AC193" s="233" t="s">
        <v>313</v>
      </c>
      <c r="AG193" s="63"/>
      <c r="AJ193" s="66"/>
      <c r="AK193" s="66">
        <v>0</v>
      </c>
      <c r="BB193" s="234" t="s">
        <v>1</v>
      </c>
      <c r="BM193" s="63">
        <f>IFERROR(X193*I193/H193,"0")</f>
        <v>0</v>
      </c>
      <c r="BN193" s="63">
        <f>IFERROR(Y193*I193/H193,"0")</f>
        <v>0</v>
      </c>
      <c r="BO193" s="63">
        <f>IFERROR(1/J193*(X193/H193),"0")</f>
        <v>0</v>
      </c>
      <c r="BP193" s="63">
        <f>IFERROR(1/J193*(Y193/H193),"0")</f>
        <v>0</v>
      </c>
    </row>
    <row r="194" spans="1:68" hidden="1" x14ac:dyDescent="0.2">
      <c r="A194" s="592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3"/>
      <c r="P194" s="584" t="s">
        <v>73</v>
      </c>
      <c r="Q194" s="585"/>
      <c r="R194" s="585"/>
      <c r="S194" s="585"/>
      <c r="T194" s="585"/>
      <c r="U194" s="585"/>
      <c r="V194" s="586"/>
      <c r="W194" s="36" t="s">
        <v>74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3"/>
      <c r="P195" s="584" t="s">
        <v>73</v>
      </c>
      <c r="Q195" s="585"/>
      <c r="R195" s="585"/>
      <c r="S195" s="585"/>
      <c r="T195" s="585"/>
      <c r="U195" s="585"/>
      <c r="V195" s="586"/>
      <c r="W195" s="36" t="s">
        <v>71</v>
      </c>
      <c r="X195" s="577">
        <f>IFERROR(SUM(X192:X193),"0")</f>
        <v>0</v>
      </c>
      <c r="Y195" s="577">
        <f>IFERROR(SUM(Y192:Y193),"0")</f>
        <v>0</v>
      </c>
      <c r="Z195" s="36"/>
      <c r="AA195" s="578"/>
      <c r="AB195" s="578"/>
      <c r="AC195" s="578"/>
    </row>
    <row r="196" spans="1:68" ht="14.25" hidden="1" customHeight="1" x14ac:dyDescent="0.25">
      <c r="A196" s="587" t="s">
        <v>65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65"/>
      <c r="AB196" s="565"/>
      <c r="AC196" s="565"/>
    </row>
    <row r="197" spans="1:68" ht="27" customHeight="1" x14ac:dyDescent="0.25">
      <c r="A197" s="53" t="s">
        <v>316</v>
      </c>
      <c r="B197" s="53" t="s">
        <v>317</v>
      </c>
      <c r="C197" s="30">
        <v>4301031224</v>
      </c>
      <c r="D197" s="594">
        <v>4680115882683</v>
      </c>
      <c r="E197" s="595"/>
      <c r="F197" s="574">
        <v>0.9</v>
      </c>
      <c r="G197" s="31">
        <v>6</v>
      </c>
      <c r="H197" s="574">
        <v>5.4</v>
      </c>
      <c r="I197" s="574">
        <v>5.61</v>
      </c>
      <c r="J197" s="31">
        <v>132</v>
      </c>
      <c r="K197" s="31" t="s">
        <v>112</v>
      </c>
      <c r="L197" s="31"/>
      <c r="M197" s="32" t="s">
        <v>69</v>
      </c>
      <c r="N197" s="32"/>
      <c r="O197" s="31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3"/>
      <c r="V197" s="33"/>
      <c r="W197" s="34" t="s">
        <v>71</v>
      </c>
      <c r="X197" s="575">
        <v>8</v>
      </c>
      <c r="Y197" s="576">
        <f t="shared" ref="Y197:Y204" si="26">IFERROR(IF(X197="",0,CEILING((X197/$H197),1)*$H197),"")</f>
        <v>10.8</v>
      </c>
      <c r="Z197" s="35">
        <f>IFERROR(IF(Y197=0,"",ROUNDUP(Y197/H197,0)*0.00902),"")</f>
        <v>1.804E-2</v>
      </c>
      <c r="AA197" s="55"/>
      <c r="AB197" s="56"/>
      <c r="AC197" s="235" t="s">
        <v>318</v>
      </c>
      <c r="AG197" s="63"/>
      <c r="AJ197" s="66"/>
      <c r="AK197" s="66">
        <v>0</v>
      </c>
      <c r="BB197" s="236" t="s">
        <v>1</v>
      </c>
      <c r="BM197" s="63">
        <f t="shared" ref="BM197:BM204" si="27">IFERROR(X197*I197/H197,"0")</f>
        <v>8.3111111111111118</v>
      </c>
      <c r="BN197" s="63">
        <f t="shared" ref="BN197:BN204" si="28">IFERROR(Y197*I197/H197,"0")</f>
        <v>11.22</v>
      </c>
      <c r="BO197" s="63">
        <f t="shared" ref="BO197:BO204" si="29">IFERROR(1/J197*(X197/H197),"0")</f>
        <v>1.1223344556677889E-2</v>
      </c>
      <c r="BP197" s="63">
        <f t="shared" ref="BP197:BP204" si="30">IFERROR(1/J197*(Y197/H197),"0")</f>
        <v>1.5151515151515152E-2</v>
      </c>
    </row>
    <row r="198" spans="1:68" ht="27" customHeight="1" x14ac:dyDescent="0.25">
      <c r="A198" s="53" t="s">
        <v>319</v>
      </c>
      <c r="B198" s="53" t="s">
        <v>320</v>
      </c>
      <c r="C198" s="30">
        <v>4301031230</v>
      </c>
      <c r="D198" s="594">
        <v>4680115882690</v>
      </c>
      <c r="E198" s="595"/>
      <c r="F198" s="574">
        <v>0.9</v>
      </c>
      <c r="G198" s="31">
        <v>6</v>
      </c>
      <c r="H198" s="574">
        <v>5.4</v>
      </c>
      <c r="I198" s="574">
        <v>5.61</v>
      </c>
      <c r="J198" s="31">
        <v>132</v>
      </c>
      <c r="K198" s="31" t="s">
        <v>112</v>
      </c>
      <c r="L198" s="31"/>
      <c r="M198" s="32" t="s">
        <v>69</v>
      </c>
      <c r="N198" s="32"/>
      <c r="O198" s="31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3"/>
      <c r="V198" s="33"/>
      <c r="W198" s="34" t="s">
        <v>71</v>
      </c>
      <c r="X198" s="575">
        <v>8</v>
      </c>
      <c r="Y198" s="576">
        <f t="shared" si="26"/>
        <v>10.8</v>
      </c>
      <c r="Z198" s="35">
        <f>IFERROR(IF(Y198=0,"",ROUNDUP(Y198/H198,0)*0.00902),"")</f>
        <v>1.804E-2</v>
      </c>
      <c r="AA198" s="55"/>
      <c r="AB198" s="56"/>
      <c r="AC198" s="237" t="s">
        <v>321</v>
      </c>
      <c r="AG198" s="63"/>
      <c r="AJ198" s="66"/>
      <c r="AK198" s="66">
        <v>0</v>
      </c>
      <c r="BB198" s="238" t="s">
        <v>1</v>
      </c>
      <c r="BM198" s="63">
        <f t="shared" si="27"/>
        <v>8.3111111111111118</v>
      </c>
      <c r="BN198" s="63">
        <f t="shared" si="28"/>
        <v>11.22</v>
      </c>
      <c r="BO198" s="63">
        <f t="shared" si="29"/>
        <v>1.1223344556677889E-2</v>
      </c>
      <c r="BP198" s="63">
        <f t="shared" si="30"/>
        <v>1.5151515151515152E-2</v>
      </c>
    </row>
    <row r="199" spans="1:68" ht="27" hidden="1" customHeight="1" x14ac:dyDescent="0.25">
      <c r="A199" s="53" t="s">
        <v>322</v>
      </c>
      <c r="B199" s="53" t="s">
        <v>323</v>
      </c>
      <c r="C199" s="30">
        <v>4301031220</v>
      </c>
      <c r="D199" s="594">
        <v>4680115882669</v>
      </c>
      <c r="E199" s="595"/>
      <c r="F199" s="574">
        <v>0.9</v>
      </c>
      <c r="G199" s="31">
        <v>6</v>
      </c>
      <c r="H199" s="574">
        <v>5.4</v>
      </c>
      <c r="I199" s="574">
        <v>5.61</v>
      </c>
      <c r="J199" s="31">
        <v>132</v>
      </c>
      <c r="K199" s="31" t="s">
        <v>112</v>
      </c>
      <c r="L199" s="31"/>
      <c r="M199" s="32" t="s">
        <v>69</v>
      </c>
      <c r="N199" s="32"/>
      <c r="O199" s="31">
        <v>40</v>
      </c>
      <c r="P199" s="8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3"/>
      <c r="V199" s="33"/>
      <c r="W199" s="34" t="s">
        <v>71</v>
      </c>
      <c r="X199" s="575">
        <v>0</v>
      </c>
      <c r="Y199" s="576">
        <f t="shared" si="26"/>
        <v>0</v>
      </c>
      <c r="Z199" s="35" t="str">
        <f>IFERROR(IF(Y199=0,"",ROUNDUP(Y199/H199,0)*0.00902),"")</f>
        <v/>
      </c>
      <c r="AA199" s="55"/>
      <c r="AB199" s="56"/>
      <c r="AC199" s="239" t="s">
        <v>324</v>
      </c>
      <c r="AG199" s="63"/>
      <c r="AJ199" s="66"/>
      <c r="AK199" s="66">
        <v>0</v>
      </c>
      <c r="BB199" s="240" t="s">
        <v>1</v>
      </c>
      <c r="BM199" s="63">
        <f t="shared" si="27"/>
        <v>0</v>
      </c>
      <c r="BN199" s="63">
        <f t="shared" si="28"/>
        <v>0</v>
      </c>
      <c r="BO199" s="63">
        <f t="shared" si="29"/>
        <v>0</v>
      </c>
      <c r="BP199" s="63">
        <f t="shared" si="30"/>
        <v>0</v>
      </c>
    </row>
    <row r="200" spans="1:68" ht="27" hidden="1" customHeight="1" x14ac:dyDescent="0.25">
      <c r="A200" s="53" t="s">
        <v>325</v>
      </c>
      <c r="B200" s="53" t="s">
        <v>326</v>
      </c>
      <c r="C200" s="30">
        <v>4301031221</v>
      </c>
      <c r="D200" s="594">
        <v>4680115882676</v>
      </c>
      <c r="E200" s="595"/>
      <c r="F200" s="574">
        <v>0.9</v>
      </c>
      <c r="G200" s="31">
        <v>6</v>
      </c>
      <c r="H200" s="574">
        <v>5.4</v>
      </c>
      <c r="I200" s="574">
        <v>5.61</v>
      </c>
      <c r="J200" s="31">
        <v>132</v>
      </c>
      <c r="K200" s="31" t="s">
        <v>112</v>
      </c>
      <c r="L200" s="31"/>
      <c r="M200" s="32" t="s">
        <v>69</v>
      </c>
      <c r="N200" s="32"/>
      <c r="O200" s="31">
        <v>40</v>
      </c>
      <c r="P200" s="8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3"/>
      <c r="V200" s="33"/>
      <c r="W200" s="34" t="s">
        <v>71</v>
      </c>
      <c r="X200" s="575">
        <v>0</v>
      </c>
      <c r="Y200" s="576">
        <f t="shared" si="26"/>
        <v>0</v>
      </c>
      <c r="Z200" s="35" t="str">
        <f>IFERROR(IF(Y200=0,"",ROUNDUP(Y200/H200,0)*0.00902),"")</f>
        <v/>
      </c>
      <c r="AA200" s="55"/>
      <c r="AB200" s="56"/>
      <c r="AC200" s="241" t="s">
        <v>327</v>
      </c>
      <c r="AG200" s="63"/>
      <c r="AJ200" s="66"/>
      <c r="AK200" s="66">
        <v>0</v>
      </c>
      <c r="BB200" s="242" t="s">
        <v>1</v>
      </c>
      <c r="BM200" s="63">
        <f t="shared" si="27"/>
        <v>0</v>
      </c>
      <c r="BN200" s="63">
        <f t="shared" si="28"/>
        <v>0</v>
      </c>
      <c r="BO200" s="63">
        <f t="shared" si="29"/>
        <v>0</v>
      </c>
      <c r="BP200" s="63">
        <f t="shared" si="30"/>
        <v>0</v>
      </c>
    </row>
    <row r="201" spans="1:68" ht="27" hidden="1" customHeight="1" x14ac:dyDescent="0.25">
      <c r="A201" s="53" t="s">
        <v>328</v>
      </c>
      <c r="B201" s="53" t="s">
        <v>329</v>
      </c>
      <c r="C201" s="30">
        <v>4301031223</v>
      </c>
      <c r="D201" s="594">
        <v>4680115884014</v>
      </c>
      <c r="E201" s="595"/>
      <c r="F201" s="574">
        <v>0.3</v>
      </c>
      <c r="G201" s="31">
        <v>6</v>
      </c>
      <c r="H201" s="574">
        <v>1.8</v>
      </c>
      <c r="I201" s="574">
        <v>1.93</v>
      </c>
      <c r="J201" s="31">
        <v>234</v>
      </c>
      <c r="K201" s="31" t="s">
        <v>68</v>
      </c>
      <c r="L201" s="31"/>
      <c r="M201" s="32" t="s">
        <v>69</v>
      </c>
      <c r="N201" s="32"/>
      <c r="O201" s="31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3"/>
      <c r="V201" s="33"/>
      <c r="W201" s="34" t="s">
        <v>71</v>
      </c>
      <c r="X201" s="575">
        <v>0</v>
      </c>
      <c r="Y201" s="576">
        <f t="shared" si="26"/>
        <v>0</v>
      </c>
      <c r="Z201" s="35" t="str">
        <f>IFERROR(IF(Y201=0,"",ROUNDUP(Y201/H201,0)*0.00502),"")</f>
        <v/>
      </c>
      <c r="AA201" s="55"/>
      <c r="AB201" s="56"/>
      <c r="AC201" s="243" t="s">
        <v>318</v>
      </c>
      <c r="AG201" s="63"/>
      <c r="AJ201" s="66"/>
      <c r="AK201" s="66">
        <v>0</v>
      </c>
      <c r="BB201" s="244" t="s">
        <v>1</v>
      </c>
      <c r="BM201" s="63">
        <f t="shared" si="27"/>
        <v>0</v>
      </c>
      <c r="BN201" s="63">
        <f t="shared" si="28"/>
        <v>0</v>
      </c>
      <c r="BO201" s="63">
        <f t="shared" si="29"/>
        <v>0</v>
      </c>
      <c r="BP201" s="63">
        <f t="shared" si="30"/>
        <v>0</v>
      </c>
    </row>
    <row r="202" spans="1:68" ht="27" customHeight="1" x14ac:dyDescent="0.25">
      <c r="A202" s="53" t="s">
        <v>330</v>
      </c>
      <c r="B202" s="53" t="s">
        <v>331</v>
      </c>
      <c r="C202" s="30">
        <v>4301031222</v>
      </c>
      <c r="D202" s="594">
        <v>4680115884007</v>
      </c>
      <c r="E202" s="595"/>
      <c r="F202" s="574">
        <v>0.3</v>
      </c>
      <c r="G202" s="31">
        <v>6</v>
      </c>
      <c r="H202" s="574">
        <v>1.8</v>
      </c>
      <c r="I202" s="574">
        <v>1.9</v>
      </c>
      <c r="J202" s="31">
        <v>234</v>
      </c>
      <c r="K202" s="31" t="s">
        <v>68</v>
      </c>
      <c r="L202" s="31"/>
      <c r="M202" s="32" t="s">
        <v>69</v>
      </c>
      <c r="N202" s="32"/>
      <c r="O202" s="31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3"/>
      <c r="V202" s="33"/>
      <c r="W202" s="34" t="s">
        <v>71</v>
      </c>
      <c r="X202" s="575">
        <v>18</v>
      </c>
      <c r="Y202" s="576">
        <f t="shared" si="26"/>
        <v>18</v>
      </c>
      <c r="Z202" s="35">
        <f>IFERROR(IF(Y202=0,"",ROUNDUP(Y202/H202,0)*0.00502),"")</f>
        <v>5.0200000000000002E-2</v>
      </c>
      <c r="AA202" s="55"/>
      <c r="AB202" s="56"/>
      <c r="AC202" s="245" t="s">
        <v>321</v>
      </c>
      <c r="AG202" s="63"/>
      <c r="AJ202" s="66"/>
      <c r="AK202" s="66">
        <v>0</v>
      </c>
      <c r="BB202" s="246" t="s">
        <v>1</v>
      </c>
      <c r="BM202" s="63">
        <f t="shared" si="27"/>
        <v>18.999999999999996</v>
      </c>
      <c r="BN202" s="63">
        <f t="shared" si="28"/>
        <v>18.999999999999996</v>
      </c>
      <c r="BO202" s="63">
        <f t="shared" si="29"/>
        <v>4.2735042735042736E-2</v>
      </c>
      <c r="BP202" s="63">
        <f t="shared" si="30"/>
        <v>4.2735042735042736E-2</v>
      </c>
    </row>
    <row r="203" spans="1:68" ht="27" hidden="1" customHeight="1" x14ac:dyDescent="0.25">
      <c r="A203" s="53" t="s">
        <v>332</v>
      </c>
      <c r="B203" s="53" t="s">
        <v>333</v>
      </c>
      <c r="C203" s="30">
        <v>4301031229</v>
      </c>
      <c r="D203" s="594">
        <v>4680115884038</v>
      </c>
      <c r="E203" s="595"/>
      <c r="F203" s="574">
        <v>0.3</v>
      </c>
      <c r="G203" s="31">
        <v>6</v>
      </c>
      <c r="H203" s="574">
        <v>1.8</v>
      </c>
      <c r="I203" s="574">
        <v>1.9</v>
      </c>
      <c r="J203" s="31">
        <v>234</v>
      </c>
      <c r="K203" s="31" t="s">
        <v>68</v>
      </c>
      <c r="L203" s="31"/>
      <c r="M203" s="32" t="s">
        <v>69</v>
      </c>
      <c r="N203" s="32"/>
      <c r="O203" s="31">
        <v>40</v>
      </c>
      <c r="P203" s="7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3"/>
      <c r="V203" s="33"/>
      <c r="W203" s="34" t="s">
        <v>71</v>
      </c>
      <c r="X203" s="575">
        <v>0</v>
      </c>
      <c r="Y203" s="576">
        <f t="shared" si="26"/>
        <v>0</v>
      </c>
      <c r="Z203" s="35" t="str">
        <f>IFERROR(IF(Y203=0,"",ROUNDUP(Y203/H203,0)*0.00502),"")</f>
        <v/>
      </c>
      <c r="AA203" s="55"/>
      <c r="AB203" s="56"/>
      <c r="AC203" s="247" t="s">
        <v>324</v>
      </c>
      <c r="AG203" s="63"/>
      <c r="AJ203" s="66"/>
      <c r="AK203" s="66">
        <v>0</v>
      </c>
      <c r="BB203" s="248" t="s">
        <v>1</v>
      </c>
      <c r="BM203" s="63">
        <f t="shared" si="27"/>
        <v>0</v>
      </c>
      <c r="BN203" s="63">
        <f t="shared" si="28"/>
        <v>0</v>
      </c>
      <c r="BO203" s="63">
        <f t="shared" si="29"/>
        <v>0</v>
      </c>
      <c r="BP203" s="63">
        <f t="shared" si="30"/>
        <v>0</v>
      </c>
    </row>
    <row r="204" spans="1:68" ht="27" hidden="1" customHeight="1" x14ac:dyDescent="0.25">
      <c r="A204" s="53" t="s">
        <v>334</v>
      </c>
      <c r="B204" s="53" t="s">
        <v>335</v>
      </c>
      <c r="C204" s="30">
        <v>4301031225</v>
      </c>
      <c r="D204" s="594">
        <v>4680115884021</v>
      </c>
      <c r="E204" s="595"/>
      <c r="F204" s="574">
        <v>0.3</v>
      </c>
      <c r="G204" s="31">
        <v>6</v>
      </c>
      <c r="H204" s="574">
        <v>1.8</v>
      </c>
      <c r="I204" s="574">
        <v>1.9</v>
      </c>
      <c r="J204" s="31">
        <v>234</v>
      </c>
      <c r="K204" s="31" t="s">
        <v>68</v>
      </c>
      <c r="L204" s="31"/>
      <c r="M204" s="32" t="s">
        <v>69</v>
      </c>
      <c r="N204" s="32"/>
      <c r="O204" s="31">
        <v>40</v>
      </c>
      <c r="P204" s="7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3"/>
      <c r="V204" s="33"/>
      <c r="W204" s="34" t="s">
        <v>71</v>
      </c>
      <c r="X204" s="575">
        <v>0</v>
      </c>
      <c r="Y204" s="576">
        <f t="shared" si="26"/>
        <v>0</v>
      </c>
      <c r="Z204" s="35" t="str">
        <f>IFERROR(IF(Y204=0,"",ROUNDUP(Y204/H204,0)*0.00502),"")</f>
        <v/>
      </c>
      <c r="AA204" s="55"/>
      <c r="AB204" s="56"/>
      <c r="AC204" s="249" t="s">
        <v>327</v>
      </c>
      <c r="AG204" s="63"/>
      <c r="AJ204" s="66"/>
      <c r="AK204" s="66">
        <v>0</v>
      </c>
      <c r="BB204" s="250" t="s">
        <v>1</v>
      </c>
      <c r="BM204" s="63">
        <f t="shared" si="27"/>
        <v>0</v>
      </c>
      <c r="BN204" s="63">
        <f t="shared" si="28"/>
        <v>0</v>
      </c>
      <c r="BO204" s="63">
        <f t="shared" si="29"/>
        <v>0</v>
      </c>
      <c r="BP204" s="63">
        <f t="shared" si="30"/>
        <v>0</v>
      </c>
    </row>
    <row r="205" spans="1:68" x14ac:dyDescent="0.2">
      <c r="A205" s="592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3"/>
      <c r="P205" s="584" t="s">
        <v>73</v>
      </c>
      <c r="Q205" s="585"/>
      <c r="R205" s="585"/>
      <c r="S205" s="585"/>
      <c r="T205" s="585"/>
      <c r="U205" s="585"/>
      <c r="V205" s="586"/>
      <c r="W205" s="36" t="s">
        <v>74</v>
      </c>
      <c r="X205" s="577">
        <f>IFERROR(X197/H197,"0")+IFERROR(X198/H198,"0")+IFERROR(X199/H199,"0")+IFERROR(X200/H200,"0")+IFERROR(X201/H201,"0")+IFERROR(X202/H202,"0")+IFERROR(X203/H203,"0")+IFERROR(X204/H204,"0")</f>
        <v>12.962962962962962</v>
      </c>
      <c r="Y205" s="577">
        <f>IFERROR(Y197/H197,"0")+IFERROR(Y198/H198,"0")+IFERROR(Y199/H199,"0")+IFERROR(Y200/H200,"0")+IFERROR(Y201/H201,"0")+IFERROR(Y202/H202,"0")+IFERROR(Y203/H203,"0")+IFERROR(Y204/H204,"0")</f>
        <v>14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8.6279999999999996E-2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3"/>
      <c r="P206" s="584" t="s">
        <v>73</v>
      </c>
      <c r="Q206" s="585"/>
      <c r="R206" s="585"/>
      <c r="S206" s="585"/>
      <c r="T206" s="585"/>
      <c r="U206" s="585"/>
      <c r="V206" s="586"/>
      <c r="W206" s="36" t="s">
        <v>71</v>
      </c>
      <c r="X206" s="577">
        <f>IFERROR(SUM(X197:X204),"0")</f>
        <v>34</v>
      </c>
      <c r="Y206" s="577">
        <f>IFERROR(SUM(Y197:Y204),"0")</f>
        <v>39.6</v>
      </c>
      <c r="Z206" s="36"/>
      <c r="AA206" s="578"/>
      <c r="AB206" s="578"/>
      <c r="AC206" s="578"/>
    </row>
    <row r="207" spans="1:68" ht="14.25" hidden="1" customHeight="1" x14ac:dyDescent="0.25">
      <c r="A207" s="587" t="s">
        <v>75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65"/>
      <c r="AB207" s="565"/>
      <c r="AC207" s="565"/>
    </row>
    <row r="208" spans="1:68" ht="27" hidden="1" customHeight="1" x14ac:dyDescent="0.25">
      <c r="A208" s="53" t="s">
        <v>336</v>
      </c>
      <c r="B208" s="53" t="s">
        <v>337</v>
      </c>
      <c r="C208" s="30">
        <v>4301051408</v>
      </c>
      <c r="D208" s="594">
        <v>4680115881594</v>
      </c>
      <c r="E208" s="595"/>
      <c r="F208" s="574">
        <v>1.35</v>
      </c>
      <c r="G208" s="31">
        <v>6</v>
      </c>
      <c r="H208" s="574">
        <v>8.1</v>
      </c>
      <c r="I208" s="574">
        <v>8.6189999999999998</v>
      </c>
      <c r="J208" s="31">
        <v>64</v>
      </c>
      <c r="K208" s="31" t="s">
        <v>107</v>
      </c>
      <c r="L208" s="31"/>
      <c r="M208" s="32" t="s">
        <v>79</v>
      </c>
      <c r="N208" s="32"/>
      <c r="O208" s="31">
        <v>40</v>
      </c>
      <c r="P208" s="8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3"/>
      <c r="V208" s="33"/>
      <c r="W208" s="34" t="s">
        <v>71</v>
      </c>
      <c r="X208" s="575">
        <v>0</v>
      </c>
      <c r="Y208" s="576">
        <f t="shared" ref="Y208:Y216" si="31">IFERROR(IF(X208="",0,CEILING((X208/$H208),1)*$H208),"")</f>
        <v>0</v>
      </c>
      <c r="Z208" s="35" t="str">
        <f>IFERROR(IF(Y208=0,"",ROUNDUP(Y208/H208,0)*0.01898),"")</f>
        <v/>
      </c>
      <c r="AA208" s="55"/>
      <c r="AB208" s="56"/>
      <c r="AC208" s="251" t="s">
        <v>338</v>
      </c>
      <c r="AG208" s="63"/>
      <c r="AJ208" s="66"/>
      <c r="AK208" s="66">
        <v>0</v>
      </c>
      <c r="BB208" s="252" t="s">
        <v>1</v>
      </c>
      <c r="BM208" s="63">
        <f t="shared" ref="BM208:BM216" si="32">IFERROR(X208*I208/H208,"0")</f>
        <v>0</v>
      </c>
      <c r="BN208" s="63">
        <f t="shared" ref="BN208:BN216" si="33">IFERROR(Y208*I208/H208,"0")</f>
        <v>0</v>
      </c>
      <c r="BO208" s="63">
        <f t="shared" ref="BO208:BO216" si="34">IFERROR(1/J208*(X208/H208),"0")</f>
        <v>0</v>
      </c>
      <c r="BP208" s="63">
        <f t="shared" ref="BP208:BP216" si="35">IFERROR(1/J208*(Y208/H208),"0")</f>
        <v>0</v>
      </c>
    </row>
    <row r="209" spans="1:68" ht="27" hidden="1" customHeight="1" x14ac:dyDescent="0.25">
      <c r="A209" s="53" t="s">
        <v>339</v>
      </c>
      <c r="B209" s="53" t="s">
        <v>340</v>
      </c>
      <c r="C209" s="30">
        <v>4301051411</v>
      </c>
      <c r="D209" s="594">
        <v>4680115881617</v>
      </c>
      <c r="E209" s="595"/>
      <c r="F209" s="574">
        <v>1.35</v>
      </c>
      <c r="G209" s="31">
        <v>6</v>
      </c>
      <c r="H209" s="574">
        <v>8.1</v>
      </c>
      <c r="I209" s="574">
        <v>8.6010000000000009</v>
      </c>
      <c r="J209" s="31">
        <v>64</v>
      </c>
      <c r="K209" s="31" t="s">
        <v>107</v>
      </c>
      <c r="L209" s="31"/>
      <c r="M209" s="32" t="s">
        <v>79</v>
      </c>
      <c r="N209" s="32"/>
      <c r="O209" s="31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3"/>
      <c r="V209" s="33"/>
      <c r="W209" s="34" t="s">
        <v>71</v>
      </c>
      <c r="X209" s="575">
        <v>0</v>
      </c>
      <c r="Y209" s="576">
        <f t="shared" si="31"/>
        <v>0</v>
      </c>
      <c r="Z209" s="35" t="str">
        <f>IFERROR(IF(Y209=0,"",ROUNDUP(Y209/H209,0)*0.01898),"")</f>
        <v/>
      </c>
      <c r="AA209" s="55"/>
      <c r="AB209" s="56"/>
      <c r="AC209" s="253" t="s">
        <v>341</v>
      </c>
      <c r="AG209" s="63"/>
      <c r="AJ209" s="66"/>
      <c r="AK209" s="66">
        <v>0</v>
      </c>
      <c r="BB209" s="254" t="s">
        <v>1</v>
      </c>
      <c r="BM209" s="63">
        <f t="shared" si="32"/>
        <v>0</v>
      </c>
      <c r="BN209" s="63">
        <f t="shared" si="33"/>
        <v>0</v>
      </c>
      <c r="BO209" s="63">
        <f t="shared" si="34"/>
        <v>0</v>
      </c>
      <c r="BP209" s="63">
        <f t="shared" si="35"/>
        <v>0</v>
      </c>
    </row>
    <row r="210" spans="1:68" ht="16.5" hidden="1" customHeight="1" x14ac:dyDescent="0.25">
      <c r="A210" s="53" t="s">
        <v>342</v>
      </c>
      <c r="B210" s="53" t="s">
        <v>343</v>
      </c>
      <c r="C210" s="30">
        <v>4301051656</v>
      </c>
      <c r="D210" s="594">
        <v>4680115880573</v>
      </c>
      <c r="E210" s="595"/>
      <c r="F210" s="574">
        <v>1.45</v>
      </c>
      <c r="G210" s="31">
        <v>6</v>
      </c>
      <c r="H210" s="574">
        <v>8.6999999999999993</v>
      </c>
      <c r="I210" s="574">
        <v>9.2189999999999994</v>
      </c>
      <c r="J210" s="31">
        <v>64</v>
      </c>
      <c r="K210" s="31" t="s">
        <v>107</v>
      </c>
      <c r="L210" s="31"/>
      <c r="M210" s="32" t="s">
        <v>79</v>
      </c>
      <c r="N210" s="32"/>
      <c r="O210" s="31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3"/>
      <c r="V210" s="33"/>
      <c r="W210" s="34" t="s">
        <v>71</v>
      </c>
      <c r="X210" s="575">
        <v>0</v>
      </c>
      <c r="Y210" s="576">
        <f t="shared" si="31"/>
        <v>0</v>
      </c>
      <c r="Z210" s="35" t="str">
        <f>IFERROR(IF(Y210=0,"",ROUNDUP(Y210/H210,0)*0.01898),"")</f>
        <v/>
      </c>
      <c r="AA210" s="55"/>
      <c r="AB210" s="56"/>
      <c r="AC210" s="255" t="s">
        <v>344</v>
      </c>
      <c r="AG210" s="63"/>
      <c r="AJ210" s="66"/>
      <c r="AK210" s="66">
        <v>0</v>
      </c>
      <c r="BB210" s="256" t="s">
        <v>1</v>
      </c>
      <c r="BM210" s="63">
        <f t="shared" si="32"/>
        <v>0</v>
      </c>
      <c r="BN210" s="63">
        <f t="shared" si="33"/>
        <v>0</v>
      </c>
      <c r="BO210" s="63">
        <f t="shared" si="34"/>
        <v>0</v>
      </c>
      <c r="BP210" s="63">
        <f t="shared" si="35"/>
        <v>0</v>
      </c>
    </row>
    <row r="211" spans="1:68" ht="27" hidden="1" customHeight="1" x14ac:dyDescent="0.25">
      <c r="A211" s="53" t="s">
        <v>345</v>
      </c>
      <c r="B211" s="53" t="s">
        <v>346</v>
      </c>
      <c r="C211" s="30">
        <v>4301051407</v>
      </c>
      <c r="D211" s="594">
        <v>4680115882195</v>
      </c>
      <c r="E211" s="595"/>
      <c r="F211" s="574">
        <v>0.4</v>
      </c>
      <c r="G211" s="31">
        <v>6</v>
      </c>
      <c r="H211" s="574">
        <v>2.4</v>
      </c>
      <c r="I211" s="574">
        <v>2.67</v>
      </c>
      <c r="J211" s="31">
        <v>182</v>
      </c>
      <c r="K211" s="31" t="s">
        <v>78</v>
      </c>
      <c r="L211" s="31"/>
      <c r="M211" s="32" t="s">
        <v>79</v>
      </c>
      <c r="N211" s="32"/>
      <c r="O211" s="31">
        <v>40</v>
      </c>
      <c r="P211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3"/>
      <c r="V211" s="33"/>
      <c r="W211" s="34" t="s">
        <v>71</v>
      </c>
      <c r="X211" s="575">
        <v>0</v>
      </c>
      <c r="Y211" s="576">
        <f t="shared" si="31"/>
        <v>0</v>
      </c>
      <c r="Z211" s="35" t="str">
        <f t="shared" ref="Z211:Z216" si="36">IFERROR(IF(Y211=0,"",ROUNDUP(Y211/H211,0)*0.00651),"")</f>
        <v/>
      </c>
      <c r="AA211" s="55"/>
      <c r="AB211" s="56"/>
      <c r="AC211" s="257" t="s">
        <v>338</v>
      </c>
      <c r="AG211" s="63"/>
      <c r="AJ211" s="66"/>
      <c r="AK211" s="66">
        <v>0</v>
      </c>
      <c r="BB211" s="258" t="s">
        <v>1</v>
      </c>
      <c r="BM211" s="63">
        <f t="shared" si="32"/>
        <v>0</v>
      </c>
      <c r="BN211" s="63">
        <f t="shared" si="33"/>
        <v>0</v>
      </c>
      <c r="BO211" s="63">
        <f t="shared" si="34"/>
        <v>0</v>
      </c>
      <c r="BP211" s="63">
        <f t="shared" si="35"/>
        <v>0</v>
      </c>
    </row>
    <row r="212" spans="1:68" ht="27" hidden="1" customHeight="1" x14ac:dyDescent="0.25">
      <c r="A212" s="53" t="s">
        <v>347</v>
      </c>
      <c r="B212" s="53" t="s">
        <v>348</v>
      </c>
      <c r="C212" s="30">
        <v>4301051752</v>
      </c>
      <c r="D212" s="594">
        <v>4680115882607</v>
      </c>
      <c r="E212" s="595"/>
      <c r="F212" s="574">
        <v>0.3</v>
      </c>
      <c r="G212" s="31">
        <v>6</v>
      </c>
      <c r="H212" s="574">
        <v>1.8</v>
      </c>
      <c r="I212" s="574">
        <v>2.052</v>
      </c>
      <c r="J212" s="31">
        <v>182</v>
      </c>
      <c r="K212" s="31" t="s">
        <v>78</v>
      </c>
      <c r="L212" s="31"/>
      <c r="M212" s="32" t="s">
        <v>94</v>
      </c>
      <c r="N212" s="32"/>
      <c r="O212" s="31">
        <v>45</v>
      </c>
      <c r="P212" s="8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3"/>
      <c r="V212" s="33"/>
      <c r="W212" s="34" t="s">
        <v>71</v>
      </c>
      <c r="X212" s="575">
        <v>0</v>
      </c>
      <c r="Y212" s="576">
        <f t="shared" si="31"/>
        <v>0</v>
      </c>
      <c r="Z212" s="35" t="str">
        <f t="shared" si="36"/>
        <v/>
      </c>
      <c r="AA212" s="55"/>
      <c r="AB212" s="56"/>
      <c r="AC212" s="259" t="s">
        <v>349</v>
      </c>
      <c r="AG212" s="63"/>
      <c r="AJ212" s="66"/>
      <c r="AK212" s="66">
        <v>0</v>
      </c>
      <c r="BB212" s="260" t="s">
        <v>1</v>
      </c>
      <c r="BM212" s="63">
        <f t="shared" si="32"/>
        <v>0</v>
      </c>
      <c r="BN212" s="63">
        <f t="shared" si="33"/>
        <v>0</v>
      </c>
      <c r="BO212" s="63">
        <f t="shared" si="34"/>
        <v>0</v>
      </c>
      <c r="BP212" s="63">
        <f t="shared" si="35"/>
        <v>0</v>
      </c>
    </row>
    <row r="213" spans="1:68" ht="27" customHeight="1" x14ac:dyDescent="0.25">
      <c r="A213" s="53" t="s">
        <v>350</v>
      </c>
      <c r="B213" s="53" t="s">
        <v>351</v>
      </c>
      <c r="C213" s="30">
        <v>4301051666</v>
      </c>
      <c r="D213" s="594">
        <v>4680115880092</v>
      </c>
      <c r="E213" s="595"/>
      <c r="F213" s="574">
        <v>0.4</v>
      </c>
      <c r="G213" s="31">
        <v>6</v>
      </c>
      <c r="H213" s="574">
        <v>2.4</v>
      </c>
      <c r="I213" s="574">
        <v>2.6520000000000001</v>
      </c>
      <c r="J213" s="31">
        <v>182</v>
      </c>
      <c r="K213" s="31" t="s">
        <v>78</v>
      </c>
      <c r="L213" s="31"/>
      <c r="M213" s="32" t="s">
        <v>79</v>
      </c>
      <c r="N213" s="32"/>
      <c r="O213" s="31">
        <v>45</v>
      </c>
      <c r="P213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3"/>
      <c r="V213" s="33"/>
      <c r="W213" s="34" t="s">
        <v>71</v>
      </c>
      <c r="X213" s="575">
        <v>116</v>
      </c>
      <c r="Y213" s="576">
        <f t="shared" si="31"/>
        <v>117.6</v>
      </c>
      <c r="Z213" s="35">
        <f t="shared" si="36"/>
        <v>0.31899</v>
      </c>
      <c r="AA213" s="55"/>
      <c r="AB213" s="56"/>
      <c r="AC213" s="261" t="s">
        <v>344</v>
      </c>
      <c r="AG213" s="63"/>
      <c r="AJ213" s="66"/>
      <c r="AK213" s="66">
        <v>0</v>
      </c>
      <c r="BB213" s="262" t="s">
        <v>1</v>
      </c>
      <c r="BM213" s="63">
        <f t="shared" si="32"/>
        <v>128.18</v>
      </c>
      <c r="BN213" s="63">
        <f t="shared" si="33"/>
        <v>129.94800000000001</v>
      </c>
      <c r="BO213" s="63">
        <f t="shared" si="34"/>
        <v>0.26556776556776562</v>
      </c>
      <c r="BP213" s="63">
        <f t="shared" si="35"/>
        <v>0.26923076923076927</v>
      </c>
    </row>
    <row r="214" spans="1:68" ht="27" customHeight="1" x14ac:dyDescent="0.25">
      <c r="A214" s="53" t="s">
        <v>352</v>
      </c>
      <c r="B214" s="53" t="s">
        <v>353</v>
      </c>
      <c r="C214" s="30">
        <v>4301051668</v>
      </c>
      <c r="D214" s="594">
        <v>4680115880221</v>
      </c>
      <c r="E214" s="595"/>
      <c r="F214" s="574">
        <v>0.4</v>
      </c>
      <c r="G214" s="31">
        <v>6</v>
      </c>
      <c r="H214" s="574">
        <v>2.4</v>
      </c>
      <c r="I214" s="574">
        <v>2.6520000000000001</v>
      </c>
      <c r="J214" s="31">
        <v>182</v>
      </c>
      <c r="K214" s="31" t="s">
        <v>78</v>
      </c>
      <c r="L214" s="31"/>
      <c r="M214" s="32" t="s">
        <v>79</v>
      </c>
      <c r="N214" s="32"/>
      <c r="O214" s="31">
        <v>45</v>
      </c>
      <c r="P214" s="9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3"/>
      <c r="V214" s="33"/>
      <c r="W214" s="34" t="s">
        <v>71</v>
      </c>
      <c r="X214" s="575">
        <v>108</v>
      </c>
      <c r="Y214" s="576">
        <f t="shared" si="31"/>
        <v>108</v>
      </c>
      <c r="Z214" s="35">
        <f t="shared" si="36"/>
        <v>0.29294999999999999</v>
      </c>
      <c r="AA214" s="55"/>
      <c r="AB214" s="56"/>
      <c r="AC214" s="263" t="s">
        <v>344</v>
      </c>
      <c r="AG214" s="63"/>
      <c r="AJ214" s="66"/>
      <c r="AK214" s="66">
        <v>0</v>
      </c>
      <c r="BB214" s="264" t="s">
        <v>1</v>
      </c>
      <c r="BM214" s="63">
        <f t="shared" si="32"/>
        <v>119.34</v>
      </c>
      <c r="BN214" s="63">
        <f t="shared" si="33"/>
        <v>119.34</v>
      </c>
      <c r="BO214" s="63">
        <f t="shared" si="34"/>
        <v>0.24725274725274726</v>
      </c>
      <c r="BP214" s="63">
        <f t="shared" si="35"/>
        <v>0.24725274725274726</v>
      </c>
    </row>
    <row r="215" spans="1:68" ht="27" hidden="1" customHeight="1" x14ac:dyDescent="0.25">
      <c r="A215" s="53" t="s">
        <v>354</v>
      </c>
      <c r="B215" s="53" t="s">
        <v>355</v>
      </c>
      <c r="C215" s="30">
        <v>4301051945</v>
      </c>
      <c r="D215" s="594">
        <v>4680115880504</v>
      </c>
      <c r="E215" s="595"/>
      <c r="F215" s="574">
        <v>0.4</v>
      </c>
      <c r="G215" s="31">
        <v>6</v>
      </c>
      <c r="H215" s="574">
        <v>2.4</v>
      </c>
      <c r="I215" s="574">
        <v>2.6520000000000001</v>
      </c>
      <c r="J215" s="31">
        <v>182</v>
      </c>
      <c r="K215" s="31" t="s">
        <v>78</v>
      </c>
      <c r="L215" s="31"/>
      <c r="M215" s="32" t="s">
        <v>94</v>
      </c>
      <c r="N215" s="32"/>
      <c r="O215" s="31">
        <v>40</v>
      </c>
      <c r="P215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3"/>
      <c r="V215" s="33"/>
      <c r="W215" s="34" t="s">
        <v>71</v>
      </c>
      <c r="X215" s="575">
        <v>0</v>
      </c>
      <c r="Y215" s="576">
        <f t="shared" si="31"/>
        <v>0</v>
      </c>
      <c r="Z215" s="35" t="str">
        <f t="shared" si="36"/>
        <v/>
      </c>
      <c r="AA215" s="55"/>
      <c r="AB215" s="56"/>
      <c r="AC215" s="265" t="s">
        <v>356</v>
      </c>
      <c r="AG215" s="63"/>
      <c r="AJ215" s="66"/>
      <c r="AK215" s="66">
        <v>0</v>
      </c>
      <c r="BB215" s="266" t="s">
        <v>1</v>
      </c>
      <c r="BM215" s="63">
        <f t="shared" si="32"/>
        <v>0</v>
      </c>
      <c r="BN215" s="63">
        <f t="shared" si="33"/>
        <v>0</v>
      </c>
      <c r="BO215" s="63">
        <f t="shared" si="34"/>
        <v>0</v>
      </c>
      <c r="BP215" s="63">
        <f t="shared" si="35"/>
        <v>0</v>
      </c>
    </row>
    <row r="216" spans="1:68" ht="27" hidden="1" customHeight="1" x14ac:dyDescent="0.25">
      <c r="A216" s="53" t="s">
        <v>357</v>
      </c>
      <c r="B216" s="53" t="s">
        <v>358</v>
      </c>
      <c r="C216" s="30">
        <v>4301051410</v>
      </c>
      <c r="D216" s="594">
        <v>4680115882164</v>
      </c>
      <c r="E216" s="595"/>
      <c r="F216" s="574">
        <v>0.4</v>
      </c>
      <c r="G216" s="31">
        <v>6</v>
      </c>
      <c r="H216" s="574">
        <v>2.4</v>
      </c>
      <c r="I216" s="574">
        <v>2.6579999999999999</v>
      </c>
      <c r="J216" s="31">
        <v>182</v>
      </c>
      <c r="K216" s="31" t="s">
        <v>78</v>
      </c>
      <c r="L216" s="31"/>
      <c r="M216" s="32" t="s">
        <v>79</v>
      </c>
      <c r="N216" s="32"/>
      <c r="O216" s="31">
        <v>40</v>
      </c>
      <c r="P216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3"/>
      <c r="V216" s="33"/>
      <c r="W216" s="34" t="s">
        <v>71</v>
      </c>
      <c r="X216" s="575">
        <v>0</v>
      </c>
      <c r="Y216" s="576">
        <f t="shared" si="31"/>
        <v>0</v>
      </c>
      <c r="Z216" s="35" t="str">
        <f t="shared" si="36"/>
        <v/>
      </c>
      <c r="AA216" s="55"/>
      <c r="AB216" s="56"/>
      <c r="AC216" s="267" t="s">
        <v>359</v>
      </c>
      <c r="AG216" s="63"/>
      <c r="AJ216" s="66"/>
      <c r="AK216" s="66">
        <v>0</v>
      </c>
      <c r="BB216" s="268" t="s">
        <v>1</v>
      </c>
      <c r="BM216" s="63">
        <f t="shared" si="32"/>
        <v>0</v>
      </c>
      <c r="BN216" s="63">
        <f t="shared" si="33"/>
        <v>0</v>
      </c>
      <c r="BO216" s="63">
        <f t="shared" si="34"/>
        <v>0</v>
      </c>
      <c r="BP216" s="63">
        <f t="shared" si="35"/>
        <v>0</v>
      </c>
    </row>
    <row r="217" spans="1:68" x14ac:dyDescent="0.2">
      <c r="A217" s="592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3"/>
      <c r="P217" s="584" t="s">
        <v>73</v>
      </c>
      <c r="Q217" s="585"/>
      <c r="R217" s="585"/>
      <c r="S217" s="585"/>
      <c r="T217" s="585"/>
      <c r="U217" s="585"/>
      <c r="V217" s="586"/>
      <c r="W217" s="36" t="s">
        <v>74</v>
      </c>
      <c r="X217" s="577">
        <f>IFERROR(X208/H208,"0")+IFERROR(X209/H209,"0")+IFERROR(X210/H210,"0")+IFERROR(X211/H211,"0")+IFERROR(X212/H212,"0")+IFERROR(X213/H213,"0")+IFERROR(X214/H214,"0")+IFERROR(X215/H215,"0")+IFERROR(X216/H216,"0")</f>
        <v>93.333333333333343</v>
      </c>
      <c r="Y217" s="577">
        <f>IFERROR(Y208/H208,"0")+IFERROR(Y209/H209,"0")+IFERROR(Y210/H210,"0")+IFERROR(Y211/H211,"0")+IFERROR(Y212/H212,"0")+IFERROR(Y213/H213,"0")+IFERROR(Y214/H214,"0")+IFERROR(Y215/H215,"0")+IFERROR(Y216/H216,"0")</f>
        <v>94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0.61193999999999993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3"/>
      <c r="P218" s="584" t="s">
        <v>73</v>
      </c>
      <c r="Q218" s="585"/>
      <c r="R218" s="585"/>
      <c r="S218" s="585"/>
      <c r="T218" s="585"/>
      <c r="U218" s="585"/>
      <c r="V218" s="586"/>
      <c r="W218" s="36" t="s">
        <v>71</v>
      </c>
      <c r="X218" s="577">
        <f>IFERROR(SUM(X208:X216),"0")</f>
        <v>224</v>
      </c>
      <c r="Y218" s="577">
        <f>IFERROR(SUM(Y208:Y216),"0")</f>
        <v>225.6</v>
      </c>
      <c r="Z218" s="36"/>
      <c r="AA218" s="578"/>
      <c r="AB218" s="578"/>
      <c r="AC218" s="578"/>
    </row>
    <row r="219" spans="1:68" ht="14.25" hidden="1" customHeight="1" x14ac:dyDescent="0.25">
      <c r="A219" s="587" t="s">
        <v>175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65"/>
      <c r="AB219" s="565"/>
      <c r="AC219" s="565"/>
    </row>
    <row r="220" spans="1:68" ht="27" hidden="1" customHeight="1" x14ac:dyDescent="0.25">
      <c r="A220" s="53" t="s">
        <v>360</v>
      </c>
      <c r="B220" s="53" t="s">
        <v>361</v>
      </c>
      <c r="C220" s="30">
        <v>4301060463</v>
      </c>
      <c r="D220" s="594">
        <v>4680115880818</v>
      </c>
      <c r="E220" s="595"/>
      <c r="F220" s="574">
        <v>0.4</v>
      </c>
      <c r="G220" s="31">
        <v>6</v>
      </c>
      <c r="H220" s="574">
        <v>2.4</v>
      </c>
      <c r="I220" s="574">
        <v>2.6520000000000001</v>
      </c>
      <c r="J220" s="31">
        <v>182</v>
      </c>
      <c r="K220" s="31" t="s">
        <v>78</v>
      </c>
      <c r="L220" s="31"/>
      <c r="M220" s="32" t="s">
        <v>94</v>
      </c>
      <c r="N220" s="32"/>
      <c r="O220" s="31">
        <v>40</v>
      </c>
      <c r="P220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3"/>
      <c r="V220" s="33"/>
      <c r="W220" s="34" t="s">
        <v>71</v>
      </c>
      <c r="X220" s="575">
        <v>0</v>
      </c>
      <c r="Y220" s="576">
        <f>IFERROR(IF(X220="",0,CEILING((X220/$H220),1)*$H220),"")</f>
        <v>0</v>
      </c>
      <c r="Z220" s="35" t="str">
        <f>IFERROR(IF(Y220=0,"",ROUNDUP(Y220/H220,0)*0.00651),"")</f>
        <v/>
      </c>
      <c r="AA220" s="55"/>
      <c r="AB220" s="56"/>
      <c r="AC220" s="269" t="s">
        <v>362</v>
      </c>
      <c r="AG220" s="63"/>
      <c r="AJ220" s="66"/>
      <c r="AK220" s="66">
        <v>0</v>
      </c>
      <c r="BB220" s="270" t="s">
        <v>1</v>
      </c>
      <c r="BM220" s="63">
        <f>IFERROR(X220*I220/H220,"0")</f>
        <v>0</v>
      </c>
      <c r="BN220" s="63">
        <f>IFERROR(Y220*I220/H220,"0")</f>
        <v>0</v>
      </c>
      <c r="BO220" s="63">
        <f>IFERROR(1/J220*(X220/H220),"0")</f>
        <v>0</v>
      </c>
      <c r="BP220" s="63">
        <f>IFERROR(1/J220*(Y220/H220),"0")</f>
        <v>0</v>
      </c>
    </row>
    <row r="221" spans="1:68" ht="27" customHeight="1" x14ac:dyDescent="0.25">
      <c r="A221" s="53" t="s">
        <v>363</v>
      </c>
      <c r="B221" s="53" t="s">
        <v>364</v>
      </c>
      <c r="C221" s="30">
        <v>4301060389</v>
      </c>
      <c r="D221" s="594">
        <v>4680115880801</v>
      </c>
      <c r="E221" s="595"/>
      <c r="F221" s="574">
        <v>0.4</v>
      </c>
      <c r="G221" s="31">
        <v>6</v>
      </c>
      <c r="H221" s="574">
        <v>2.4</v>
      </c>
      <c r="I221" s="574">
        <v>2.6520000000000001</v>
      </c>
      <c r="J221" s="31">
        <v>182</v>
      </c>
      <c r="K221" s="31" t="s">
        <v>78</v>
      </c>
      <c r="L221" s="31"/>
      <c r="M221" s="32" t="s">
        <v>79</v>
      </c>
      <c r="N221" s="32"/>
      <c r="O221" s="31">
        <v>40</v>
      </c>
      <c r="P221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3"/>
      <c r="V221" s="33"/>
      <c r="W221" s="34" t="s">
        <v>71</v>
      </c>
      <c r="X221" s="575">
        <v>7</v>
      </c>
      <c r="Y221" s="576">
        <f>IFERROR(IF(X221="",0,CEILING((X221/$H221),1)*$H221),"")</f>
        <v>7.1999999999999993</v>
      </c>
      <c r="Z221" s="35">
        <f>IFERROR(IF(Y221=0,"",ROUNDUP(Y221/H221,0)*0.00651),"")</f>
        <v>1.9529999999999999E-2</v>
      </c>
      <c r="AA221" s="55"/>
      <c r="AB221" s="56"/>
      <c r="AC221" s="271" t="s">
        <v>365</v>
      </c>
      <c r="AG221" s="63"/>
      <c r="AJ221" s="66"/>
      <c r="AK221" s="66">
        <v>0</v>
      </c>
      <c r="BB221" s="272" t="s">
        <v>1</v>
      </c>
      <c r="BM221" s="63">
        <f>IFERROR(X221*I221/H221,"0")</f>
        <v>7.7350000000000003</v>
      </c>
      <c r="BN221" s="63">
        <f>IFERROR(Y221*I221/H221,"0")</f>
        <v>7.9560000000000004</v>
      </c>
      <c r="BO221" s="63">
        <f>IFERROR(1/J221*(X221/H221),"0")</f>
        <v>1.6025641025641028E-2</v>
      </c>
      <c r="BP221" s="63">
        <f>IFERROR(1/J221*(Y221/H221),"0")</f>
        <v>1.6483516483516484E-2</v>
      </c>
    </row>
    <row r="222" spans="1:68" x14ac:dyDescent="0.2">
      <c r="A222" s="592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3"/>
      <c r="P222" s="584" t="s">
        <v>73</v>
      </c>
      <c r="Q222" s="585"/>
      <c r="R222" s="585"/>
      <c r="S222" s="585"/>
      <c r="T222" s="585"/>
      <c r="U222" s="585"/>
      <c r="V222" s="586"/>
      <c r="W222" s="36" t="s">
        <v>74</v>
      </c>
      <c r="X222" s="577">
        <f>IFERROR(X220/H220,"0")+IFERROR(X221/H221,"0")</f>
        <v>2.916666666666667</v>
      </c>
      <c r="Y222" s="577">
        <f>IFERROR(Y220/H220,"0")+IFERROR(Y221/H221,"0")</f>
        <v>3</v>
      </c>
      <c r="Z222" s="577">
        <f>IFERROR(IF(Z220="",0,Z220),"0")+IFERROR(IF(Z221="",0,Z221),"0")</f>
        <v>1.9529999999999999E-2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3"/>
      <c r="P223" s="584" t="s">
        <v>73</v>
      </c>
      <c r="Q223" s="585"/>
      <c r="R223" s="585"/>
      <c r="S223" s="585"/>
      <c r="T223" s="585"/>
      <c r="U223" s="585"/>
      <c r="V223" s="586"/>
      <c r="W223" s="36" t="s">
        <v>71</v>
      </c>
      <c r="X223" s="577">
        <f>IFERROR(SUM(X220:X221),"0")</f>
        <v>7</v>
      </c>
      <c r="Y223" s="577">
        <f>IFERROR(SUM(Y220:Y221),"0")</f>
        <v>7.1999999999999993</v>
      </c>
      <c r="Z223" s="36"/>
      <c r="AA223" s="578"/>
      <c r="AB223" s="578"/>
      <c r="AC223" s="578"/>
    </row>
    <row r="224" spans="1:68" ht="16.5" hidden="1" customHeight="1" x14ac:dyDescent="0.25">
      <c r="A224" s="648" t="s">
        <v>366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1"/>
      <c r="AB224" s="571"/>
      <c r="AC224" s="571"/>
    </row>
    <row r="225" spans="1:68" ht="14.25" hidden="1" customHeight="1" x14ac:dyDescent="0.25">
      <c r="A225" s="587" t="s">
        <v>104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65"/>
      <c r="AB225" s="565"/>
      <c r="AC225" s="565"/>
    </row>
    <row r="226" spans="1:68" ht="27" hidden="1" customHeight="1" x14ac:dyDescent="0.25">
      <c r="A226" s="53" t="s">
        <v>367</v>
      </c>
      <c r="B226" s="53" t="s">
        <v>368</v>
      </c>
      <c r="C226" s="30">
        <v>4301011826</v>
      </c>
      <c r="D226" s="594">
        <v>4680115884137</v>
      </c>
      <c r="E226" s="595"/>
      <c r="F226" s="574">
        <v>1.45</v>
      </c>
      <c r="G226" s="31">
        <v>8</v>
      </c>
      <c r="H226" s="574">
        <v>11.6</v>
      </c>
      <c r="I226" s="574">
        <v>12.035</v>
      </c>
      <c r="J226" s="31">
        <v>64</v>
      </c>
      <c r="K226" s="31" t="s">
        <v>107</v>
      </c>
      <c r="L226" s="31"/>
      <c r="M226" s="32" t="s">
        <v>108</v>
      </c>
      <c r="N226" s="32"/>
      <c r="O226" s="31">
        <v>55</v>
      </c>
      <c r="P226" s="8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3"/>
      <c r="V226" s="33"/>
      <c r="W226" s="34" t="s">
        <v>71</v>
      </c>
      <c r="X226" s="575">
        <v>0</v>
      </c>
      <c r="Y226" s="576">
        <f t="shared" ref="Y226:Y232" si="37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73" t="s">
        <v>369</v>
      </c>
      <c r="AG226" s="63"/>
      <c r="AJ226" s="66"/>
      <c r="AK226" s="66">
        <v>0</v>
      </c>
      <c r="BB226" s="274" t="s">
        <v>1</v>
      </c>
      <c r="BM226" s="63">
        <f t="shared" ref="BM226:BM232" si="38">IFERROR(X226*I226/H226,"0")</f>
        <v>0</v>
      </c>
      <c r="BN226" s="63">
        <f t="shared" ref="BN226:BN232" si="39">IFERROR(Y226*I226/H226,"0")</f>
        <v>0</v>
      </c>
      <c r="BO226" s="63">
        <f t="shared" ref="BO226:BO232" si="40">IFERROR(1/J226*(X226/H226),"0")</f>
        <v>0</v>
      </c>
      <c r="BP226" s="63">
        <f t="shared" ref="BP226:BP232" si="41">IFERROR(1/J226*(Y226/H226),"0")</f>
        <v>0</v>
      </c>
    </row>
    <row r="227" spans="1:68" ht="27" hidden="1" customHeight="1" x14ac:dyDescent="0.25">
      <c r="A227" s="53" t="s">
        <v>370</v>
      </c>
      <c r="B227" s="53" t="s">
        <v>371</v>
      </c>
      <c r="C227" s="30">
        <v>4301011724</v>
      </c>
      <c r="D227" s="594">
        <v>4680115884236</v>
      </c>
      <c r="E227" s="595"/>
      <c r="F227" s="574">
        <v>1.45</v>
      </c>
      <c r="G227" s="31">
        <v>8</v>
      </c>
      <c r="H227" s="574">
        <v>11.6</v>
      </c>
      <c r="I227" s="574">
        <v>12.035</v>
      </c>
      <c r="J227" s="31">
        <v>64</v>
      </c>
      <c r="K227" s="31" t="s">
        <v>107</v>
      </c>
      <c r="L227" s="31"/>
      <c r="M227" s="32" t="s">
        <v>108</v>
      </c>
      <c r="N227" s="32"/>
      <c r="O227" s="31">
        <v>55</v>
      </c>
      <c r="P227" s="8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3"/>
      <c r="V227" s="33"/>
      <c r="W227" s="34" t="s">
        <v>71</v>
      </c>
      <c r="X227" s="575">
        <v>0</v>
      </c>
      <c r="Y227" s="576">
        <f t="shared" si="37"/>
        <v>0</v>
      </c>
      <c r="Z227" s="35" t="str">
        <f>IFERROR(IF(Y227=0,"",ROUNDUP(Y227/H227,0)*0.01898),"")</f>
        <v/>
      </c>
      <c r="AA227" s="55"/>
      <c r="AB227" s="56"/>
      <c r="AC227" s="275" t="s">
        <v>372</v>
      </c>
      <c r="AG227" s="63"/>
      <c r="AJ227" s="66"/>
      <c r="AK227" s="66">
        <v>0</v>
      </c>
      <c r="BB227" s="276" t="s">
        <v>1</v>
      </c>
      <c r="BM227" s="63">
        <f t="shared" si="38"/>
        <v>0</v>
      </c>
      <c r="BN227" s="63">
        <f t="shared" si="39"/>
        <v>0</v>
      </c>
      <c r="BO227" s="63">
        <f t="shared" si="40"/>
        <v>0</v>
      </c>
      <c r="BP227" s="63">
        <f t="shared" si="41"/>
        <v>0</v>
      </c>
    </row>
    <row r="228" spans="1:68" ht="27" hidden="1" customHeight="1" x14ac:dyDescent="0.25">
      <c r="A228" s="53" t="s">
        <v>373</v>
      </c>
      <c r="B228" s="53" t="s">
        <v>374</v>
      </c>
      <c r="C228" s="30">
        <v>4301011721</v>
      </c>
      <c r="D228" s="594">
        <v>4680115884175</v>
      </c>
      <c r="E228" s="595"/>
      <c r="F228" s="574">
        <v>1.45</v>
      </c>
      <c r="G228" s="31">
        <v>8</v>
      </c>
      <c r="H228" s="574">
        <v>11.6</v>
      </c>
      <c r="I228" s="574">
        <v>12.035</v>
      </c>
      <c r="J228" s="31">
        <v>64</v>
      </c>
      <c r="K228" s="31" t="s">
        <v>107</v>
      </c>
      <c r="L228" s="31"/>
      <c r="M228" s="32" t="s">
        <v>108</v>
      </c>
      <c r="N228" s="32"/>
      <c r="O228" s="31">
        <v>55</v>
      </c>
      <c r="P228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3"/>
      <c r="V228" s="33"/>
      <c r="W228" s="34" t="s">
        <v>71</v>
      </c>
      <c r="X228" s="575">
        <v>0</v>
      </c>
      <c r="Y228" s="576">
        <f t="shared" si="37"/>
        <v>0</v>
      </c>
      <c r="Z228" s="35" t="str">
        <f>IFERROR(IF(Y228=0,"",ROUNDUP(Y228/H228,0)*0.01898),"")</f>
        <v/>
      </c>
      <c r="AA228" s="55"/>
      <c r="AB228" s="56"/>
      <c r="AC228" s="277" t="s">
        <v>375</v>
      </c>
      <c r="AG228" s="63"/>
      <c r="AJ228" s="66"/>
      <c r="AK228" s="66">
        <v>0</v>
      </c>
      <c r="BB228" s="278" t="s">
        <v>1</v>
      </c>
      <c r="BM228" s="63">
        <f t="shared" si="38"/>
        <v>0</v>
      </c>
      <c r="BN228" s="63">
        <f t="shared" si="39"/>
        <v>0</v>
      </c>
      <c r="BO228" s="63">
        <f t="shared" si="40"/>
        <v>0</v>
      </c>
      <c r="BP228" s="63">
        <f t="shared" si="41"/>
        <v>0</v>
      </c>
    </row>
    <row r="229" spans="1:68" ht="27" hidden="1" customHeight="1" x14ac:dyDescent="0.25">
      <c r="A229" s="53" t="s">
        <v>376</v>
      </c>
      <c r="B229" s="53" t="s">
        <v>377</v>
      </c>
      <c r="C229" s="30">
        <v>4301011824</v>
      </c>
      <c r="D229" s="594">
        <v>4680115884144</v>
      </c>
      <c r="E229" s="595"/>
      <c r="F229" s="574">
        <v>0.4</v>
      </c>
      <c r="G229" s="31">
        <v>10</v>
      </c>
      <c r="H229" s="574">
        <v>4</v>
      </c>
      <c r="I229" s="574">
        <v>4.21</v>
      </c>
      <c r="J229" s="31">
        <v>132</v>
      </c>
      <c r="K229" s="31" t="s">
        <v>112</v>
      </c>
      <c r="L229" s="31"/>
      <c r="M229" s="32" t="s">
        <v>108</v>
      </c>
      <c r="N229" s="32"/>
      <c r="O229" s="31">
        <v>55</v>
      </c>
      <c r="P229" s="7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3"/>
      <c r="V229" s="33"/>
      <c r="W229" s="34" t="s">
        <v>71</v>
      </c>
      <c r="X229" s="575">
        <v>0</v>
      </c>
      <c r="Y229" s="576">
        <f t="shared" si="37"/>
        <v>0</v>
      </c>
      <c r="Z229" s="35" t="str">
        <f>IFERROR(IF(Y229=0,"",ROUNDUP(Y229/H229,0)*0.00902),"")</f>
        <v/>
      </c>
      <c r="AA229" s="55"/>
      <c r="AB229" s="56"/>
      <c r="AC229" s="279" t="s">
        <v>369</v>
      </c>
      <c r="AG229" s="63"/>
      <c r="AJ229" s="66"/>
      <c r="AK229" s="66">
        <v>0</v>
      </c>
      <c r="BB229" s="280" t="s">
        <v>1</v>
      </c>
      <c r="BM229" s="63">
        <f t="shared" si="38"/>
        <v>0</v>
      </c>
      <c r="BN229" s="63">
        <f t="shared" si="39"/>
        <v>0</v>
      </c>
      <c r="BO229" s="63">
        <f t="shared" si="40"/>
        <v>0</v>
      </c>
      <c r="BP229" s="63">
        <f t="shared" si="41"/>
        <v>0</v>
      </c>
    </row>
    <row r="230" spans="1:68" ht="27" hidden="1" customHeight="1" x14ac:dyDescent="0.25">
      <c r="A230" s="53" t="s">
        <v>378</v>
      </c>
      <c r="B230" s="53" t="s">
        <v>379</v>
      </c>
      <c r="C230" s="30">
        <v>4301012149</v>
      </c>
      <c r="D230" s="594">
        <v>4680115886551</v>
      </c>
      <c r="E230" s="595"/>
      <c r="F230" s="574">
        <v>0.4</v>
      </c>
      <c r="G230" s="31">
        <v>10</v>
      </c>
      <c r="H230" s="574">
        <v>4</v>
      </c>
      <c r="I230" s="574">
        <v>4.21</v>
      </c>
      <c r="J230" s="31">
        <v>132</v>
      </c>
      <c r="K230" s="31" t="s">
        <v>112</v>
      </c>
      <c r="L230" s="31"/>
      <c r="M230" s="32" t="s">
        <v>108</v>
      </c>
      <c r="N230" s="32"/>
      <c r="O230" s="31">
        <v>55</v>
      </c>
      <c r="P230" s="6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3"/>
      <c r="V230" s="33"/>
      <c r="W230" s="34" t="s">
        <v>71</v>
      </c>
      <c r="X230" s="575">
        <v>0</v>
      </c>
      <c r="Y230" s="576">
        <f t="shared" si="37"/>
        <v>0</v>
      </c>
      <c r="Z230" s="35" t="str">
        <f>IFERROR(IF(Y230=0,"",ROUNDUP(Y230/H230,0)*0.00902),"")</f>
        <v/>
      </c>
      <c r="AA230" s="55"/>
      <c r="AB230" s="56"/>
      <c r="AC230" s="281" t="s">
        <v>380</v>
      </c>
      <c r="AG230" s="63"/>
      <c r="AJ230" s="66"/>
      <c r="AK230" s="66">
        <v>0</v>
      </c>
      <c r="BB230" s="282" t="s">
        <v>1</v>
      </c>
      <c r="BM230" s="63">
        <f t="shared" si="38"/>
        <v>0</v>
      </c>
      <c r="BN230" s="63">
        <f t="shared" si="39"/>
        <v>0</v>
      </c>
      <c r="BO230" s="63">
        <f t="shared" si="40"/>
        <v>0</v>
      </c>
      <c r="BP230" s="63">
        <f t="shared" si="41"/>
        <v>0</v>
      </c>
    </row>
    <row r="231" spans="1:68" ht="27" hidden="1" customHeight="1" x14ac:dyDescent="0.25">
      <c r="A231" s="53" t="s">
        <v>381</v>
      </c>
      <c r="B231" s="53" t="s">
        <v>382</v>
      </c>
      <c r="C231" s="30">
        <v>4301011726</v>
      </c>
      <c r="D231" s="594">
        <v>4680115884182</v>
      </c>
      <c r="E231" s="595"/>
      <c r="F231" s="574">
        <v>0.37</v>
      </c>
      <c r="G231" s="31">
        <v>10</v>
      </c>
      <c r="H231" s="574">
        <v>3.7</v>
      </c>
      <c r="I231" s="574">
        <v>3.91</v>
      </c>
      <c r="J231" s="31">
        <v>132</v>
      </c>
      <c r="K231" s="31" t="s">
        <v>112</v>
      </c>
      <c r="L231" s="31"/>
      <c r="M231" s="32" t="s">
        <v>108</v>
      </c>
      <c r="N231" s="32"/>
      <c r="O231" s="31">
        <v>55</v>
      </c>
      <c r="P231" s="6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3"/>
      <c r="V231" s="33"/>
      <c r="W231" s="34" t="s">
        <v>71</v>
      </c>
      <c r="X231" s="575">
        <v>0</v>
      </c>
      <c r="Y231" s="576">
        <f t="shared" si="37"/>
        <v>0</v>
      </c>
      <c r="Z231" s="35" t="str">
        <f>IFERROR(IF(Y231=0,"",ROUNDUP(Y231/H231,0)*0.00902),"")</f>
        <v/>
      </c>
      <c r="AA231" s="55"/>
      <c r="AB231" s="56"/>
      <c r="AC231" s="283" t="s">
        <v>372</v>
      </c>
      <c r="AG231" s="63"/>
      <c r="AJ231" s="66"/>
      <c r="AK231" s="66">
        <v>0</v>
      </c>
      <c r="BB231" s="284" t="s">
        <v>1</v>
      </c>
      <c r="BM231" s="63">
        <f t="shared" si="38"/>
        <v>0</v>
      </c>
      <c r="BN231" s="63">
        <f t="shared" si="39"/>
        <v>0</v>
      </c>
      <c r="BO231" s="63">
        <f t="shared" si="40"/>
        <v>0</v>
      </c>
      <c r="BP231" s="63">
        <f t="shared" si="41"/>
        <v>0</v>
      </c>
    </row>
    <row r="232" spans="1:68" ht="27" hidden="1" customHeight="1" x14ac:dyDescent="0.25">
      <c r="A232" s="53" t="s">
        <v>383</v>
      </c>
      <c r="B232" s="53" t="s">
        <v>384</v>
      </c>
      <c r="C232" s="30">
        <v>4301011722</v>
      </c>
      <c r="D232" s="594">
        <v>4680115884205</v>
      </c>
      <c r="E232" s="595"/>
      <c r="F232" s="574">
        <v>0.4</v>
      </c>
      <c r="G232" s="31">
        <v>10</v>
      </c>
      <c r="H232" s="574">
        <v>4</v>
      </c>
      <c r="I232" s="574">
        <v>4.21</v>
      </c>
      <c r="J232" s="31">
        <v>132</v>
      </c>
      <c r="K232" s="31" t="s">
        <v>112</v>
      </c>
      <c r="L232" s="31"/>
      <c r="M232" s="32" t="s">
        <v>108</v>
      </c>
      <c r="N232" s="32"/>
      <c r="O232" s="31">
        <v>55</v>
      </c>
      <c r="P232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3"/>
      <c r="V232" s="33"/>
      <c r="W232" s="34" t="s">
        <v>71</v>
      </c>
      <c r="X232" s="575">
        <v>0</v>
      </c>
      <c r="Y232" s="576">
        <f t="shared" si="37"/>
        <v>0</v>
      </c>
      <c r="Z232" s="35" t="str">
        <f>IFERROR(IF(Y232=0,"",ROUNDUP(Y232/H232,0)*0.00902),"")</f>
        <v/>
      </c>
      <c r="AA232" s="55"/>
      <c r="AB232" s="56"/>
      <c r="AC232" s="285" t="s">
        <v>375</v>
      </c>
      <c r="AG232" s="63"/>
      <c r="AJ232" s="66"/>
      <c r="AK232" s="66">
        <v>0</v>
      </c>
      <c r="BB232" s="286" t="s">
        <v>1</v>
      </c>
      <c r="BM232" s="63">
        <f t="shared" si="38"/>
        <v>0</v>
      </c>
      <c r="BN232" s="63">
        <f t="shared" si="39"/>
        <v>0</v>
      </c>
      <c r="BO232" s="63">
        <f t="shared" si="40"/>
        <v>0</v>
      </c>
      <c r="BP232" s="63">
        <f t="shared" si="41"/>
        <v>0</v>
      </c>
    </row>
    <row r="233" spans="1:68" hidden="1" x14ac:dyDescent="0.2">
      <c r="A233" s="592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3"/>
      <c r="P233" s="584" t="s">
        <v>73</v>
      </c>
      <c r="Q233" s="585"/>
      <c r="R233" s="585"/>
      <c r="S233" s="585"/>
      <c r="T233" s="585"/>
      <c r="U233" s="585"/>
      <c r="V233" s="586"/>
      <c r="W233" s="36" t="s">
        <v>74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3"/>
      <c r="P234" s="584" t="s">
        <v>73</v>
      </c>
      <c r="Q234" s="585"/>
      <c r="R234" s="585"/>
      <c r="S234" s="585"/>
      <c r="T234" s="585"/>
      <c r="U234" s="585"/>
      <c r="V234" s="586"/>
      <c r="W234" s="36" t="s">
        <v>71</v>
      </c>
      <c r="X234" s="577">
        <f>IFERROR(SUM(X226:X232),"0")</f>
        <v>0</v>
      </c>
      <c r="Y234" s="577">
        <f>IFERROR(SUM(Y226:Y232),"0")</f>
        <v>0</v>
      </c>
      <c r="Z234" s="36"/>
      <c r="AA234" s="578"/>
      <c r="AB234" s="578"/>
      <c r="AC234" s="578"/>
    </row>
    <row r="235" spans="1:68" ht="14.25" hidden="1" customHeight="1" x14ac:dyDescent="0.25">
      <c r="A235" s="587" t="s">
        <v>140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65"/>
      <c r="AB235" s="565"/>
      <c r="AC235" s="565"/>
    </row>
    <row r="236" spans="1:68" ht="27" hidden="1" customHeight="1" x14ac:dyDescent="0.25">
      <c r="A236" s="53" t="s">
        <v>385</v>
      </c>
      <c r="B236" s="53" t="s">
        <v>386</v>
      </c>
      <c r="C236" s="30">
        <v>4301020340</v>
      </c>
      <c r="D236" s="594">
        <v>4680115885721</v>
      </c>
      <c r="E236" s="595"/>
      <c r="F236" s="574">
        <v>0.33</v>
      </c>
      <c r="G236" s="31">
        <v>6</v>
      </c>
      <c r="H236" s="574">
        <v>1.98</v>
      </c>
      <c r="I236" s="574">
        <v>2.08</v>
      </c>
      <c r="J236" s="31">
        <v>234</v>
      </c>
      <c r="K236" s="31" t="s">
        <v>68</v>
      </c>
      <c r="L236" s="31"/>
      <c r="M236" s="32" t="s">
        <v>79</v>
      </c>
      <c r="N236" s="32"/>
      <c r="O236" s="31">
        <v>50</v>
      </c>
      <c r="P236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3"/>
      <c r="V236" s="33"/>
      <c r="W236" s="34" t="s">
        <v>71</v>
      </c>
      <c r="X236" s="575">
        <v>0</v>
      </c>
      <c r="Y236" s="576">
        <f>IFERROR(IF(X236="",0,CEILING((X236/$H236),1)*$H236),"")</f>
        <v>0</v>
      </c>
      <c r="Z236" s="35" t="str">
        <f>IFERROR(IF(Y236=0,"",ROUNDUP(Y236/H236,0)*0.00502),"")</f>
        <v/>
      </c>
      <c r="AA236" s="55"/>
      <c r="AB236" s="56"/>
      <c r="AC236" s="287" t="s">
        <v>387</v>
      </c>
      <c r="AG236" s="63"/>
      <c r="AJ236" s="66"/>
      <c r="AK236" s="66">
        <v>0</v>
      </c>
      <c r="BB236" s="288" t="s">
        <v>1</v>
      </c>
      <c r="BM236" s="63">
        <f>IFERROR(X236*I236/H236,"0")</f>
        <v>0</v>
      </c>
      <c r="BN236" s="63">
        <f>IFERROR(Y236*I236/H236,"0")</f>
        <v>0</v>
      </c>
      <c r="BO236" s="63">
        <f>IFERROR(1/J236*(X236/H236),"0")</f>
        <v>0</v>
      </c>
      <c r="BP236" s="63">
        <f>IFERROR(1/J236*(Y236/H236),"0")</f>
        <v>0</v>
      </c>
    </row>
    <row r="237" spans="1:68" ht="27" hidden="1" customHeight="1" x14ac:dyDescent="0.25">
      <c r="A237" s="53" t="s">
        <v>385</v>
      </c>
      <c r="B237" s="53" t="s">
        <v>388</v>
      </c>
      <c r="C237" s="30">
        <v>4301020377</v>
      </c>
      <c r="D237" s="594">
        <v>4680115885981</v>
      </c>
      <c r="E237" s="595"/>
      <c r="F237" s="574">
        <v>0.33</v>
      </c>
      <c r="G237" s="31">
        <v>6</v>
      </c>
      <c r="H237" s="574">
        <v>1.98</v>
      </c>
      <c r="I237" s="574">
        <v>2.08</v>
      </c>
      <c r="J237" s="31">
        <v>234</v>
      </c>
      <c r="K237" s="31" t="s">
        <v>68</v>
      </c>
      <c r="L237" s="31"/>
      <c r="M237" s="32" t="s">
        <v>79</v>
      </c>
      <c r="N237" s="32"/>
      <c r="O237" s="31">
        <v>50</v>
      </c>
      <c r="P237" s="65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3"/>
      <c r="V237" s="33"/>
      <c r="W237" s="34" t="s">
        <v>71</v>
      </c>
      <c r="X237" s="575">
        <v>0</v>
      </c>
      <c r="Y237" s="576">
        <f>IFERROR(IF(X237="",0,CEILING((X237/$H237),1)*$H237),"")</f>
        <v>0</v>
      </c>
      <c r="Z237" s="35" t="str">
        <f>IFERROR(IF(Y237=0,"",ROUNDUP(Y237/H237,0)*0.00502),"")</f>
        <v/>
      </c>
      <c r="AA237" s="55"/>
      <c r="AB237" s="56"/>
      <c r="AC237" s="289" t="s">
        <v>387</v>
      </c>
      <c r="AG237" s="63"/>
      <c r="AJ237" s="66"/>
      <c r="AK237" s="66">
        <v>0</v>
      </c>
      <c r="BB237" s="290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hidden="1" x14ac:dyDescent="0.2">
      <c r="A238" s="592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3"/>
      <c r="P238" s="584" t="s">
        <v>73</v>
      </c>
      <c r="Q238" s="585"/>
      <c r="R238" s="585"/>
      <c r="S238" s="585"/>
      <c r="T238" s="585"/>
      <c r="U238" s="585"/>
      <c r="V238" s="586"/>
      <c r="W238" s="36" t="s">
        <v>74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3"/>
      <c r="P239" s="584" t="s">
        <v>73</v>
      </c>
      <c r="Q239" s="585"/>
      <c r="R239" s="585"/>
      <c r="S239" s="585"/>
      <c r="T239" s="585"/>
      <c r="U239" s="585"/>
      <c r="V239" s="586"/>
      <c r="W239" s="36" t="s">
        <v>71</v>
      </c>
      <c r="X239" s="577">
        <f>IFERROR(SUM(X236:X237),"0")</f>
        <v>0</v>
      </c>
      <c r="Y239" s="577">
        <f>IFERROR(SUM(Y236:Y237),"0")</f>
        <v>0</v>
      </c>
      <c r="Z239" s="36"/>
      <c r="AA239" s="578"/>
      <c r="AB239" s="578"/>
      <c r="AC239" s="578"/>
    </row>
    <row r="240" spans="1:68" ht="14.25" hidden="1" customHeight="1" x14ac:dyDescent="0.25">
      <c r="A240" s="587" t="s">
        <v>389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65"/>
      <c r="AB240" s="565"/>
      <c r="AC240" s="565"/>
    </row>
    <row r="241" spans="1:68" ht="27" hidden="1" customHeight="1" x14ac:dyDescent="0.25">
      <c r="A241" s="53" t="s">
        <v>390</v>
      </c>
      <c r="B241" s="53" t="s">
        <v>391</v>
      </c>
      <c r="C241" s="30">
        <v>4301040362</v>
      </c>
      <c r="D241" s="594">
        <v>4680115886803</v>
      </c>
      <c r="E241" s="595"/>
      <c r="F241" s="574">
        <v>0.12</v>
      </c>
      <c r="G241" s="31">
        <v>15</v>
      </c>
      <c r="H241" s="574">
        <v>1.8</v>
      </c>
      <c r="I241" s="574">
        <v>1.9750000000000001</v>
      </c>
      <c r="J241" s="31">
        <v>216</v>
      </c>
      <c r="K241" s="31" t="s">
        <v>294</v>
      </c>
      <c r="L241" s="31"/>
      <c r="M241" s="32" t="s">
        <v>295</v>
      </c>
      <c r="N241" s="32"/>
      <c r="O241" s="31">
        <v>45</v>
      </c>
      <c r="P241" s="859" t="s">
        <v>392</v>
      </c>
      <c r="Q241" s="580"/>
      <c r="R241" s="580"/>
      <c r="S241" s="580"/>
      <c r="T241" s="581"/>
      <c r="U241" s="33"/>
      <c r="V241" s="33"/>
      <c r="W241" s="34" t="s">
        <v>71</v>
      </c>
      <c r="X241" s="575">
        <v>0</v>
      </c>
      <c r="Y241" s="576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91" t="s">
        <v>393</v>
      </c>
      <c r="AG241" s="63"/>
      <c r="AJ241" s="66"/>
      <c r="AK241" s="66">
        <v>0</v>
      </c>
      <c r="BB241" s="29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customHeight="1" x14ac:dyDescent="0.25">
      <c r="A242" s="53" t="s">
        <v>390</v>
      </c>
      <c r="B242" s="53" t="s">
        <v>394</v>
      </c>
      <c r="C242" s="30">
        <v>4301040361</v>
      </c>
      <c r="D242" s="594">
        <v>4680115886803</v>
      </c>
      <c r="E242" s="595"/>
      <c r="F242" s="574">
        <v>0.12</v>
      </c>
      <c r="G242" s="31">
        <v>18</v>
      </c>
      <c r="H242" s="574">
        <v>2.16</v>
      </c>
      <c r="I242" s="574">
        <v>2.35</v>
      </c>
      <c r="J242" s="31">
        <v>216</v>
      </c>
      <c r="K242" s="31" t="s">
        <v>294</v>
      </c>
      <c r="L242" s="31"/>
      <c r="M242" s="32" t="s">
        <v>295</v>
      </c>
      <c r="N242" s="32"/>
      <c r="O242" s="31">
        <v>45</v>
      </c>
      <c r="P242" s="66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3"/>
      <c r="V242" s="33"/>
      <c r="W242" s="34" t="s">
        <v>71</v>
      </c>
      <c r="X242" s="575">
        <v>11</v>
      </c>
      <c r="Y242" s="576">
        <f>IFERROR(IF(X242="",0,CEILING((X242/$H242),1)*$H242),"")</f>
        <v>12.96</v>
      </c>
      <c r="Z242" s="35">
        <f>IFERROR(IF(Y242=0,"",ROUNDUP(Y242/H242,0)*0.0059),"")</f>
        <v>3.5400000000000001E-2</v>
      </c>
      <c r="AA242" s="55"/>
      <c r="AB242" s="56"/>
      <c r="AC242" s="293" t="s">
        <v>393</v>
      </c>
      <c r="AG242" s="63"/>
      <c r="AJ242" s="66"/>
      <c r="AK242" s="66">
        <v>0</v>
      </c>
      <c r="BB242" s="294" t="s">
        <v>1</v>
      </c>
      <c r="BM242" s="63">
        <f>IFERROR(X242*I242/H242,"0")</f>
        <v>11.967592592592592</v>
      </c>
      <c r="BN242" s="63">
        <f>IFERROR(Y242*I242/H242,"0")</f>
        <v>14.1</v>
      </c>
      <c r="BO242" s="63">
        <f>IFERROR(1/J242*(X242/H242),"0")</f>
        <v>2.3576817558299039E-2</v>
      </c>
      <c r="BP242" s="63">
        <f>IFERROR(1/J242*(Y242/H242),"0")</f>
        <v>2.7777777777777776E-2</v>
      </c>
    </row>
    <row r="243" spans="1:68" x14ac:dyDescent="0.2">
      <c r="A243" s="592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3"/>
      <c r="P243" s="584" t="s">
        <v>73</v>
      </c>
      <c r="Q243" s="585"/>
      <c r="R243" s="585"/>
      <c r="S243" s="585"/>
      <c r="T243" s="585"/>
      <c r="U243" s="585"/>
      <c r="V243" s="586"/>
      <c r="W243" s="36" t="s">
        <v>74</v>
      </c>
      <c r="X243" s="577">
        <f>IFERROR(X241/H241,"0")+IFERROR(X242/H242,"0")</f>
        <v>5.0925925925925926</v>
      </c>
      <c r="Y243" s="577">
        <f>IFERROR(Y241/H241,"0")+IFERROR(Y242/H242,"0")</f>
        <v>6</v>
      </c>
      <c r="Z243" s="577">
        <f>IFERROR(IF(Z241="",0,Z241),"0")+IFERROR(IF(Z242="",0,Z242),"0")</f>
        <v>3.5400000000000001E-2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3"/>
      <c r="P244" s="584" t="s">
        <v>73</v>
      </c>
      <c r="Q244" s="585"/>
      <c r="R244" s="585"/>
      <c r="S244" s="585"/>
      <c r="T244" s="585"/>
      <c r="U244" s="585"/>
      <c r="V244" s="586"/>
      <c r="W244" s="36" t="s">
        <v>71</v>
      </c>
      <c r="X244" s="577">
        <f>IFERROR(SUM(X241:X242),"0")</f>
        <v>11</v>
      </c>
      <c r="Y244" s="577">
        <f>IFERROR(SUM(Y241:Y242),"0")</f>
        <v>12.96</v>
      </c>
      <c r="Z244" s="36"/>
      <c r="AA244" s="578"/>
      <c r="AB244" s="578"/>
      <c r="AC244" s="578"/>
    </row>
    <row r="245" spans="1:68" ht="14.25" hidden="1" customHeight="1" x14ac:dyDescent="0.25">
      <c r="A245" s="587" t="s">
        <v>395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65"/>
      <c r="AB245" s="565"/>
      <c r="AC245" s="565"/>
    </row>
    <row r="246" spans="1:68" ht="27" hidden="1" customHeight="1" x14ac:dyDescent="0.25">
      <c r="A246" s="53" t="s">
        <v>396</v>
      </c>
      <c r="B246" s="53" t="s">
        <v>397</v>
      </c>
      <c r="C246" s="30">
        <v>4301041004</v>
      </c>
      <c r="D246" s="594">
        <v>4680115886704</v>
      </c>
      <c r="E246" s="595"/>
      <c r="F246" s="574">
        <v>5.5E-2</v>
      </c>
      <c r="G246" s="31">
        <v>18</v>
      </c>
      <c r="H246" s="574">
        <v>0.99</v>
      </c>
      <c r="I246" s="574">
        <v>1.18</v>
      </c>
      <c r="J246" s="31">
        <v>216</v>
      </c>
      <c r="K246" s="31" t="s">
        <v>294</v>
      </c>
      <c r="L246" s="31"/>
      <c r="M246" s="32" t="s">
        <v>295</v>
      </c>
      <c r="N246" s="32"/>
      <c r="O246" s="31">
        <v>90</v>
      </c>
      <c r="P246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3"/>
      <c r="V246" s="33"/>
      <c r="W246" s="34" t="s">
        <v>71</v>
      </c>
      <c r="X246" s="575">
        <v>0</v>
      </c>
      <c r="Y246" s="576">
        <f t="shared" ref="Y246:Y251" si="42">IFERROR(IF(X246="",0,CEILING((X246/$H246),1)*$H246),"")</f>
        <v>0</v>
      </c>
      <c r="Z246" s="35" t="str">
        <f t="shared" ref="Z246:Z251" si="43">IFERROR(IF(Y246=0,"",ROUNDUP(Y246/H246,0)*0.0059),"")</f>
        <v/>
      </c>
      <c r="AA246" s="55"/>
      <c r="AB246" s="56"/>
      <c r="AC246" s="295" t="s">
        <v>398</v>
      </c>
      <c r="AG246" s="63"/>
      <c r="AJ246" s="66"/>
      <c r="AK246" s="66">
        <v>0</v>
      </c>
      <c r="BB246" s="296" t="s">
        <v>1</v>
      </c>
      <c r="BM246" s="63">
        <f t="shared" ref="BM246:BM251" si="44">IFERROR(X246*I246/H246,"0")</f>
        <v>0</v>
      </c>
      <c r="BN246" s="63">
        <f t="shared" ref="BN246:BN251" si="45">IFERROR(Y246*I246/H246,"0")</f>
        <v>0</v>
      </c>
      <c r="BO246" s="63">
        <f t="shared" ref="BO246:BO251" si="46">IFERROR(1/J246*(X246/H246),"0")</f>
        <v>0</v>
      </c>
      <c r="BP246" s="63">
        <f t="shared" ref="BP246:BP251" si="47">IFERROR(1/J246*(Y246/H246),"0")</f>
        <v>0</v>
      </c>
    </row>
    <row r="247" spans="1:68" ht="27" hidden="1" customHeight="1" x14ac:dyDescent="0.25">
      <c r="A247" s="53" t="s">
        <v>399</v>
      </c>
      <c r="B247" s="53" t="s">
        <v>400</v>
      </c>
      <c r="C247" s="30">
        <v>4301041008</v>
      </c>
      <c r="D247" s="594">
        <v>4680115886681</v>
      </c>
      <c r="E247" s="595"/>
      <c r="F247" s="574">
        <v>0.12</v>
      </c>
      <c r="G247" s="31">
        <v>15</v>
      </c>
      <c r="H247" s="574">
        <v>1.8</v>
      </c>
      <c r="I247" s="574">
        <v>1.9750000000000001</v>
      </c>
      <c r="J247" s="31">
        <v>216</v>
      </c>
      <c r="K247" s="31" t="s">
        <v>294</v>
      </c>
      <c r="L247" s="31"/>
      <c r="M247" s="32" t="s">
        <v>295</v>
      </c>
      <c r="N247" s="32"/>
      <c r="O247" s="31">
        <v>90</v>
      </c>
      <c r="P247" s="857" t="s">
        <v>401</v>
      </c>
      <c r="Q247" s="580"/>
      <c r="R247" s="580"/>
      <c r="S247" s="580"/>
      <c r="T247" s="581"/>
      <c r="U247" s="33"/>
      <c r="V247" s="33"/>
      <c r="W247" s="34" t="s">
        <v>71</v>
      </c>
      <c r="X247" s="575">
        <v>0</v>
      </c>
      <c r="Y247" s="576">
        <f t="shared" si="42"/>
        <v>0</v>
      </c>
      <c r="Z247" s="35" t="str">
        <f t="shared" si="43"/>
        <v/>
      </c>
      <c r="AA247" s="55"/>
      <c r="AB247" s="56"/>
      <c r="AC247" s="297" t="s">
        <v>398</v>
      </c>
      <c r="AG247" s="63"/>
      <c r="AJ247" s="66"/>
      <c r="AK247" s="66">
        <v>0</v>
      </c>
      <c r="BB247" s="298" t="s">
        <v>1</v>
      </c>
      <c r="BM247" s="63">
        <f t="shared" si="44"/>
        <v>0</v>
      </c>
      <c r="BN247" s="63">
        <f t="shared" si="45"/>
        <v>0</v>
      </c>
      <c r="BO247" s="63">
        <f t="shared" si="46"/>
        <v>0</v>
      </c>
      <c r="BP247" s="63">
        <f t="shared" si="47"/>
        <v>0</v>
      </c>
    </row>
    <row r="248" spans="1:68" ht="27" customHeight="1" x14ac:dyDescent="0.25">
      <c r="A248" s="53" t="s">
        <v>399</v>
      </c>
      <c r="B248" s="53" t="s">
        <v>402</v>
      </c>
      <c r="C248" s="30">
        <v>4301041003</v>
      </c>
      <c r="D248" s="594">
        <v>4680115886681</v>
      </c>
      <c r="E248" s="595"/>
      <c r="F248" s="574">
        <v>0.12</v>
      </c>
      <c r="G248" s="31">
        <v>18</v>
      </c>
      <c r="H248" s="574">
        <v>2.16</v>
      </c>
      <c r="I248" s="574">
        <v>2.35</v>
      </c>
      <c r="J248" s="31">
        <v>216</v>
      </c>
      <c r="K248" s="31" t="s">
        <v>294</v>
      </c>
      <c r="L248" s="31"/>
      <c r="M248" s="32" t="s">
        <v>295</v>
      </c>
      <c r="N248" s="32"/>
      <c r="O248" s="31">
        <v>90</v>
      </c>
      <c r="P248" s="79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3"/>
      <c r="V248" s="33"/>
      <c r="W248" s="34" t="s">
        <v>71</v>
      </c>
      <c r="X248" s="575">
        <v>5</v>
      </c>
      <c r="Y248" s="576">
        <f t="shared" si="42"/>
        <v>6.48</v>
      </c>
      <c r="Z248" s="35">
        <f t="shared" si="43"/>
        <v>1.77E-2</v>
      </c>
      <c r="AA248" s="55"/>
      <c r="AB248" s="56"/>
      <c r="AC248" s="299" t="s">
        <v>398</v>
      </c>
      <c r="AG248" s="63"/>
      <c r="AJ248" s="66"/>
      <c r="AK248" s="66">
        <v>0</v>
      </c>
      <c r="BB248" s="300" t="s">
        <v>1</v>
      </c>
      <c r="BM248" s="63">
        <f t="shared" si="44"/>
        <v>5.4398148148148149</v>
      </c>
      <c r="BN248" s="63">
        <f t="shared" si="45"/>
        <v>7.05</v>
      </c>
      <c r="BO248" s="63">
        <f t="shared" si="46"/>
        <v>1.0716735253772291E-2</v>
      </c>
      <c r="BP248" s="63">
        <f t="shared" si="47"/>
        <v>1.3888888888888888E-2</v>
      </c>
    </row>
    <row r="249" spans="1:68" ht="27" customHeight="1" x14ac:dyDescent="0.25">
      <c r="A249" s="53" t="s">
        <v>403</v>
      </c>
      <c r="B249" s="53" t="s">
        <v>404</v>
      </c>
      <c r="C249" s="30">
        <v>4301041007</v>
      </c>
      <c r="D249" s="594">
        <v>4680115886735</v>
      </c>
      <c r="E249" s="595"/>
      <c r="F249" s="574">
        <v>0.05</v>
      </c>
      <c r="G249" s="31">
        <v>18</v>
      </c>
      <c r="H249" s="574">
        <v>0.9</v>
      </c>
      <c r="I249" s="574">
        <v>1.0900000000000001</v>
      </c>
      <c r="J249" s="31">
        <v>216</v>
      </c>
      <c r="K249" s="31" t="s">
        <v>294</v>
      </c>
      <c r="L249" s="31"/>
      <c r="M249" s="32" t="s">
        <v>295</v>
      </c>
      <c r="N249" s="32"/>
      <c r="O249" s="31">
        <v>90</v>
      </c>
      <c r="P249" s="6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3"/>
      <c r="V249" s="33"/>
      <c r="W249" s="34" t="s">
        <v>71</v>
      </c>
      <c r="X249" s="575">
        <v>1</v>
      </c>
      <c r="Y249" s="576">
        <f t="shared" si="42"/>
        <v>1.8</v>
      </c>
      <c r="Z249" s="35">
        <f t="shared" si="43"/>
        <v>1.18E-2</v>
      </c>
      <c r="AA249" s="55"/>
      <c r="AB249" s="56"/>
      <c r="AC249" s="301" t="s">
        <v>398</v>
      </c>
      <c r="AG249" s="63"/>
      <c r="AJ249" s="66"/>
      <c r="AK249" s="66">
        <v>0</v>
      </c>
      <c r="BB249" s="302" t="s">
        <v>1</v>
      </c>
      <c r="BM249" s="63">
        <f t="shared" si="44"/>
        <v>1.2111111111111112</v>
      </c>
      <c r="BN249" s="63">
        <f t="shared" si="45"/>
        <v>2.1800000000000002</v>
      </c>
      <c r="BO249" s="63">
        <f t="shared" si="46"/>
        <v>5.1440329218106996E-3</v>
      </c>
      <c r="BP249" s="63">
        <f t="shared" si="47"/>
        <v>9.2592592592592587E-3</v>
      </c>
    </row>
    <row r="250" spans="1:68" ht="27" customHeight="1" x14ac:dyDescent="0.25">
      <c r="A250" s="53" t="s">
        <v>405</v>
      </c>
      <c r="B250" s="53" t="s">
        <v>406</v>
      </c>
      <c r="C250" s="30">
        <v>4301041006</v>
      </c>
      <c r="D250" s="594">
        <v>4680115886728</v>
      </c>
      <c r="E250" s="595"/>
      <c r="F250" s="574">
        <v>5.5E-2</v>
      </c>
      <c r="G250" s="31">
        <v>18</v>
      </c>
      <c r="H250" s="574">
        <v>0.99</v>
      </c>
      <c r="I250" s="574">
        <v>1.18</v>
      </c>
      <c r="J250" s="31">
        <v>216</v>
      </c>
      <c r="K250" s="31" t="s">
        <v>294</v>
      </c>
      <c r="L250" s="31"/>
      <c r="M250" s="32" t="s">
        <v>295</v>
      </c>
      <c r="N250" s="32"/>
      <c r="O250" s="31">
        <v>90</v>
      </c>
      <c r="P250" s="8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3"/>
      <c r="V250" s="33"/>
      <c r="W250" s="34" t="s">
        <v>71</v>
      </c>
      <c r="X250" s="575">
        <v>6</v>
      </c>
      <c r="Y250" s="576">
        <f t="shared" si="42"/>
        <v>6.93</v>
      </c>
      <c r="Z250" s="35">
        <f t="shared" si="43"/>
        <v>4.1299999999999996E-2</v>
      </c>
      <c r="AA250" s="55"/>
      <c r="AB250" s="56"/>
      <c r="AC250" s="303" t="s">
        <v>398</v>
      </c>
      <c r="AG250" s="63"/>
      <c r="AJ250" s="66"/>
      <c r="AK250" s="66">
        <v>0</v>
      </c>
      <c r="BB250" s="304" t="s">
        <v>1</v>
      </c>
      <c r="BM250" s="63">
        <f t="shared" si="44"/>
        <v>7.1515151515151514</v>
      </c>
      <c r="BN250" s="63">
        <f t="shared" si="45"/>
        <v>8.259999999999998</v>
      </c>
      <c r="BO250" s="63">
        <f t="shared" si="46"/>
        <v>2.8058361391694722E-2</v>
      </c>
      <c r="BP250" s="63">
        <f t="shared" si="47"/>
        <v>3.2407407407407406E-2</v>
      </c>
    </row>
    <row r="251" spans="1:68" ht="27" customHeight="1" x14ac:dyDescent="0.25">
      <c r="A251" s="53" t="s">
        <v>407</v>
      </c>
      <c r="B251" s="53" t="s">
        <v>408</v>
      </c>
      <c r="C251" s="30">
        <v>4301041005</v>
      </c>
      <c r="D251" s="594">
        <v>4680115886711</v>
      </c>
      <c r="E251" s="595"/>
      <c r="F251" s="574">
        <v>5.5E-2</v>
      </c>
      <c r="G251" s="31">
        <v>18</v>
      </c>
      <c r="H251" s="574">
        <v>0.99</v>
      </c>
      <c r="I251" s="574">
        <v>1.18</v>
      </c>
      <c r="J251" s="31">
        <v>216</v>
      </c>
      <c r="K251" s="31" t="s">
        <v>294</v>
      </c>
      <c r="L251" s="31"/>
      <c r="M251" s="32" t="s">
        <v>295</v>
      </c>
      <c r="N251" s="32"/>
      <c r="O251" s="31">
        <v>90</v>
      </c>
      <c r="P251" s="8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3"/>
      <c r="V251" s="33"/>
      <c r="W251" s="34" t="s">
        <v>71</v>
      </c>
      <c r="X251" s="575">
        <v>1</v>
      </c>
      <c r="Y251" s="576">
        <f t="shared" si="42"/>
        <v>1.98</v>
      </c>
      <c r="Z251" s="35">
        <f t="shared" si="43"/>
        <v>1.18E-2</v>
      </c>
      <c r="AA251" s="55"/>
      <c r="AB251" s="56"/>
      <c r="AC251" s="305" t="s">
        <v>398</v>
      </c>
      <c r="AG251" s="63"/>
      <c r="AJ251" s="66"/>
      <c r="AK251" s="66">
        <v>0</v>
      </c>
      <c r="BB251" s="306" t="s">
        <v>1</v>
      </c>
      <c r="BM251" s="63">
        <f t="shared" si="44"/>
        <v>1.1919191919191918</v>
      </c>
      <c r="BN251" s="63">
        <f t="shared" si="45"/>
        <v>2.36</v>
      </c>
      <c r="BO251" s="63">
        <f t="shared" si="46"/>
        <v>4.6763935652824546E-3</v>
      </c>
      <c r="BP251" s="63">
        <f t="shared" si="47"/>
        <v>9.2592592592592587E-3</v>
      </c>
    </row>
    <row r="252" spans="1:68" x14ac:dyDescent="0.2">
      <c r="A252" s="592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3"/>
      <c r="P252" s="584" t="s">
        <v>73</v>
      </c>
      <c r="Q252" s="585"/>
      <c r="R252" s="585"/>
      <c r="S252" s="585"/>
      <c r="T252" s="585"/>
      <c r="U252" s="585"/>
      <c r="V252" s="586"/>
      <c r="W252" s="36" t="s">
        <v>74</v>
      </c>
      <c r="X252" s="577">
        <f>IFERROR(X246/H246,"0")+IFERROR(X247/H247,"0")+IFERROR(X248/H248,"0")+IFERROR(X249/H249,"0")+IFERROR(X250/H250,"0")+IFERROR(X251/H251,"0")</f>
        <v>10.496632996632997</v>
      </c>
      <c r="Y252" s="577">
        <f>IFERROR(Y246/H246,"0")+IFERROR(Y247/H247,"0")+IFERROR(Y248/H248,"0")+IFERROR(Y249/H249,"0")+IFERROR(Y250/H250,"0")+IFERROR(Y251/H251,"0")</f>
        <v>14</v>
      </c>
      <c r="Z252" s="577">
        <f>IFERROR(IF(Z246="",0,Z246),"0")+IFERROR(IF(Z247="",0,Z247),"0")+IFERROR(IF(Z248="",0,Z248),"0")+IFERROR(IF(Z249="",0,Z249),"0")+IFERROR(IF(Z250="",0,Z250),"0")+IFERROR(IF(Z251="",0,Z251),"0")</f>
        <v>8.2600000000000007E-2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3"/>
      <c r="P253" s="584" t="s">
        <v>73</v>
      </c>
      <c r="Q253" s="585"/>
      <c r="R253" s="585"/>
      <c r="S253" s="585"/>
      <c r="T253" s="585"/>
      <c r="U253" s="585"/>
      <c r="V253" s="586"/>
      <c r="W253" s="36" t="s">
        <v>71</v>
      </c>
      <c r="X253" s="577">
        <f>IFERROR(SUM(X246:X251),"0")</f>
        <v>13</v>
      </c>
      <c r="Y253" s="577">
        <f>IFERROR(SUM(Y246:Y251),"0")</f>
        <v>17.190000000000001</v>
      </c>
      <c r="Z253" s="36"/>
      <c r="AA253" s="578"/>
      <c r="AB253" s="578"/>
      <c r="AC253" s="578"/>
    </row>
    <row r="254" spans="1:68" ht="16.5" hidden="1" customHeight="1" x14ac:dyDescent="0.25">
      <c r="A254" s="648" t="s">
        <v>409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1"/>
      <c r="AB254" s="571"/>
      <c r="AC254" s="571"/>
    </row>
    <row r="255" spans="1:68" ht="14.25" hidden="1" customHeight="1" x14ac:dyDescent="0.25">
      <c r="A255" s="587" t="s">
        <v>104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65"/>
      <c r="AB255" s="565"/>
      <c r="AC255" s="565"/>
    </row>
    <row r="256" spans="1:68" ht="27" hidden="1" customHeight="1" x14ac:dyDescent="0.25">
      <c r="A256" s="53" t="s">
        <v>410</v>
      </c>
      <c r="B256" s="53" t="s">
        <v>411</v>
      </c>
      <c r="C256" s="30">
        <v>4301011855</v>
      </c>
      <c r="D256" s="594">
        <v>4680115885837</v>
      </c>
      <c r="E256" s="595"/>
      <c r="F256" s="574">
        <v>1.35</v>
      </c>
      <c r="G256" s="31">
        <v>8</v>
      </c>
      <c r="H256" s="574">
        <v>10.8</v>
      </c>
      <c r="I256" s="574">
        <v>11.234999999999999</v>
      </c>
      <c r="J256" s="31">
        <v>64</v>
      </c>
      <c r="K256" s="31" t="s">
        <v>107</v>
      </c>
      <c r="L256" s="31"/>
      <c r="M256" s="32" t="s">
        <v>108</v>
      </c>
      <c r="N256" s="32"/>
      <c r="O256" s="31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3"/>
      <c r="V256" s="33"/>
      <c r="W256" s="34" t="s">
        <v>71</v>
      </c>
      <c r="X256" s="575">
        <v>0</v>
      </c>
      <c r="Y256" s="576">
        <f>IFERROR(IF(X256="",0,CEILING((X256/$H256),1)*$H256),"")</f>
        <v>0</v>
      </c>
      <c r="Z256" s="35" t="str">
        <f>IFERROR(IF(Y256=0,"",ROUNDUP(Y256/H256,0)*0.01898),"")</f>
        <v/>
      </c>
      <c r="AA256" s="55"/>
      <c r="AB256" s="56"/>
      <c r="AC256" s="307" t="s">
        <v>412</v>
      </c>
      <c r="AG256" s="63"/>
      <c r="AJ256" s="66"/>
      <c r="AK256" s="66">
        <v>0</v>
      </c>
      <c r="BB256" s="308" t="s">
        <v>1</v>
      </c>
      <c r="BM256" s="63">
        <f>IFERROR(X256*I256/H256,"0")</f>
        <v>0</v>
      </c>
      <c r="BN256" s="63">
        <f>IFERROR(Y256*I256/H256,"0")</f>
        <v>0</v>
      </c>
      <c r="BO256" s="63">
        <f>IFERROR(1/J256*(X256/H256),"0")</f>
        <v>0</v>
      </c>
      <c r="BP256" s="63">
        <f>IFERROR(1/J256*(Y256/H256),"0")</f>
        <v>0</v>
      </c>
    </row>
    <row r="257" spans="1:68" ht="27" hidden="1" customHeight="1" x14ac:dyDescent="0.25">
      <c r="A257" s="53" t="s">
        <v>413</v>
      </c>
      <c r="B257" s="53" t="s">
        <v>414</v>
      </c>
      <c r="C257" s="30">
        <v>4301011850</v>
      </c>
      <c r="D257" s="594">
        <v>4680115885806</v>
      </c>
      <c r="E257" s="595"/>
      <c r="F257" s="574">
        <v>1.35</v>
      </c>
      <c r="G257" s="31">
        <v>8</v>
      </c>
      <c r="H257" s="574">
        <v>10.8</v>
      </c>
      <c r="I257" s="574">
        <v>11.234999999999999</v>
      </c>
      <c r="J257" s="31">
        <v>64</v>
      </c>
      <c r="K257" s="31" t="s">
        <v>107</v>
      </c>
      <c r="L257" s="31"/>
      <c r="M257" s="32" t="s">
        <v>108</v>
      </c>
      <c r="N257" s="32"/>
      <c r="O257" s="31">
        <v>55</v>
      </c>
      <c r="P257" s="8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3"/>
      <c r="V257" s="33"/>
      <c r="W257" s="34" t="s">
        <v>71</v>
      </c>
      <c r="X257" s="575">
        <v>0</v>
      </c>
      <c r="Y257" s="576">
        <f>IFERROR(IF(X257="",0,CEILING((X257/$H257),1)*$H257),"")</f>
        <v>0</v>
      </c>
      <c r="Z257" s="35" t="str">
        <f>IFERROR(IF(Y257=0,"",ROUNDUP(Y257/H257,0)*0.01898),"")</f>
        <v/>
      </c>
      <c r="AA257" s="55"/>
      <c r="AB257" s="56"/>
      <c r="AC257" s="309" t="s">
        <v>415</v>
      </c>
      <c r="AG257" s="63"/>
      <c r="AJ257" s="66"/>
      <c r="AK257" s="66">
        <v>0</v>
      </c>
      <c r="BB257" s="310" t="s">
        <v>1</v>
      </c>
      <c r="BM257" s="63">
        <f>IFERROR(X257*I257/H257,"0")</f>
        <v>0</v>
      </c>
      <c r="BN257" s="63">
        <f>IFERROR(Y257*I257/H257,"0")</f>
        <v>0</v>
      </c>
      <c r="BO257" s="63">
        <f>IFERROR(1/J257*(X257/H257),"0")</f>
        <v>0</v>
      </c>
      <c r="BP257" s="63">
        <f>IFERROR(1/J257*(Y257/H257),"0")</f>
        <v>0</v>
      </c>
    </row>
    <row r="258" spans="1:68" ht="37.5" hidden="1" customHeight="1" x14ac:dyDescent="0.25">
      <c r="A258" s="53" t="s">
        <v>416</v>
      </c>
      <c r="B258" s="53" t="s">
        <v>417</v>
      </c>
      <c r="C258" s="30">
        <v>4301011853</v>
      </c>
      <c r="D258" s="594">
        <v>4680115885851</v>
      </c>
      <c r="E258" s="595"/>
      <c r="F258" s="574">
        <v>1.35</v>
      </c>
      <c r="G258" s="31">
        <v>8</v>
      </c>
      <c r="H258" s="574">
        <v>10.8</v>
      </c>
      <c r="I258" s="574">
        <v>11.234999999999999</v>
      </c>
      <c r="J258" s="31">
        <v>64</v>
      </c>
      <c r="K258" s="31" t="s">
        <v>107</v>
      </c>
      <c r="L258" s="31"/>
      <c r="M258" s="32" t="s">
        <v>108</v>
      </c>
      <c r="N258" s="32"/>
      <c r="O258" s="31">
        <v>55</v>
      </c>
      <c r="P258" s="6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3"/>
      <c r="V258" s="33"/>
      <c r="W258" s="34" t="s">
        <v>71</v>
      </c>
      <c r="X258" s="575">
        <v>0</v>
      </c>
      <c r="Y258" s="576">
        <f>IFERROR(IF(X258="",0,CEILING((X258/$H258),1)*$H258),"")</f>
        <v>0</v>
      </c>
      <c r="Z258" s="35" t="str">
        <f>IFERROR(IF(Y258=0,"",ROUNDUP(Y258/H258,0)*0.01898),"")</f>
        <v/>
      </c>
      <c r="AA258" s="55"/>
      <c r="AB258" s="56"/>
      <c r="AC258" s="311" t="s">
        <v>418</v>
      </c>
      <c r="AG258" s="63"/>
      <c r="AJ258" s="66"/>
      <c r="AK258" s="66">
        <v>0</v>
      </c>
      <c r="BB258" s="312" t="s">
        <v>1</v>
      </c>
      <c r="BM258" s="63">
        <f>IFERROR(X258*I258/H258,"0")</f>
        <v>0</v>
      </c>
      <c r="BN258" s="63">
        <f>IFERROR(Y258*I258/H258,"0")</f>
        <v>0</v>
      </c>
      <c r="BO258" s="63">
        <f>IFERROR(1/J258*(X258/H258),"0")</f>
        <v>0</v>
      </c>
      <c r="BP258" s="63">
        <f>IFERROR(1/J258*(Y258/H258),"0")</f>
        <v>0</v>
      </c>
    </row>
    <row r="259" spans="1:68" ht="27" hidden="1" customHeight="1" x14ac:dyDescent="0.25">
      <c r="A259" s="53" t="s">
        <v>419</v>
      </c>
      <c r="B259" s="53" t="s">
        <v>420</v>
      </c>
      <c r="C259" s="30">
        <v>4301011852</v>
      </c>
      <c r="D259" s="594">
        <v>4680115885844</v>
      </c>
      <c r="E259" s="595"/>
      <c r="F259" s="574">
        <v>0.4</v>
      </c>
      <c r="G259" s="31">
        <v>10</v>
      </c>
      <c r="H259" s="574">
        <v>4</v>
      </c>
      <c r="I259" s="574">
        <v>4.21</v>
      </c>
      <c r="J259" s="31">
        <v>132</v>
      </c>
      <c r="K259" s="31" t="s">
        <v>112</v>
      </c>
      <c r="L259" s="31"/>
      <c r="M259" s="32" t="s">
        <v>108</v>
      </c>
      <c r="N259" s="32"/>
      <c r="O259" s="31">
        <v>55</v>
      </c>
      <c r="P25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3"/>
      <c r="V259" s="33"/>
      <c r="W259" s="34" t="s">
        <v>71</v>
      </c>
      <c r="X259" s="575">
        <v>0</v>
      </c>
      <c r="Y259" s="576">
        <f>IFERROR(IF(X259="",0,CEILING((X259/$H259),1)*$H259),"")</f>
        <v>0</v>
      </c>
      <c r="Z259" s="35" t="str">
        <f>IFERROR(IF(Y259=0,"",ROUNDUP(Y259/H259,0)*0.00902),"")</f>
        <v/>
      </c>
      <c r="AA259" s="55"/>
      <c r="AB259" s="56"/>
      <c r="AC259" s="313" t="s">
        <v>421</v>
      </c>
      <c r="AG259" s="63"/>
      <c r="AJ259" s="66"/>
      <c r="AK259" s="66">
        <v>0</v>
      </c>
      <c r="BB259" s="314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hidden="1" customHeight="1" x14ac:dyDescent="0.25">
      <c r="A260" s="53" t="s">
        <v>422</v>
      </c>
      <c r="B260" s="53" t="s">
        <v>423</v>
      </c>
      <c r="C260" s="30">
        <v>4301011851</v>
      </c>
      <c r="D260" s="594">
        <v>4680115885820</v>
      </c>
      <c r="E260" s="595"/>
      <c r="F260" s="574">
        <v>0.4</v>
      </c>
      <c r="G260" s="31">
        <v>10</v>
      </c>
      <c r="H260" s="574">
        <v>4</v>
      </c>
      <c r="I260" s="574">
        <v>4.21</v>
      </c>
      <c r="J260" s="31">
        <v>132</v>
      </c>
      <c r="K260" s="31" t="s">
        <v>112</v>
      </c>
      <c r="L260" s="31"/>
      <c r="M260" s="32" t="s">
        <v>108</v>
      </c>
      <c r="N260" s="32"/>
      <c r="O260" s="31">
        <v>55</v>
      </c>
      <c r="P260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3"/>
      <c r="V260" s="33"/>
      <c r="W260" s="34" t="s">
        <v>71</v>
      </c>
      <c r="X260" s="575">
        <v>0</v>
      </c>
      <c r="Y260" s="576">
        <f>IFERROR(IF(X260="",0,CEILING((X260/$H260),1)*$H260),"")</f>
        <v>0</v>
      </c>
      <c r="Z260" s="35" t="str">
        <f>IFERROR(IF(Y260=0,"",ROUNDUP(Y260/H260,0)*0.00902),"")</f>
        <v/>
      </c>
      <c r="AA260" s="55"/>
      <c r="AB260" s="56"/>
      <c r="AC260" s="315" t="s">
        <v>424</v>
      </c>
      <c r="AG260" s="63"/>
      <c r="AJ260" s="66"/>
      <c r="AK260" s="66">
        <v>0</v>
      </c>
      <c r="BB260" s="316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hidden="1" x14ac:dyDescent="0.2">
      <c r="A261" s="592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3"/>
      <c r="P261" s="584" t="s">
        <v>73</v>
      </c>
      <c r="Q261" s="585"/>
      <c r="R261" s="585"/>
      <c r="S261" s="585"/>
      <c r="T261" s="585"/>
      <c r="U261" s="585"/>
      <c r="V261" s="586"/>
      <c r="W261" s="36" t="s">
        <v>74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3"/>
      <c r="P262" s="584" t="s">
        <v>73</v>
      </c>
      <c r="Q262" s="585"/>
      <c r="R262" s="585"/>
      <c r="S262" s="585"/>
      <c r="T262" s="585"/>
      <c r="U262" s="585"/>
      <c r="V262" s="586"/>
      <c r="W262" s="36" t="s">
        <v>71</v>
      </c>
      <c r="X262" s="577">
        <f>IFERROR(SUM(X256:X260),"0")</f>
        <v>0</v>
      </c>
      <c r="Y262" s="577">
        <f>IFERROR(SUM(Y256:Y260),"0")</f>
        <v>0</v>
      </c>
      <c r="Z262" s="36"/>
      <c r="AA262" s="578"/>
      <c r="AB262" s="578"/>
      <c r="AC262" s="578"/>
    </row>
    <row r="263" spans="1:68" ht="16.5" hidden="1" customHeight="1" x14ac:dyDescent="0.25">
      <c r="A263" s="648" t="s">
        <v>425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1"/>
      <c r="AB263" s="571"/>
      <c r="AC263" s="571"/>
    </row>
    <row r="264" spans="1:68" ht="14.25" hidden="1" customHeight="1" x14ac:dyDescent="0.25">
      <c r="A264" s="587" t="s">
        <v>104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65"/>
      <c r="AB264" s="565"/>
      <c r="AC264" s="565"/>
    </row>
    <row r="265" spans="1:68" ht="27" hidden="1" customHeight="1" x14ac:dyDescent="0.25">
      <c r="A265" s="53" t="s">
        <v>426</v>
      </c>
      <c r="B265" s="53" t="s">
        <v>427</v>
      </c>
      <c r="C265" s="30">
        <v>4301011223</v>
      </c>
      <c r="D265" s="594">
        <v>4607091383423</v>
      </c>
      <c r="E265" s="595"/>
      <c r="F265" s="574">
        <v>1.35</v>
      </c>
      <c r="G265" s="31">
        <v>8</v>
      </c>
      <c r="H265" s="574">
        <v>10.8</v>
      </c>
      <c r="I265" s="574">
        <v>11.331</v>
      </c>
      <c r="J265" s="31">
        <v>64</v>
      </c>
      <c r="K265" s="31" t="s">
        <v>107</v>
      </c>
      <c r="L265" s="31"/>
      <c r="M265" s="32" t="s">
        <v>79</v>
      </c>
      <c r="N265" s="32"/>
      <c r="O265" s="31">
        <v>35</v>
      </c>
      <c r="P265" s="6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3"/>
      <c r="V265" s="33"/>
      <c r="W265" s="34" t="s">
        <v>71</v>
      </c>
      <c r="X265" s="575">
        <v>0</v>
      </c>
      <c r="Y265" s="576">
        <f>IFERROR(IF(X265="",0,CEILING((X265/$H265),1)*$H265),"")</f>
        <v>0</v>
      </c>
      <c r="Z265" s="35" t="str">
        <f>IFERROR(IF(Y265=0,"",ROUNDUP(Y265/H265,0)*0.01898),"")</f>
        <v/>
      </c>
      <c r="AA265" s="55"/>
      <c r="AB265" s="56"/>
      <c r="AC265" s="317" t="s">
        <v>109</v>
      </c>
      <c r="AG265" s="63"/>
      <c r="AJ265" s="66"/>
      <c r="AK265" s="66">
        <v>0</v>
      </c>
      <c r="BB265" s="318" t="s">
        <v>1</v>
      </c>
      <c r="BM265" s="63">
        <f>IFERROR(X265*I265/H265,"0")</f>
        <v>0</v>
      </c>
      <c r="BN265" s="63">
        <f>IFERROR(Y265*I265/H265,"0")</f>
        <v>0</v>
      </c>
      <c r="BO265" s="63">
        <f>IFERROR(1/J265*(X265/H265),"0")</f>
        <v>0</v>
      </c>
      <c r="BP265" s="63">
        <f>IFERROR(1/J265*(Y265/H265),"0")</f>
        <v>0</v>
      </c>
    </row>
    <row r="266" spans="1:68" ht="37.5" hidden="1" customHeight="1" x14ac:dyDescent="0.25">
      <c r="A266" s="53" t="s">
        <v>428</v>
      </c>
      <c r="B266" s="53" t="s">
        <v>429</v>
      </c>
      <c r="C266" s="30">
        <v>4301012099</v>
      </c>
      <c r="D266" s="594">
        <v>4680115885691</v>
      </c>
      <c r="E266" s="595"/>
      <c r="F266" s="574">
        <v>1.35</v>
      </c>
      <c r="G266" s="31">
        <v>8</v>
      </c>
      <c r="H266" s="574">
        <v>10.8</v>
      </c>
      <c r="I266" s="574">
        <v>11.234999999999999</v>
      </c>
      <c r="J266" s="31">
        <v>64</v>
      </c>
      <c r="K266" s="31" t="s">
        <v>107</v>
      </c>
      <c r="L266" s="31"/>
      <c r="M266" s="32" t="s">
        <v>79</v>
      </c>
      <c r="N266" s="32"/>
      <c r="O266" s="31">
        <v>30</v>
      </c>
      <c r="P266" s="6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3"/>
      <c r="V266" s="33"/>
      <c r="W266" s="34" t="s">
        <v>71</v>
      </c>
      <c r="X266" s="575">
        <v>0</v>
      </c>
      <c r="Y266" s="576">
        <f>IFERROR(IF(X266="",0,CEILING((X266/$H266),1)*$H266),"")</f>
        <v>0</v>
      </c>
      <c r="Z266" s="35" t="str">
        <f>IFERROR(IF(Y266=0,"",ROUNDUP(Y266/H266,0)*0.01898),"")</f>
        <v/>
      </c>
      <c r="AA266" s="55"/>
      <c r="AB266" s="56"/>
      <c r="AC266" s="319" t="s">
        <v>430</v>
      </c>
      <c r="AG266" s="63"/>
      <c r="AJ266" s="66"/>
      <c r="AK266" s="66">
        <v>0</v>
      </c>
      <c r="BB266" s="320" t="s">
        <v>1</v>
      </c>
      <c r="BM266" s="63">
        <f>IFERROR(X266*I266/H266,"0")</f>
        <v>0</v>
      </c>
      <c r="BN266" s="63">
        <f>IFERROR(Y266*I266/H266,"0")</f>
        <v>0</v>
      </c>
      <c r="BO266" s="63">
        <f>IFERROR(1/J266*(X266/H266),"0")</f>
        <v>0</v>
      </c>
      <c r="BP266" s="63">
        <f>IFERROR(1/J266*(Y266/H266),"0")</f>
        <v>0</v>
      </c>
    </row>
    <row r="267" spans="1:68" ht="27" hidden="1" customHeight="1" x14ac:dyDescent="0.25">
      <c r="A267" s="53" t="s">
        <v>431</v>
      </c>
      <c r="B267" s="53" t="s">
        <v>432</v>
      </c>
      <c r="C267" s="30">
        <v>4301012098</v>
      </c>
      <c r="D267" s="594">
        <v>4680115885660</v>
      </c>
      <c r="E267" s="595"/>
      <c r="F267" s="574">
        <v>1.35</v>
      </c>
      <c r="G267" s="31">
        <v>8</v>
      </c>
      <c r="H267" s="574">
        <v>10.8</v>
      </c>
      <c r="I267" s="574">
        <v>11.234999999999999</v>
      </c>
      <c r="J267" s="31">
        <v>64</v>
      </c>
      <c r="K267" s="31" t="s">
        <v>107</v>
      </c>
      <c r="L267" s="31"/>
      <c r="M267" s="32" t="s">
        <v>79</v>
      </c>
      <c r="N267" s="32"/>
      <c r="O267" s="31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3"/>
      <c r="V267" s="33"/>
      <c r="W267" s="34" t="s">
        <v>71</v>
      </c>
      <c r="X267" s="575">
        <v>0</v>
      </c>
      <c r="Y267" s="576">
        <f>IFERROR(IF(X267="",0,CEILING((X267/$H267),1)*$H267),"")</f>
        <v>0</v>
      </c>
      <c r="Z267" s="35" t="str">
        <f>IFERROR(IF(Y267=0,"",ROUNDUP(Y267/H267,0)*0.01898),"")</f>
        <v/>
      </c>
      <c r="AA267" s="55"/>
      <c r="AB267" s="56"/>
      <c r="AC267" s="321" t="s">
        <v>433</v>
      </c>
      <c r="AG267" s="63"/>
      <c r="AJ267" s="66"/>
      <c r="AK267" s="66">
        <v>0</v>
      </c>
      <c r="BB267" s="322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37.5" hidden="1" customHeight="1" x14ac:dyDescent="0.25">
      <c r="A268" s="53" t="s">
        <v>434</v>
      </c>
      <c r="B268" s="53" t="s">
        <v>435</v>
      </c>
      <c r="C268" s="30">
        <v>4301012176</v>
      </c>
      <c r="D268" s="594">
        <v>4680115886773</v>
      </c>
      <c r="E268" s="595"/>
      <c r="F268" s="574">
        <v>0.9</v>
      </c>
      <c r="G268" s="31">
        <v>10</v>
      </c>
      <c r="H268" s="574">
        <v>9</v>
      </c>
      <c r="I268" s="574">
        <v>9.4350000000000005</v>
      </c>
      <c r="J268" s="31">
        <v>64</v>
      </c>
      <c r="K268" s="31" t="s">
        <v>107</v>
      </c>
      <c r="L268" s="31"/>
      <c r="M268" s="32" t="s">
        <v>108</v>
      </c>
      <c r="N268" s="32"/>
      <c r="O268" s="31">
        <v>31</v>
      </c>
      <c r="P268" s="674" t="s">
        <v>436</v>
      </c>
      <c r="Q268" s="580"/>
      <c r="R268" s="580"/>
      <c r="S268" s="580"/>
      <c r="T268" s="581"/>
      <c r="U268" s="33"/>
      <c r="V268" s="33"/>
      <c r="W268" s="34" t="s">
        <v>71</v>
      </c>
      <c r="X268" s="575">
        <v>0</v>
      </c>
      <c r="Y268" s="576">
        <f>IFERROR(IF(X268="",0,CEILING((X268/$H268),1)*$H268),"")</f>
        <v>0</v>
      </c>
      <c r="Z268" s="35" t="str">
        <f>IFERROR(IF(Y268=0,"",ROUNDUP(Y268/H268,0)*0.01898),"")</f>
        <v/>
      </c>
      <c r="AA268" s="55"/>
      <c r="AB268" s="56"/>
      <c r="AC268" s="323" t="s">
        <v>437</v>
      </c>
      <c r="AG268" s="63"/>
      <c r="AJ268" s="66"/>
      <c r="AK268" s="66">
        <v>0</v>
      </c>
      <c r="BB268" s="324" t="s">
        <v>1</v>
      </c>
      <c r="BM268" s="63">
        <f>IFERROR(X268*I268/H268,"0")</f>
        <v>0</v>
      </c>
      <c r="BN268" s="63">
        <f>IFERROR(Y268*I268/H268,"0")</f>
        <v>0</v>
      </c>
      <c r="BO268" s="63">
        <f>IFERROR(1/J268*(X268/H268),"0")</f>
        <v>0</v>
      </c>
      <c r="BP268" s="63">
        <f>IFERROR(1/J268*(Y268/H268),"0")</f>
        <v>0</v>
      </c>
    </row>
    <row r="269" spans="1:68" hidden="1" x14ac:dyDescent="0.2">
      <c r="A269" s="592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3"/>
      <c r="P269" s="584" t="s">
        <v>73</v>
      </c>
      <c r="Q269" s="585"/>
      <c r="R269" s="585"/>
      <c r="S269" s="585"/>
      <c r="T269" s="585"/>
      <c r="U269" s="585"/>
      <c r="V269" s="586"/>
      <c r="W269" s="36" t="s">
        <v>74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3"/>
      <c r="P270" s="584" t="s">
        <v>73</v>
      </c>
      <c r="Q270" s="585"/>
      <c r="R270" s="585"/>
      <c r="S270" s="585"/>
      <c r="T270" s="585"/>
      <c r="U270" s="585"/>
      <c r="V270" s="586"/>
      <c r="W270" s="36" t="s">
        <v>71</v>
      </c>
      <c r="X270" s="577">
        <f>IFERROR(SUM(X265:X268),"0")</f>
        <v>0</v>
      </c>
      <c r="Y270" s="577">
        <f>IFERROR(SUM(Y265:Y268),"0")</f>
        <v>0</v>
      </c>
      <c r="Z270" s="36"/>
      <c r="AA270" s="578"/>
      <c r="AB270" s="578"/>
      <c r="AC270" s="578"/>
    </row>
    <row r="271" spans="1:68" ht="16.5" hidden="1" customHeight="1" x14ac:dyDescent="0.25">
      <c r="A271" s="648" t="s">
        <v>438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1"/>
      <c r="AB271" s="571"/>
      <c r="AC271" s="571"/>
    </row>
    <row r="272" spans="1:68" ht="14.25" hidden="1" customHeight="1" x14ac:dyDescent="0.25">
      <c r="A272" s="587" t="s">
        <v>75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65"/>
      <c r="AB272" s="565"/>
      <c r="AC272" s="565"/>
    </row>
    <row r="273" spans="1:68" ht="27" hidden="1" customHeight="1" x14ac:dyDescent="0.25">
      <c r="A273" s="53" t="s">
        <v>439</v>
      </c>
      <c r="B273" s="53" t="s">
        <v>440</v>
      </c>
      <c r="C273" s="30">
        <v>4301051893</v>
      </c>
      <c r="D273" s="594">
        <v>4680115886186</v>
      </c>
      <c r="E273" s="595"/>
      <c r="F273" s="574">
        <v>0.3</v>
      </c>
      <c r="G273" s="31">
        <v>6</v>
      </c>
      <c r="H273" s="574">
        <v>1.8</v>
      </c>
      <c r="I273" s="574">
        <v>1.98</v>
      </c>
      <c r="J273" s="31">
        <v>182</v>
      </c>
      <c r="K273" s="31" t="s">
        <v>78</v>
      </c>
      <c r="L273" s="31"/>
      <c r="M273" s="32" t="s">
        <v>79</v>
      </c>
      <c r="N273" s="32"/>
      <c r="O273" s="31">
        <v>45</v>
      </c>
      <c r="P273" s="6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3"/>
      <c r="V273" s="33"/>
      <c r="W273" s="34" t="s">
        <v>71</v>
      </c>
      <c r="X273" s="575">
        <v>0</v>
      </c>
      <c r="Y273" s="576">
        <f>IFERROR(IF(X273="",0,CEILING((X273/$H273),1)*$H273),"")</f>
        <v>0</v>
      </c>
      <c r="Z273" s="35" t="str">
        <f>IFERROR(IF(Y273=0,"",ROUNDUP(Y273/H273,0)*0.00651),"")</f>
        <v/>
      </c>
      <c r="AA273" s="55"/>
      <c r="AB273" s="56"/>
      <c r="AC273" s="325" t="s">
        <v>441</v>
      </c>
      <c r="AG273" s="63"/>
      <c r="AJ273" s="66"/>
      <c r="AK273" s="66">
        <v>0</v>
      </c>
      <c r="BB273" s="326" t="s">
        <v>1</v>
      </c>
      <c r="BM273" s="63">
        <f>IFERROR(X273*I273/H273,"0")</f>
        <v>0</v>
      </c>
      <c r="BN273" s="63">
        <f>IFERROR(Y273*I273/H273,"0")</f>
        <v>0</v>
      </c>
      <c r="BO273" s="63">
        <f>IFERROR(1/J273*(X273/H273),"0")</f>
        <v>0</v>
      </c>
      <c r="BP273" s="63">
        <f>IFERROR(1/J273*(Y273/H273),"0")</f>
        <v>0</v>
      </c>
    </row>
    <row r="274" spans="1:68" ht="27" customHeight="1" x14ac:dyDescent="0.25">
      <c r="A274" s="53" t="s">
        <v>442</v>
      </c>
      <c r="B274" s="53" t="s">
        <v>443</v>
      </c>
      <c r="C274" s="30">
        <v>4301051795</v>
      </c>
      <c r="D274" s="594">
        <v>4680115881228</v>
      </c>
      <c r="E274" s="595"/>
      <c r="F274" s="574">
        <v>0.4</v>
      </c>
      <c r="G274" s="31">
        <v>6</v>
      </c>
      <c r="H274" s="574">
        <v>2.4</v>
      </c>
      <c r="I274" s="574">
        <v>2.6520000000000001</v>
      </c>
      <c r="J274" s="31">
        <v>182</v>
      </c>
      <c r="K274" s="31" t="s">
        <v>78</v>
      </c>
      <c r="L274" s="31"/>
      <c r="M274" s="32" t="s">
        <v>94</v>
      </c>
      <c r="N274" s="32"/>
      <c r="O274" s="31">
        <v>40</v>
      </c>
      <c r="P274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3"/>
      <c r="V274" s="33"/>
      <c r="W274" s="34" t="s">
        <v>71</v>
      </c>
      <c r="X274" s="575">
        <v>2</v>
      </c>
      <c r="Y274" s="576">
        <f>IFERROR(IF(X274="",0,CEILING((X274/$H274),1)*$H274),"")</f>
        <v>2.4</v>
      </c>
      <c r="Z274" s="35">
        <f>IFERROR(IF(Y274=0,"",ROUNDUP(Y274/H274,0)*0.00651),"")</f>
        <v>6.5100000000000002E-3</v>
      </c>
      <c r="AA274" s="55"/>
      <c r="AB274" s="56"/>
      <c r="AC274" s="327" t="s">
        <v>444</v>
      </c>
      <c r="AG274" s="63"/>
      <c r="AJ274" s="66"/>
      <c r="AK274" s="66">
        <v>0</v>
      </c>
      <c r="BB274" s="328" t="s">
        <v>1</v>
      </c>
      <c r="BM274" s="63">
        <f>IFERROR(X274*I274/H274,"0")</f>
        <v>2.2100000000000004</v>
      </c>
      <c r="BN274" s="63">
        <f>IFERROR(Y274*I274/H274,"0")</f>
        <v>2.6520000000000001</v>
      </c>
      <c r="BO274" s="63">
        <f>IFERROR(1/J274*(X274/H274),"0")</f>
        <v>4.578754578754579E-3</v>
      </c>
      <c r="BP274" s="63">
        <f>IFERROR(1/J274*(Y274/H274),"0")</f>
        <v>5.4945054945054949E-3</v>
      </c>
    </row>
    <row r="275" spans="1:68" ht="37.5" customHeight="1" x14ac:dyDescent="0.25">
      <c r="A275" s="53" t="s">
        <v>445</v>
      </c>
      <c r="B275" s="53" t="s">
        <v>446</v>
      </c>
      <c r="C275" s="30">
        <v>4301051388</v>
      </c>
      <c r="D275" s="594">
        <v>4680115881211</v>
      </c>
      <c r="E275" s="595"/>
      <c r="F275" s="574">
        <v>0.4</v>
      </c>
      <c r="G275" s="31">
        <v>6</v>
      </c>
      <c r="H275" s="574">
        <v>2.4</v>
      </c>
      <c r="I275" s="574">
        <v>2.58</v>
      </c>
      <c r="J275" s="31">
        <v>182</v>
      </c>
      <c r="K275" s="31" t="s">
        <v>78</v>
      </c>
      <c r="L275" s="31" t="s">
        <v>115</v>
      </c>
      <c r="M275" s="32" t="s">
        <v>79</v>
      </c>
      <c r="N275" s="32"/>
      <c r="O275" s="31">
        <v>45</v>
      </c>
      <c r="P275" s="6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3"/>
      <c r="V275" s="33"/>
      <c r="W275" s="34" t="s">
        <v>71</v>
      </c>
      <c r="X275" s="575">
        <v>16</v>
      </c>
      <c r="Y275" s="576">
        <f>IFERROR(IF(X275="",0,CEILING((X275/$H275),1)*$H275),"")</f>
        <v>16.8</v>
      </c>
      <c r="Z275" s="35">
        <f>IFERROR(IF(Y275=0,"",ROUNDUP(Y275/H275,0)*0.00651),"")</f>
        <v>4.5569999999999999E-2</v>
      </c>
      <c r="AA275" s="55"/>
      <c r="AB275" s="56"/>
      <c r="AC275" s="329" t="s">
        <v>447</v>
      </c>
      <c r="AG275" s="63"/>
      <c r="AJ275" s="66" t="s">
        <v>116</v>
      </c>
      <c r="AK275" s="66">
        <v>33.6</v>
      </c>
      <c r="BB275" s="330" t="s">
        <v>1</v>
      </c>
      <c r="BM275" s="63">
        <f>IFERROR(X275*I275/H275,"0")</f>
        <v>17.200000000000003</v>
      </c>
      <c r="BN275" s="63">
        <f>IFERROR(Y275*I275/H275,"0")</f>
        <v>18.060000000000002</v>
      </c>
      <c r="BO275" s="63">
        <f>IFERROR(1/J275*(X275/H275),"0")</f>
        <v>3.6630036630036632E-2</v>
      </c>
      <c r="BP275" s="63">
        <f>IFERROR(1/J275*(Y275/H275),"0")</f>
        <v>3.8461538461538471E-2</v>
      </c>
    </row>
    <row r="276" spans="1:68" x14ac:dyDescent="0.2">
      <c r="A276" s="592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3"/>
      <c r="P276" s="584" t="s">
        <v>73</v>
      </c>
      <c r="Q276" s="585"/>
      <c r="R276" s="585"/>
      <c r="S276" s="585"/>
      <c r="T276" s="585"/>
      <c r="U276" s="585"/>
      <c r="V276" s="586"/>
      <c r="W276" s="36" t="s">
        <v>74</v>
      </c>
      <c r="X276" s="577">
        <f>IFERROR(X273/H273,"0")+IFERROR(X274/H274,"0")+IFERROR(X275/H275,"0")</f>
        <v>7.5</v>
      </c>
      <c r="Y276" s="577">
        <f>IFERROR(Y273/H273,"0")+IFERROR(Y274/H274,"0")+IFERROR(Y275/H275,"0")</f>
        <v>8</v>
      </c>
      <c r="Z276" s="577">
        <f>IFERROR(IF(Z273="",0,Z273),"0")+IFERROR(IF(Z274="",0,Z274),"0")+IFERROR(IF(Z275="",0,Z275),"0")</f>
        <v>5.2080000000000001E-2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3"/>
      <c r="P277" s="584" t="s">
        <v>73</v>
      </c>
      <c r="Q277" s="585"/>
      <c r="R277" s="585"/>
      <c r="S277" s="585"/>
      <c r="T277" s="585"/>
      <c r="U277" s="585"/>
      <c r="V277" s="586"/>
      <c r="W277" s="36" t="s">
        <v>71</v>
      </c>
      <c r="X277" s="577">
        <f>IFERROR(SUM(X273:X275),"0")</f>
        <v>18</v>
      </c>
      <c r="Y277" s="577">
        <f>IFERROR(SUM(Y273:Y275),"0")</f>
        <v>19.2</v>
      </c>
      <c r="Z277" s="36"/>
      <c r="AA277" s="578"/>
      <c r="AB277" s="578"/>
      <c r="AC277" s="578"/>
    </row>
    <row r="278" spans="1:68" ht="16.5" hidden="1" customHeight="1" x14ac:dyDescent="0.25">
      <c r="A278" s="648" t="s">
        <v>448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1"/>
      <c r="AB278" s="571"/>
      <c r="AC278" s="571"/>
    </row>
    <row r="279" spans="1:68" ht="14.25" hidden="1" customHeight="1" x14ac:dyDescent="0.25">
      <c r="A279" s="587" t="s">
        <v>65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65"/>
      <c r="AB279" s="565"/>
      <c r="AC279" s="565"/>
    </row>
    <row r="280" spans="1:68" ht="27" hidden="1" customHeight="1" x14ac:dyDescent="0.25">
      <c r="A280" s="53" t="s">
        <v>449</v>
      </c>
      <c r="B280" s="53" t="s">
        <v>450</v>
      </c>
      <c r="C280" s="30">
        <v>4301031307</v>
      </c>
      <c r="D280" s="594">
        <v>4680115880344</v>
      </c>
      <c r="E280" s="595"/>
      <c r="F280" s="574">
        <v>0.28000000000000003</v>
      </c>
      <c r="G280" s="31">
        <v>6</v>
      </c>
      <c r="H280" s="574">
        <v>1.68</v>
      </c>
      <c r="I280" s="574">
        <v>1.78</v>
      </c>
      <c r="J280" s="31">
        <v>234</v>
      </c>
      <c r="K280" s="31" t="s">
        <v>68</v>
      </c>
      <c r="L280" s="31"/>
      <c r="M280" s="32" t="s">
        <v>69</v>
      </c>
      <c r="N280" s="32"/>
      <c r="O280" s="31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3"/>
      <c r="V280" s="33"/>
      <c r="W280" s="34" t="s">
        <v>71</v>
      </c>
      <c r="X280" s="575">
        <v>0</v>
      </c>
      <c r="Y280" s="576">
        <f>IFERROR(IF(X280="",0,CEILING((X280/$H280),1)*$H280),"")</f>
        <v>0</v>
      </c>
      <c r="Z280" s="35" t="str">
        <f>IFERROR(IF(Y280=0,"",ROUNDUP(Y280/H280,0)*0.00502),"")</f>
        <v/>
      </c>
      <c r="AA280" s="55"/>
      <c r="AB280" s="56"/>
      <c r="AC280" s="331" t="s">
        <v>451</v>
      </c>
      <c r="AG280" s="63"/>
      <c r="AJ280" s="66"/>
      <c r="AK280" s="66">
        <v>0</v>
      </c>
      <c r="BB280" s="332" t="s">
        <v>1</v>
      </c>
      <c r="BM280" s="63">
        <f>IFERROR(X280*I280/H280,"0")</f>
        <v>0</v>
      </c>
      <c r="BN280" s="63">
        <f>IFERROR(Y280*I280/H280,"0")</f>
        <v>0</v>
      </c>
      <c r="BO280" s="63">
        <f>IFERROR(1/J280*(X280/H280),"0")</f>
        <v>0</v>
      </c>
      <c r="BP280" s="63">
        <f>IFERROR(1/J280*(Y280/H280),"0")</f>
        <v>0</v>
      </c>
    </row>
    <row r="281" spans="1:68" hidden="1" x14ac:dyDescent="0.2">
      <c r="A281" s="592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3"/>
      <c r="P281" s="584" t="s">
        <v>73</v>
      </c>
      <c r="Q281" s="585"/>
      <c r="R281" s="585"/>
      <c r="S281" s="585"/>
      <c r="T281" s="585"/>
      <c r="U281" s="585"/>
      <c r="V281" s="586"/>
      <c r="W281" s="36" t="s">
        <v>74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3"/>
      <c r="P282" s="584" t="s">
        <v>73</v>
      </c>
      <c r="Q282" s="585"/>
      <c r="R282" s="585"/>
      <c r="S282" s="585"/>
      <c r="T282" s="585"/>
      <c r="U282" s="585"/>
      <c r="V282" s="586"/>
      <c r="W282" s="36" t="s">
        <v>71</v>
      </c>
      <c r="X282" s="577">
        <f>IFERROR(SUM(X280:X280),"0")</f>
        <v>0</v>
      </c>
      <c r="Y282" s="577">
        <f>IFERROR(SUM(Y280:Y280),"0")</f>
        <v>0</v>
      </c>
      <c r="Z282" s="36"/>
      <c r="AA282" s="578"/>
      <c r="AB282" s="578"/>
      <c r="AC282" s="578"/>
    </row>
    <row r="283" spans="1:68" ht="14.25" hidden="1" customHeight="1" x14ac:dyDescent="0.25">
      <c r="A283" s="587" t="s">
        <v>75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65"/>
      <c r="AB283" s="565"/>
      <c r="AC283" s="565"/>
    </row>
    <row r="284" spans="1:68" ht="27" hidden="1" customHeight="1" x14ac:dyDescent="0.25">
      <c r="A284" s="53" t="s">
        <v>452</v>
      </c>
      <c r="B284" s="53" t="s">
        <v>453</v>
      </c>
      <c r="C284" s="30">
        <v>4301051782</v>
      </c>
      <c r="D284" s="594">
        <v>4680115884618</v>
      </c>
      <c r="E284" s="595"/>
      <c r="F284" s="574">
        <v>0.6</v>
      </c>
      <c r="G284" s="31">
        <v>6</v>
      </c>
      <c r="H284" s="574">
        <v>3.6</v>
      </c>
      <c r="I284" s="574">
        <v>3.81</v>
      </c>
      <c r="J284" s="31">
        <v>132</v>
      </c>
      <c r="K284" s="31" t="s">
        <v>112</v>
      </c>
      <c r="L284" s="31"/>
      <c r="M284" s="32" t="s">
        <v>79</v>
      </c>
      <c r="N284" s="32"/>
      <c r="O284" s="31">
        <v>45</v>
      </c>
      <c r="P284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3"/>
      <c r="V284" s="33"/>
      <c r="W284" s="34" t="s">
        <v>71</v>
      </c>
      <c r="X284" s="575">
        <v>0</v>
      </c>
      <c r="Y284" s="576">
        <f>IFERROR(IF(X284="",0,CEILING((X284/$H284),1)*$H284),"")</f>
        <v>0</v>
      </c>
      <c r="Z284" s="35" t="str">
        <f>IFERROR(IF(Y284=0,"",ROUNDUP(Y284/H284,0)*0.00902),"")</f>
        <v/>
      </c>
      <c r="AA284" s="55"/>
      <c r="AB284" s="56"/>
      <c r="AC284" s="333" t="s">
        <v>454</v>
      </c>
      <c r="AG284" s="63"/>
      <c r="AJ284" s="66"/>
      <c r="AK284" s="66">
        <v>0</v>
      </c>
      <c r="BB284" s="334" t="s">
        <v>1</v>
      </c>
      <c r="BM284" s="63">
        <f>IFERROR(X284*I284/H284,"0")</f>
        <v>0</v>
      </c>
      <c r="BN284" s="63">
        <f>IFERROR(Y284*I284/H284,"0")</f>
        <v>0</v>
      </c>
      <c r="BO284" s="63">
        <f>IFERROR(1/J284*(X284/H284),"0")</f>
        <v>0</v>
      </c>
      <c r="BP284" s="63">
        <f>IFERROR(1/J284*(Y284/H284),"0")</f>
        <v>0</v>
      </c>
    </row>
    <row r="285" spans="1:68" hidden="1" x14ac:dyDescent="0.2">
      <c r="A285" s="592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3"/>
      <c r="P285" s="584" t="s">
        <v>73</v>
      </c>
      <c r="Q285" s="585"/>
      <c r="R285" s="585"/>
      <c r="S285" s="585"/>
      <c r="T285" s="585"/>
      <c r="U285" s="585"/>
      <c r="V285" s="586"/>
      <c r="W285" s="36" t="s">
        <v>74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3"/>
      <c r="P286" s="584" t="s">
        <v>73</v>
      </c>
      <c r="Q286" s="585"/>
      <c r="R286" s="585"/>
      <c r="S286" s="585"/>
      <c r="T286" s="585"/>
      <c r="U286" s="585"/>
      <c r="V286" s="586"/>
      <c r="W286" s="36" t="s">
        <v>71</v>
      </c>
      <c r="X286" s="577">
        <f>IFERROR(SUM(X284:X284),"0")</f>
        <v>0</v>
      </c>
      <c r="Y286" s="577">
        <f>IFERROR(SUM(Y284:Y284),"0")</f>
        <v>0</v>
      </c>
      <c r="Z286" s="36"/>
      <c r="AA286" s="578"/>
      <c r="AB286" s="578"/>
      <c r="AC286" s="578"/>
    </row>
    <row r="287" spans="1:68" ht="16.5" hidden="1" customHeight="1" x14ac:dyDescent="0.25">
      <c r="A287" s="648" t="s">
        <v>455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1"/>
      <c r="AB287" s="571"/>
      <c r="AC287" s="571"/>
    </row>
    <row r="288" spans="1:68" ht="14.25" hidden="1" customHeight="1" x14ac:dyDescent="0.25">
      <c r="A288" s="587" t="s">
        <v>104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65"/>
      <c r="AB288" s="565"/>
      <c r="AC288" s="565"/>
    </row>
    <row r="289" spans="1:68" ht="27" hidden="1" customHeight="1" x14ac:dyDescent="0.25">
      <c r="A289" s="53" t="s">
        <v>456</v>
      </c>
      <c r="B289" s="53" t="s">
        <v>457</v>
      </c>
      <c r="C289" s="30">
        <v>4301011662</v>
      </c>
      <c r="D289" s="594">
        <v>4680115883703</v>
      </c>
      <c r="E289" s="595"/>
      <c r="F289" s="574">
        <v>1.35</v>
      </c>
      <c r="G289" s="31">
        <v>8</v>
      </c>
      <c r="H289" s="574">
        <v>10.8</v>
      </c>
      <c r="I289" s="574">
        <v>11.234999999999999</v>
      </c>
      <c r="J289" s="31">
        <v>64</v>
      </c>
      <c r="K289" s="31" t="s">
        <v>107</v>
      </c>
      <c r="L289" s="31"/>
      <c r="M289" s="32" t="s">
        <v>108</v>
      </c>
      <c r="N289" s="32"/>
      <c r="O289" s="31">
        <v>55</v>
      </c>
      <c r="P289" s="7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3"/>
      <c r="V289" s="33"/>
      <c r="W289" s="34" t="s">
        <v>71</v>
      </c>
      <c r="X289" s="575">
        <v>0</v>
      </c>
      <c r="Y289" s="576">
        <f>IFERROR(IF(X289="",0,CEILING((X289/$H289),1)*$H289),"")</f>
        <v>0</v>
      </c>
      <c r="Z289" s="35" t="str">
        <f>IFERROR(IF(Y289=0,"",ROUNDUP(Y289/H289,0)*0.01898),"")</f>
        <v/>
      </c>
      <c r="AA289" s="55" t="s">
        <v>458</v>
      </c>
      <c r="AB289" s="56"/>
      <c r="AC289" s="335" t="s">
        <v>459</v>
      </c>
      <c r="AG289" s="63"/>
      <c r="AJ289" s="66"/>
      <c r="AK289" s="66">
        <v>0</v>
      </c>
      <c r="BB289" s="336" t="s">
        <v>1</v>
      </c>
      <c r="BM289" s="63">
        <f>IFERROR(X289*I289/H289,"0")</f>
        <v>0</v>
      </c>
      <c r="BN289" s="63">
        <f>IFERROR(Y289*I289/H289,"0")</f>
        <v>0</v>
      </c>
      <c r="BO289" s="63">
        <f>IFERROR(1/J289*(X289/H289),"0")</f>
        <v>0</v>
      </c>
      <c r="BP289" s="63">
        <f>IFERROR(1/J289*(Y289/H289),"0")</f>
        <v>0</v>
      </c>
    </row>
    <row r="290" spans="1:68" hidden="1" x14ac:dyDescent="0.2">
      <c r="A290" s="592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3"/>
      <c r="P290" s="584" t="s">
        <v>73</v>
      </c>
      <c r="Q290" s="585"/>
      <c r="R290" s="585"/>
      <c r="S290" s="585"/>
      <c r="T290" s="585"/>
      <c r="U290" s="585"/>
      <c r="V290" s="586"/>
      <c r="W290" s="36" t="s">
        <v>74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3"/>
      <c r="P291" s="584" t="s">
        <v>73</v>
      </c>
      <c r="Q291" s="585"/>
      <c r="R291" s="585"/>
      <c r="S291" s="585"/>
      <c r="T291" s="585"/>
      <c r="U291" s="585"/>
      <c r="V291" s="586"/>
      <c r="W291" s="36" t="s">
        <v>71</v>
      </c>
      <c r="X291" s="577">
        <f>IFERROR(SUM(X289:X289),"0")</f>
        <v>0</v>
      </c>
      <c r="Y291" s="577">
        <f>IFERROR(SUM(Y289:Y289),"0")</f>
        <v>0</v>
      </c>
      <c r="Z291" s="36"/>
      <c r="AA291" s="578"/>
      <c r="AB291" s="578"/>
      <c r="AC291" s="578"/>
    </row>
    <row r="292" spans="1:68" ht="16.5" hidden="1" customHeight="1" x14ac:dyDescent="0.25">
      <c r="A292" s="648" t="s">
        <v>460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1"/>
      <c r="AB292" s="571"/>
      <c r="AC292" s="571"/>
    </row>
    <row r="293" spans="1:68" ht="14.25" hidden="1" customHeight="1" x14ac:dyDescent="0.25">
      <c r="A293" s="587" t="s">
        <v>104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65"/>
      <c r="AB293" s="565"/>
      <c r="AC293" s="565"/>
    </row>
    <row r="294" spans="1:68" ht="27" hidden="1" customHeight="1" x14ac:dyDescent="0.25">
      <c r="A294" s="53" t="s">
        <v>461</v>
      </c>
      <c r="B294" s="53" t="s">
        <v>462</v>
      </c>
      <c r="C294" s="30">
        <v>4301012024</v>
      </c>
      <c r="D294" s="594">
        <v>4680115885615</v>
      </c>
      <c r="E294" s="595"/>
      <c r="F294" s="574">
        <v>1.35</v>
      </c>
      <c r="G294" s="31">
        <v>8</v>
      </c>
      <c r="H294" s="574">
        <v>10.8</v>
      </c>
      <c r="I294" s="574">
        <v>11.234999999999999</v>
      </c>
      <c r="J294" s="31">
        <v>64</v>
      </c>
      <c r="K294" s="31" t="s">
        <v>107</v>
      </c>
      <c r="L294" s="31"/>
      <c r="M294" s="32" t="s">
        <v>79</v>
      </c>
      <c r="N294" s="32"/>
      <c r="O294" s="31">
        <v>55</v>
      </c>
      <c r="P294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3"/>
      <c r="V294" s="33"/>
      <c r="W294" s="34" t="s">
        <v>71</v>
      </c>
      <c r="X294" s="575">
        <v>0</v>
      </c>
      <c r="Y294" s="576">
        <f t="shared" ref="Y294:Y299" si="48">IFERROR(IF(X294="",0,CEILING((X294/$H294),1)*$H294),"")</f>
        <v>0</v>
      </c>
      <c r="Z294" s="35" t="str">
        <f>IFERROR(IF(Y294=0,"",ROUNDUP(Y294/H294,0)*0.01898),"")</f>
        <v/>
      </c>
      <c r="AA294" s="55"/>
      <c r="AB294" s="56"/>
      <c r="AC294" s="337" t="s">
        <v>463</v>
      </c>
      <c r="AG294" s="63"/>
      <c r="AJ294" s="66"/>
      <c r="AK294" s="66">
        <v>0</v>
      </c>
      <c r="BB294" s="338" t="s">
        <v>1</v>
      </c>
      <c r="BM294" s="63">
        <f t="shared" ref="BM294:BM299" si="49">IFERROR(X294*I294/H294,"0")</f>
        <v>0</v>
      </c>
      <c r="BN294" s="63">
        <f t="shared" ref="BN294:BN299" si="50">IFERROR(Y294*I294/H294,"0")</f>
        <v>0</v>
      </c>
      <c r="BO294" s="63">
        <f t="shared" ref="BO294:BO299" si="51">IFERROR(1/J294*(X294/H294),"0")</f>
        <v>0</v>
      </c>
      <c r="BP294" s="63">
        <f t="shared" ref="BP294:BP299" si="52">IFERROR(1/J294*(Y294/H294),"0")</f>
        <v>0</v>
      </c>
    </row>
    <row r="295" spans="1:68" ht="27" hidden="1" customHeight="1" x14ac:dyDescent="0.25">
      <c r="A295" s="53" t="s">
        <v>464</v>
      </c>
      <c r="B295" s="53" t="s">
        <v>465</v>
      </c>
      <c r="C295" s="30">
        <v>4301011911</v>
      </c>
      <c r="D295" s="594">
        <v>4680115885554</v>
      </c>
      <c r="E295" s="595"/>
      <c r="F295" s="574">
        <v>1.35</v>
      </c>
      <c r="G295" s="31">
        <v>8</v>
      </c>
      <c r="H295" s="574">
        <v>10.8</v>
      </c>
      <c r="I295" s="574">
        <v>11.28</v>
      </c>
      <c r="J295" s="31">
        <v>48</v>
      </c>
      <c r="K295" s="31" t="s">
        <v>107</v>
      </c>
      <c r="L295" s="31"/>
      <c r="M295" s="32" t="s">
        <v>466</v>
      </c>
      <c r="N295" s="32"/>
      <c r="O295" s="31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3"/>
      <c r="V295" s="33"/>
      <c r="W295" s="34" t="s">
        <v>71</v>
      </c>
      <c r="X295" s="575">
        <v>0</v>
      </c>
      <c r="Y295" s="576">
        <f t="shared" si="48"/>
        <v>0</v>
      </c>
      <c r="Z295" s="35" t="str">
        <f>IFERROR(IF(Y295=0,"",ROUNDUP(Y295/H295,0)*0.02039),"")</f>
        <v/>
      </c>
      <c r="AA295" s="55"/>
      <c r="AB295" s="56"/>
      <c r="AC295" s="339" t="s">
        <v>467</v>
      </c>
      <c r="AG295" s="63"/>
      <c r="AJ295" s="66"/>
      <c r="AK295" s="66">
        <v>0</v>
      </c>
      <c r="BB295" s="340" t="s">
        <v>1</v>
      </c>
      <c r="BM295" s="63">
        <f t="shared" si="49"/>
        <v>0</v>
      </c>
      <c r="BN295" s="63">
        <f t="shared" si="50"/>
        <v>0</v>
      </c>
      <c r="BO295" s="63">
        <f t="shared" si="51"/>
        <v>0</v>
      </c>
      <c r="BP295" s="63">
        <f t="shared" si="52"/>
        <v>0</v>
      </c>
    </row>
    <row r="296" spans="1:68" ht="27" hidden="1" customHeight="1" x14ac:dyDescent="0.25">
      <c r="A296" s="53" t="s">
        <v>464</v>
      </c>
      <c r="B296" s="53" t="s">
        <v>468</v>
      </c>
      <c r="C296" s="30">
        <v>4301012016</v>
      </c>
      <c r="D296" s="594">
        <v>4680115885554</v>
      </c>
      <c r="E296" s="595"/>
      <c r="F296" s="574">
        <v>1.35</v>
      </c>
      <c r="G296" s="31">
        <v>8</v>
      </c>
      <c r="H296" s="574">
        <v>10.8</v>
      </c>
      <c r="I296" s="574">
        <v>11.234999999999999</v>
      </c>
      <c r="J296" s="31">
        <v>64</v>
      </c>
      <c r="K296" s="31" t="s">
        <v>107</v>
      </c>
      <c r="L296" s="31" t="s">
        <v>126</v>
      </c>
      <c r="M296" s="32" t="s">
        <v>79</v>
      </c>
      <c r="N296" s="32"/>
      <c r="O296" s="31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3"/>
      <c r="V296" s="33"/>
      <c r="W296" s="34" t="s">
        <v>71</v>
      </c>
      <c r="X296" s="575">
        <v>0</v>
      </c>
      <c r="Y296" s="576">
        <f t="shared" si="48"/>
        <v>0</v>
      </c>
      <c r="Z296" s="35" t="str">
        <f>IFERROR(IF(Y296=0,"",ROUNDUP(Y296/H296,0)*0.01898),"")</f>
        <v/>
      </c>
      <c r="AA296" s="55"/>
      <c r="AB296" s="56"/>
      <c r="AC296" s="341" t="s">
        <v>469</v>
      </c>
      <c r="AG296" s="63"/>
      <c r="AJ296" s="66" t="s">
        <v>128</v>
      </c>
      <c r="AK296" s="66">
        <v>691.2</v>
      </c>
      <c r="BB296" s="342" t="s">
        <v>1</v>
      </c>
      <c r="BM296" s="63">
        <f t="shared" si="49"/>
        <v>0</v>
      </c>
      <c r="BN296" s="63">
        <f t="shared" si="50"/>
        <v>0</v>
      </c>
      <c r="BO296" s="63">
        <f t="shared" si="51"/>
        <v>0</v>
      </c>
      <c r="BP296" s="63">
        <f t="shared" si="52"/>
        <v>0</v>
      </c>
    </row>
    <row r="297" spans="1:68" ht="37.5" hidden="1" customHeight="1" x14ac:dyDescent="0.25">
      <c r="A297" s="53" t="s">
        <v>470</v>
      </c>
      <c r="B297" s="53" t="s">
        <v>471</v>
      </c>
      <c r="C297" s="30">
        <v>4301011858</v>
      </c>
      <c r="D297" s="594">
        <v>4680115885646</v>
      </c>
      <c r="E297" s="595"/>
      <c r="F297" s="574">
        <v>1.35</v>
      </c>
      <c r="G297" s="31">
        <v>8</v>
      </c>
      <c r="H297" s="574">
        <v>10.8</v>
      </c>
      <c r="I297" s="574">
        <v>11.234999999999999</v>
      </c>
      <c r="J297" s="31">
        <v>64</v>
      </c>
      <c r="K297" s="31" t="s">
        <v>107</v>
      </c>
      <c r="L297" s="31"/>
      <c r="M297" s="32" t="s">
        <v>108</v>
      </c>
      <c r="N297" s="32"/>
      <c r="O297" s="31">
        <v>55</v>
      </c>
      <c r="P297" s="8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3"/>
      <c r="V297" s="33"/>
      <c r="W297" s="34" t="s">
        <v>71</v>
      </c>
      <c r="X297" s="575">
        <v>0</v>
      </c>
      <c r="Y297" s="576">
        <f t="shared" si="48"/>
        <v>0</v>
      </c>
      <c r="Z297" s="35" t="str">
        <f>IFERROR(IF(Y297=0,"",ROUNDUP(Y297/H297,0)*0.01898),"")</f>
        <v/>
      </c>
      <c r="AA297" s="55"/>
      <c r="AB297" s="56"/>
      <c r="AC297" s="343" t="s">
        <v>472</v>
      </c>
      <c r="AG297" s="63"/>
      <c r="AJ297" s="66"/>
      <c r="AK297" s="66">
        <v>0</v>
      </c>
      <c r="BB297" s="344" t="s">
        <v>1</v>
      </c>
      <c r="BM297" s="63">
        <f t="shared" si="49"/>
        <v>0</v>
      </c>
      <c r="BN297" s="63">
        <f t="shared" si="50"/>
        <v>0</v>
      </c>
      <c r="BO297" s="63">
        <f t="shared" si="51"/>
        <v>0</v>
      </c>
      <c r="BP297" s="63">
        <f t="shared" si="52"/>
        <v>0</v>
      </c>
    </row>
    <row r="298" spans="1:68" ht="27" hidden="1" customHeight="1" x14ac:dyDescent="0.25">
      <c r="A298" s="53" t="s">
        <v>473</v>
      </c>
      <c r="B298" s="53" t="s">
        <v>474</v>
      </c>
      <c r="C298" s="30">
        <v>4301011857</v>
      </c>
      <c r="D298" s="594">
        <v>4680115885622</v>
      </c>
      <c r="E298" s="595"/>
      <c r="F298" s="574">
        <v>0.4</v>
      </c>
      <c r="G298" s="31">
        <v>10</v>
      </c>
      <c r="H298" s="574">
        <v>4</v>
      </c>
      <c r="I298" s="574">
        <v>4.21</v>
      </c>
      <c r="J298" s="31">
        <v>132</v>
      </c>
      <c r="K298" s="31" t="s">
        <v>112</v>
      </c>
      <c r="L298" s="31"/>
      <c r="M298" s="32" t="s">
        <v>108</v>
      </c>
      <c r="N298" s="32"/>
      <c r="O298" s="31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3"/>
      <c r="V298" s="33"/>
      <c r="W298" s="34" t="s">
        <v>71</v>
      </c>
      <c r="X298" s="575">
        <v>0</v>
      </c>
      <c r="Y298" s="576">
        <f t="shared" si="48"/>
        <v>0</v>
      </c>
      <c r="Z298" s="35" t="str">
        <f>IFERROR(IF(Y298=0,"",ROUNDUP(Y298/H298,0)*0.00902),"")</f>
        <v/>
      </c>
      <c r="AA298" s="55"/>
      <c r="AB298" s="56"/>
      <c r="AC298" s="345" t="s">
        <v>463</v>
      </c>
      <c r="AG298" s="63"/>
      <c r="AJ298" s="66"/>
      <c r="AK298" s="66">
        <v>0</v>
      </c>
      <c r="BB298" s="346" t="s">
        <v>1</v>
      </c>
      <c r="BM298" s="63">
        <f t="shared" si="49"/>
        <v>0</v>
      </c>
      <c r="BN298" s="63">
        <f t="shared" si="50"/>
        <v>0</v>
      </c>
      <c r="BO298" s="63">
        <f t="shared" si="51"/>
        <v>0</v>
      </c>
      <c r="BP298" s="63">
        <f t="shared" si="52"/>
        <v>0</v>
      </c>
    </row>
    <row r="299" spans="1:68" ht="27" hidden="1" customHeight="1" x14ac:dyDescent="0.25">
      <c r="A299" s="53" t="s">
        <v>475</v>
      </c>
      <c r="B299" s="53" t="s">
        <v>476</v>
      </c>
      <c r="C299" s="30">
        <v>4301011859</v>
      </c>
      <c r="D299" s="594">
        <v>4680115885608</v>
      </c>
      <c r="E299" s="595"/>
      <c r="F299" s="574">
        <v>0.4</v>
      </c>
      <c r="G299" s="31">
        <v>10</v>
      </c>
      <c r="H299" s="574">
        <v>4</v>
      </c>
      <c r="I299" s="574">
        <v>4.21</v>
      </c>
      <c r="J299" s="31">
        <v>132</v>
      </c>
      <c r="K299" s="31" t="s">
        <v>112</v>
      </c>
      <c r="L299" s="31"/>
      <c r="M299" s="32" t="s">
        <v>108</v>
      </c>
      <c r="N299" s="32"/>
      <c r="O299" s="31">
        <v>55</v>
      </c>
      <c r="P299" s="7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3"/>
      <c r="V299" s="33"/>
      <c r="W299" s="34" t="s">
        <v>71</v>
      </c>
      <c r="X299" s="575">
        <v>0</v>
      </c>
      <c r="Y299" s="576">
        <f t="shared" si="48"/>
        <v>0</v>
      </c>
      <c r="Z299" s="35" t="str">
        <f>IFERROR(IF(Y299=0,"",ROUNDUP(Y299/H299,0)*0.00902),"")</f>
        <v/>
      </c>
      <c r="AA299" s="55"/>
      <c r="AB299" s="56"/>
      <c r="AC299" s="347" t="s">
        <v>477</v>
      </c>
      <c r="AG299" s="63"/>
      <c r="AJ299" s="66"/>
      <c r="AK299" s="66">
        <v>0</v>
      </c>
      <c r="BB299" s="348" t="s">
        <v>1</v>
      </c>
      <c r="BM299" s="63">
        <f t="shared" si="49"/>
        <v>0</v>
      </c>
      <c r="BN299" s="63">
        <f t="shared" si="50"/>
        <v>0</v>
      </c>
      <c r="BO299" s="63">
        <f t="shared" si="51"/>
        <v>0</v>
      </c>
      <c r="BP299" s="63">
        <f t="shared" si="52"/>
        <v>0</v>
      </c>
    </row>
    <row r="300" spans="1:68" hidden="1" x14ac:dyDescent="0.2">
      <c r="A300" s="592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3"/>
      <c r="P300" s="584" t="s">
        <v>73</v>
      </c>
      <c r="Q300" s="585"/>
      <c r="R300" s="585"/>
      <c r="S300" s="585"/>
      <c r="T300" s="585"/>
      <c r="U300" s="585"/>
      <c r="V300" s="586"/>
      <c r="W300" s="36" t="s">
        <v>74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3"/>
      <c r="P301" s="584" t="s">
        <v>73</v>
      </c>
      <c r="Q301" s="585"/>
      <c r="R301" s="585"/>
      <c r="S301" s="585"/>
      <c r="T301" s="585"/>
      <c r="U301" s="585"/>
      <c r="V301" s="586"/>
      <c r="W301" s="36" t="s">
        <v>71</v>
      </c>
      <c r="X301" s="577">
        <f>IFERROR(SUM(X294:X299),"0")</f>
        <v>0</v>
      </c>
      <c r="Y301" s="577">
        <f>IFERROR(SUM(Y294:Y299),"0")</f>
        <v>0</v>
      </c>
      <c r="Z301" s="36"/>
      <c r="AA301" s="578"/>
      <c r="AB301" s="578"/>
      <c r="AC301" s="578"/>
    </row>
    <row r="302" spans="1:68" ht="14.25" hidden="1" customHeight="1" x14ac:dyDescent="0.25">
      <c r="A302" s="587" t="s">
        <v>65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65"/>
      <c r="AB302" s="565"/>
      <c r="AC302" s="565"/>
    </row>
    <row r="303" spans="1:68" ht="27" hidden="1" customHeight="1" x14ac:dyDescent="0.25">
      <c r="A303" s="53" t="s">
        <v>478</v>
      </c>
      <c r="B303" s="53" t="s">
        <v>479</v>
      </c>
      <c r="C303" s="30">
        <v>4301030878</v>
      </c>
      <c r="D303" s="594">
        <v>4607091387193</v>
      </c>
      <c r="E303" s="595"/>
      <c r="F303" s="574">
        <v>0.7</v>
      </c>
      <c r="G303" s="31">
        <v>6</v>
      </c>
      <c r="H303" s="574">
        <v>4.2</v>
      </c>
      <c r="I303" s="574">
        <v>4.47</v>
      </c>
      <c r="J303" s="31">
        <v>132</v>
      </c>
      <c r="K303" s="31" t="s">
        <v>112</v>
      </c>
      <c r="L303" s="31"/>
      <c r="M303" s="32" t="s">
        <v>69</v>
      </c>
      <c r="N303" s="32"/>
      <c r="O303" s="31">
        <v>35</v>
      </c>
      <c r="P303" s="7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3"/>
      <c r="V303" s="33"/>
      <c r="W303" s="34" t="s">
        <v>71</v>
      </c>
      <c r="X303" s="575">
        <v>0</v>
      </c>
      <c r="Y303" s="576">
        <f t="shared" ref="Y303:Y309" si="53">IFERROR(IF(X303="",0,CEILING((X303/$H303),1)*$H303),"")</f>
        <v>0</v>
      </c>
      <c r="Z303" s="35" t="str">
        <f>IFERROR(IF(Y303=0,"",ROUNDUP(Y303/H303,0)*0.00902),"")</f>
        <v/>
      </c>
      <c r="AA303" s="55"/>
      <c r="AB303" s="56"/>
      <c r="AC303" s="349" t="s">
        <v>480</v>
      </c>
      <c r="AG303" s="63"/>
      <c r="AJ303" s="66"/>
      <c r="AK303" s="66">
        <v>0</v>
      </c>
      <c r="BB303" s="350" t="s">
        <v>1</v>
      </c>
      <c r="BM303" s="63">
        <f t="shared" ref="BM303:BM309" si="54">IFERROR(X303*I303/H303,"0")</f>
        <v>0</v>
      </c>
      <c r="BN303" s="63">
        <f t="shared" ref="BN303:BN309" si="55">IFERROR(Y303*I303/H303,"0")</f>
        <v>0</v>
      </c>
      <c r="BO303" s="63">
        <f t="shared" ref="BO303:BO309" si="56">IFERROR(1/J303*(X303/H303),"0")</f>
        <v>0</v>
      </c>
      <c r="BP303" s="63">
        <f t="shared" ref="BP303:BP309" si="57">IFERROR(1/J303*(Y303/H303),"0")</f>
        <v>0</v>
      </c>
    </row>
    <row r="304" spans="1:68" ht="27" customHeight="1" x14ac:dyDescent="0.25">
      <c r="A304" s="53" t="s">
        <v>481</v>
      </c>
      <c r="B304" s="53" t="s">
        <v>482</v>
      </c>
      <c r="C304" s="30">
        <v>4301031153</v>
      </c>
      <c r="D304" s="594">
        <v>4607091387230</v>
      </c>
      <c r="E304" s="595"/>
      <c r="F304" s="574">
        <v>0.7</v>
      </c>
      <c r="G304" s="31">
        <v>6</v>
      </c>
      <c r="H304" s="574">
        <v>4.2</v>
      </c>
      <c r="I304" s="574">
        <v>4.47</v>
      </c>
      <c r="J304" s="31">
        <v>132</v>
      </c>
      <c r="K304" s="31" t="s">
        <v>112</v>
      </c>
      <c r="L304" s="31"/>
      <c r="M304" s="32" t="s">
        <v>69</v>
      </c>
      <c r="N304" s="32"/>
      <c r="O304" s="31">
        <v>40</v>
      </c>
      <c r="P304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3"/>
      <c r="V304" s="33"/>
      <c r="W304" s="34" t="s">
        <v>71</v>
      </c>
      <c r="X304" s="575">
        <v>290</v>
      </c>
      <c r="Y304" s="576">
        <f t="shared" si="53"/>
        <v>294</v>
      </c>
      <c r="Z304" s="35">
        <f>IFERROR(IF(Y304=0,"",ROUNDUP(Y304/H304,0)*0.00902),"")</f>
        <v>0.63139999999999996</v>
      </c>
      <c r="AA304" s="55"/>
      <c r="AB304" s="56"/>
      <c r="AC304" s="351" t="s">
        <v>483</v>
      </c>
      <c r="AG304" s="63"/>
      <c r="AJ304" s="66"/>
      <c r="AK304" s="66">
        <v>0</v>
      </c>
      <c r="BB304" s="352" t="s">
        <v>1</v>
      </c>
      <c r="BM304" s="63">
        <f t="shared" si="54"/>
        <v>308.64285714285711</v>
      </c>
      <c r="BN304" s="63">
        <f t="shared" si="55"/>
        <v>312.89999999999992</v>
      </c>
      <c r="BO304" s="63">
        <f t="shared" si="56"/>
        <v>0.52308802308802316</v>
      </c>
      <c r="BP304" s="63">
        <f t="shared" si="57"/>
        <v>0.53030303030303028</v>
      </c>
    </row>
    <row r="305" spans="1:68" ht="27" hidden="1" customHeight="1" x14ac:dyDescent="0.25">
      <c r="A305" s="53" t="s">
        <v>484</v>
      </c>
      <c r="B305" s="53" t="s">
        <v>485</v>
      </c>
      <c r="C305" s="30">
        <v>4301031154</v>
      </c>
      <c r="D305" s="594">
        <v>4607091387292</v>
      </c>
      <c r="E305" s="595"/>
      <c r="F305" s="574">
        <v>0.73</v>
      </c>
      <c r="G305" s="31">
        <v>6</v>
      </c>
      <c r="H305" s="574">
        <v>4.38</v>
      </c>
      <c r="I305" s="574">
        <v>4.6500000000000004</v>
      </c>
      <c r="J305" s="31">
        <v>132</v>
      </c>
      <c r="K305" s="31" t="s">
        <v>112</v>
      </c>
      <c r="L305" s="31"/>
      <c r="M305" s="32" t="s">
        <v>69</v>
      </c>
      <c r="N305" s="32"/>
      <c r="O305" s="31">
        <v>45</v>
      </c>
      <c r="P305" s="7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3"/>
      <c r="V305" s="33"/>
      <c r="W305" s="34" t="s">
        <v>71</v>
      </c>
      <c r="X305" s="575">
        <v>0</v>
      </c>
      <c r="Y305" s="576">
        <f t="shared" si="53"/>
        <v>0</v>
      </c>
      <c r="Z305" s="35" t="str">
        <f>IFERROR(IF(Y305=0,"",ROUNDUP(Y305/H305,0)*0.00902),"")</f>
        <v/>
      </c>
      <c r="AA305" s="55"/>
      <c r="AB305" s="56"/>
      <c r="AC305" s="353" t="s">
        <v>486</v>
      </c>
      <c r="AG305" s="63"/>
      <c r="AJ305" s="66"/>
      <c r="AK305" s="66">
        <v>0</v>
      </c>
      <c r="BB305" s="354" t="s">
        <v>1</v>
      </c>
      <c r="BM305" s="63">
        <f t="shared" si="54"/>
        <v>0</v>
      </c>
      <c r="BN305" s="63">
        <f t="shared" si="55"/>
        <v>0</v>
      </c>
      <c r="BO305" s="63">
        <f t="shared" si="56"/>
        <v>0</v>
      </c>
      <c r="BP305" s="63">
        <f t="shared" si="57"/>
        <v>0</v>
      </c>
    </row>
    <row r="306" spans="1:68" ht="27" customHeight="1" x14ac:dyDescent="0.25">
      <c r="A306" s="53" t="s">
        <v>487</v>
      </c>
      <c r="B306" s="53" t="s">
        <v>488</v>
      </c>
      <c r="C306" s="30">
        <v>4301031152</v>
      </c>
      <c r="D306" s="594">
        <v>4607091387285</v>
      </c>
      <c r="E306" s="595"/>
      <c r="F306" s="574">
        <v>0.35</v>
      </c>
      <c r="G306" s="31">
        <v>6</v>
      </c>
      <c r="H306" s="574">
        <v>2.1</v>
      </c>
      <c r="I306" s="574">
        <v>2.23</v>
      </c>
      <c r="J306" s="31">
        <v>234</v>
      </c>
      <c r="K306" s="31" t="s">
        <v>68</v>
      </c>
      <c r="L306" s="31"/>
      <c r="M306" s="32" t="s">
        <v>69</v>
      </c>
      <c r="N306" s="32"/>
      <c r="O306" s="31">
        <v>40</v>
      </c>
      <c r="P306" s="7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3"/>
      <c r="V306" s="33"/>
      <c r="W306" s="34" t="s">
        <v>71</v>
      </c>
      <c r="X306" s="575">
        <v>14</v>
      </c>
      <c r="Y306" s="576">
        <f t="shared" si="53"/>
        <v>14.700000000000001</v>
      </c>
      <c r="Z306" s="35">
        <f>IFERROR(IF(Y306=0,"",ROUNDUP(Y306/H306,0)*0.00502),"")</f>
        <v>3.5140000000000005E-2</v>
      </c>
      <c r="AA306" s="55"/>
      <c r="AB306" s="56"/>
      <c r="AC306" s="355" t="s">
        <v>483</v>
      </c>
      <c r="AG306" s="63"/>
      <c r="AJ306" s="66"/>
      <c r="AK306" s="66">
        <v>0</v>
      </c>
      <c r="BB306" s="356" t="s">
        <v>1</v>
      </c>
      <c r="BM306" s="63">
        <f t="shared" si="54"/>
        <v>14.866666666666665</v>
      </c>
      <c r="BN306" s="63">
        <f t="shared" si="55"/>
        <v>15.61</v>
      </c>
      <c r="BO306" s="63">
        <f t="shared" si="56"/>
        <v>2.8490028490028491E-2</v>
      </c>
      <c r="BP306" s="63">
        <f t="shared" si="57"/>
        <v>2.9914529914529919E-2</v>
      </c>
    </row>
    <row r="307" spans="1:68" ht="27" customHeight="1" x14ac:dyDescent="0.25">
      <c r="A307" s="53" t="s">
        <v>489</v>
      </c>
      <c r="B307" s="53" t="s">
        <v>490</v>
      </c>
      <c r="C307" s="30">
        <v>4301031305</v>
      </c>
      <c r="D307" s="594">
        <v>4607091389845</v>
      </c>
      <c r="E307" s="595"/>
      <c r="F307" s="574">
        <v>0.35</v>
      </c>
      <c r="G307" s="31">
        <v>6</v>
      </c>
      <c r="H307" s="574">
        <v>2.1</v>
      </c>
      <c r="I307" s="574">
        <v>2.2000000000000002</v>
      </c>
      <c r="J307" s="31">
        <v>234</v>
      </c>
      <c r="K307" s="31" t="s">
        <v>68</v>
      </c>
      <c r="L307" s="31"/>
      <c r="M307" s="32" t="s">
        <v>69</v>
      </c>
      <c r="N307" s="32"/>
      <c r="O307" s="31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3"/>
      <c r="V307" s="33"/>
      <c r="W307" s="34" t="s">
        <v>71</v>
      </c>
      <c r="X307" s="575">
        <v>3</v>
      </c>
      <c r="Y307" s="576">
        <f t="shared" si="53"/>
        <v>4.2</v>
      </c>
      <c r="Z307" s="35">
        <f>IFERROR(IF(Y307=0,"",ROUNDUP(Y307/H307,0)*0.00502),"")</f>
        <v>1.004E-2</v>
      </c>
      <c r="AA307" s="55"/>
      <c r="AB307" s="56"/>
      <c r="AC307" s="357" t="s">
        <v>491</v>
      </c>
      <c r="AG307" s="63"/>
      <c r="AJ307" s="66"/>
      <c r="AK307" s="66">
        <v>0</v>
      </c>
      <c r="BB307" s="358" t="s">
        <v>1</v>
      </c>
      <c r="BM307" s="63">
        <f t="shared" si="54"/>
        <v>3.1428571428571428</v>
      </c>
      <c r="BN307" s="63">
        <f t="shared" si="55"/>
        <v>4.4000000000000004</v>
      </c>
      <c r="BO307" s="63">
        <f t="shared" si="56"/>
        <v>6.1050061050061059E-3</v>
      </c>
      <c r="BP307" s="63">
        <f t="shared" si="57"/>
        <v>8.5470085470085479E-3</v>
      </c>
    </row>
    <row r="308" spans="1:68" ht="27" hidden="1" customHeight="1" x14ac:dyDescent="0.25">
      <c r="A308" s="53" t="s">
        <v>492</v>
      </c>
      <c r="B308" s="53" t="s">
        <v>493</v>
      </c>
      <c r="C308" s="30">
        <v>4301031306</v>
      </c>
      <c r="D308" s="594">
        <v>4680115882881</v>
      </c>
      <c r="E308" s="595"/>
      <c r="F308" s="574">
        <v>0.28000000000000003</v>
      </c>
      <c r="G308" s="31">
        <v>6</v>
      </c>
      <c r="H308" s="574">
        <v>1.68</v>
      </c>
      <c r="I308" s="574">
        <v>1.81</v>
      </c>
      <c r="J308" s="31">
        <v>234</v>
      </c>
      <c r="K308" s="31" t="s">
        <v>68</v>
      </c>
      <c r="L308" s="31"/>
      <c r="M308" s="32" t="s">
        <v>69</v>
      </c>
      <c r="N308" s="32"/>
      <c r="O308" s="31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3"/>
      <c r="V308" s="33"/>
      <c r="W308" s="34" t="s">
        <v>71</v>
      </c>
      <c r="X308" s="575">
        <v>0</v>
      </c>
      <c r="Y308" s="576">
        <f t="shared" si="53"/>
        <v>0</v>
      </c>
      <c r="Z308" s="35" t="str">
        <f>IFERROR(IF(Y308=0,"",ROUNDUP(Y308/H308,0)*0.00502),"")</f>
        <v/>
      </c>
      <c r="AA308" s="55"/>
      <c r="AB308" s="56"/>
      <c r="AC308" s="359" t="s">
        <v>491</v>
      </c>
      <c r="AG308" s="63"/>
      <c r="AJ308" s="66"/>
      <c r="AK308" s="66">
        <v>0</v>
      </c>
      <c r="BB308" s="360" t="s">
        <v>1</v>
      </c>
      <c r="BM308" s="63">
        <f t="shared" si="54"/>
        <v>0</v>
      </c>
      <c r="BN308" s="63">
        <f t="shared" si="55"/>
        <v>0</v>
      </c>
      <c r="BO308" s="63">
        <f t="shared" si="56"/>
        <v>0</v>
      </c>
      <c r="BP308" s="63">
        <f t="shared" si="57"/>
        <v>0</v>
      </c>
    </row>
    <row r="309" spans="1:68" ht="27" customHeight="1" x14ac:dyDescent="0.25">
      <c r="A309" s="53" t="s">
        <v>494</v>
      </c>
      <c r="B309" s="53" t="s">
        <v>495</v>
      </c>
      <c r="C309" s="30">
        <v>4301031066</v>
      </c>
      <c r="D309" s="594">
        <v>4607091383836</v>
      </c>
      <c r="E309" s="595"/>
      <c r="F309" s="574">
        <v>0.3</v>
      </c>
      <c r="G309" s="31">
        <v>6</v>
      </c>
      <c r="H309" s="574">
        <v>1.8</v>
      </c>
      <c r="I309" s="574">
        <v>2.028</v>
      </c>
      <c r="J309" s="31">
        <v>182</v>
      </c>
      <c r="K309" s="31" t="s">
        <v>78</v>
      </c>
      <c r="L309" s="31"/>
      <c r="M309" s="32" t="s">
        <v>69</v>
      </c>
      <c r="N309" s="32"/>
      <c r="O309" s="31">
        <v>40</v>
      </c>
      <c r="P309" s="7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3"/>
      <c r="V309" s="33"/>
      <c r="W309" s="34" t="s">
        <v>71</v>
      </c>
      <c r="X309" s="575">
        <v>17</v>
      </c>
      <c r="Y309" s="576">
        <f t="shared" si="53"/>
        <v>18</v>
      </c>
      <c r="Z309" s="35">
        <f>IFERROR(IF(Y309=0,"",ROUNDUP(Y309/H309,0)*0.00651),"")</f>
        <v>6.5100000000000005E-2</v>
      </c>
      <c r="AA309" s="55"/>
      <c r="AB309" s="56"/>
      <c r="AC309" s="361" t="s">
        <v>496</v>
      </c>
      <c r="AG309" s="63"/>
      <c r="AJ309" s="66"/>
      <c r="AK309" s="66">
        <v>0</v>
      </c>
      <c r="BB309" s="362" t="s">
        <v>1</v>
      </c>
      <c r="BM309" s="63">
        <f t="shared" si="54"/>
        <v>19.153333333333332</v>
      </c>
      <c r="BN309" s="63">
        <f t="shared" si="55"/>
        <v>20.279999999999998</v>
      </c>
      <c r="BO309" s="63">
        <f t="shared" si="56"/>
        <v>5.1892551892551896E-2</v>
      </c>
      <c r="BP309" s="63">
        <f t="shared" si="57"/>
        <v>5.4945054945054951E-2</v>
      </c>
    </row>
    <row r="310" spans="1:68" x14ac:dyDescent="0.2">
      <c r="A310" s="592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3"/>
      <c r="P310" s="584" t="s">
        <v>73</v>
      </c>
      <c r="Q310" s="585"/>
      <c r="R310" s="585"/>
      <c r="S310" s="585"/>
      <c r="T310" s="585"/>
      <c r="U310" s="585"/>
      <c r="V310" s="586"/>
      <c r="W310" s="36" t="s">
        <v>74</v>
      </c>
      <c r="X310" s="577">
        <f>IFERROR(X303/H303,"0")+IFERROR(X304/H304,"0")+IFERROR(X305/H305,"0")+IFERROR(X306/H306,"0")+IFERROR(X307/H307,"0")+IFERROR(X308/H308,"0")+IFERROR(X309/H309,"0")</f>
        <v>86.587301587301596</v>
      </c>
      <c r="Y310" s="577">
        <f>IFERROR(Y303/H303,"0")+IFERROR(Y304/H304,"0")+IFERROR(Y305/H305,"0")+IFERROR(Y306/H306,"0")+IFERROR(Y307/H307,"0")+IFERROR(Y308/H308,"0")+IFERROR(Y309/H309,"0")</f>
        <v>89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0.74168000000000001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3"/>
      <c r="P311" s="584" t="s">
        <v>73</v>
      </c>
      <c r="Q311" s="585"/>
      <c r="R311" s="585"/>
      <c r="S311" s="585"/>
      <c r="T311" s="585"/>
      <c r="U311" s="585"/>
      <c r="V311" s="586"/>
      <c r="W311" s="36" t="s">
        <v>71</v>
      </c>
      <c r="X311" s="577">
        <f>IFERROR(SUM(X303:X309),"0")</f>
        <v>324</v>
      </c>
      <c r="Y311" s="577">
        <f>IFERROR(SUM(Y303:Y309),"0")</f>
        <v>330.9</v>
      </c>
      <c r="Z311" s="36"/>
      <c r="AA311" s="578"/>
      <c r="AB311" s="578"/>
      <c r="AC311" s="578"/>
    </row>
    <row r="312" spans="1:68" ht="14.25" hidden="1" customHeight="1" x14ac:dyDescent="0.25">
      <c r="A312" s="587" t="s">
        <v>75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65"/>
      <c r="AB312" s="565"/>
      <c r="AC312" s="565"/>
    </row>
    <row r="313" spans="1:68" ht="27" customHeight="1" x14ac:dyDescent="0.25">
      <c r="A313" s="53" t="s">
        <v>497</v>
      </c>
      <c r="B313" s="53" t="s">
        <v>498</v>
      </c>
      <c r="C313" s="30">
        <v>4301051100</v>
      </c>
      <c r="D313" s="594">
        <v>4607091387766</v>
      </c>
      <c r="E313" s="595"/>
      <c r="F313" s="574">
        <v>1.3</v>
      </c>
      <c r="G313" s="31">
        <v>6</v>
      </c>
      <c r="H313" s="574">
        <v>7.8</v>
      </c>
      <c r="I313" s="574">
        <v>8.3130000000000006</v>
      </c>
      <c r="J313" s="31">
        <v>64</v>
      </c>
      <c r="K313" s="31" t="s">
        <v>107</v>
      </c>
      <c r="L313" s="31"/>
      <c r="M313" s="32" t="s">
        <v>79</v>
      </c>
      <c r="N313" s="32"/>
      <c r="O313" s="31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3"/>
      <c r="V313" s="33"/>
      <c r="W313" s="34" t="s">
        <v>71</v>
      </c>
      <c r="X313" s="575">
        <v>200</v>
      </c>
      <c r="Y313" s="576">
        <f>IFERROR(IF(X313="",0,CEILING((X313/$H313),1)*$H313),"")</f>
        <v>202.79999999999998</v>
      </c>
      <c r="Z313" s="35">
        <f>IFERROR(IF(Y313=0,"",ROUNDUP(Y313/H313,0)*0.01898),"")</f>
        <v>0.49348000000000003</v>
      </c>
      <c r="AA313" s="55"/>
      <c r="AB313" s="56"/>
      <c r="AC313" s="363" t="s">
        <v>499</v>
      </c>
      <c r="AG313" s="63"/>
      <c r="AJ313" s="66"/>
      <c r="AK313" s="66">
        <v>0</v>
      </c>
      <c r="BB313" s="364" t="s">
        <v>1</v>
      </c>
      <c r="BM313" s="63">
        <f>IFERROR(X313*I313/H313,"0")</f>
        <v>213.15384615384619</v>
      </c>
      <c r="BN313" s="63">
        <f>IFERROR(Y313*I313/H313,"0")</f>
        <v>216.13799999999998</v>
      </c>
      <c r="BO313" s="63">
        <f>IFERROR(1/J313*(X313/H313),"0")</f>
        <v>0.40064102564102566</v>
      </c>
      <c r="BP313" s="63">
        <f>IFERROR(1/J313*(Y313/H313),"0")</f>
        <v>0.40625</v>
      </c>
    </row>
    <row r="314" spans="1:68" ht="27" hidden="1" customHeight="1" x14ac:dyDescent="0.25">
      <c r="A314" s="53" t="s">
        <v>500</v>
      </c>
      <c r="B314" s="53" t="s">
        <v>501</v>
      </c>
      <c r="C314" s="30">
        <v>4301051818</v>
      </c>
      <c r="D314" s="594">
        <v>4607091387957</v>
      </c>
      <c r="E314" s="595"/>
      <c r="F314" s="574">
        <v>1.3</v>
      </c>
      <c r="G314" s="31">
        <v>6</v>
      </c>
      <c r="H314" s="574">
        <v>7.8</v>
      </c>
      <c r="I314" s="574">
        <v>8.3190000000000008</v>
      </c>
      <c r="J314" s="31">
        <v>64</v>
      </c>
      <c r="K314" s="31" t="s">
        <v>107</v>
      </c>
      <c r="L314" s="31"/>
      <c r="M314" s="32" t="s">
        <v>79</v>
      </c>
      <c r="N314" s="32"/>
      <c r="O314" s="31">
        <v>40</v>
      </c>
      <c r="P314" s="8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3"/>
      <c r="V314" s="33"/>
      <c r="W314" s="34" t="s">
        <v>71</v>
      </c>
      <c r="X314" s="575">
        <v>0</v>
      </c>
      <c r="Y314" s="576">
        <f>IFERROR(IF(X314="",0,CEILING((X314/$H314),1)*$H314),"")</f>
        <v>0</v>
      </c>
      <c r="Z314" s="35" t="str">
        <f>IFERROR(IF(Y314=0,"",ROUNDUP(Y314/H314,0)*0.01898),"")</f>
        <v/>
      </c>
      <c r="AA314" s="55"/>
      <c r="AB314" s="56"/>
      <c r="AC314" s="365" t="s">
        <v>502</v>
      </c>
      <c r="AG314" s="63"/>
      <c r="AJ314" s="66"/>
      <c r="AK314" s="66">
        <v>0</v>
      </c>
      <c r="BB314" s="36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t="27" hidden="1" customHeight="1" x14ac:dyDescent="0.25">
      <c r="A315" s="53" t="s">
        <v>503</v>
      </c>
      <c r="B315" s="53" t="s">
        <v>504</v>
      </c>
      <c r="C315" s="30">
        <v>4301051819</v>
      </c>
      <c r="D315" s="594">
        <v>4607091387964</v>
      </c>
      <c r="E315" s="595"/>
      <c r="F315" s="574">
        <v>1.35</v>
      </c>
      <c r="G315" s="31">
        <v>6</v>
      </c>
      <c r="H315" s="574">
        <v>8.1</v>
      </c>
      <c r="I315" s="574">
        <v>8.6010000000000009</v>
      </c>
      <c r="J315" s="31">
        <v>64</v>
      </c>
      <c r="K315" s="31" t="s">
        <v>107</v>
      </c>
      <c r="L315" s="31"/>
      <c r="M315" s="32" t="s">
        <v>79</v>
      </c>
      <c r="N315" s="32"/>
      <c r="O315" s="31">
        <v>40</v>
      </c>
      <c r="P315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3"/>
      <c r="V315" s="33"/>
      <c r="W315" s="34" t="s">
        <v>71</v>
      </c>
      <c r="X315" s="575">
        <v>0</v>
      </c>
      <c r="Y315" s="576">
        <f>IFERROR(IF(X315="",0,CEILING((X315/$H315),1)*$H315),"")</f>
        <v>0</v>
      </c>
      <c r="Z315" s="35" t="str">
        <f>IFERROR(IF(Y315=0,"",ROUNDUP(Y315/H315,0)*0.01898),"")</f>
        <v/>
      </c>
      <c r="AA315" s="55"/>
      <c r="AB315" s="56"/>
      <c r="AC315" s="367" t="s">
        <v>505</v>
      </c>
      <c r="AG315" s="63"/>
      <c r="AJ315" s="66"/>
      <c r="AK315" s="66">
        <v>0</v>
      </c>
      <c r="BB315" s="36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t="27" customHeight="1" x14ac:dyDescent="0.25">
      <c r="A316" s="53" t="s">
        <v>506</v>
      </c>
      <c r="B316" s="53" t="s">
        <v>507</v>
      </c>
      <c r="C316" s="30">
        <v>4301051734</v>
      </c>
      <c r="D316" s="594">
        <v>4680115884588</v>
      </c>
      <c r="E316" s="595"/>
      <c r="F316" s="574">
        <v>0.5</v>
      </c>
      <c r="G316" s="31">
        <v>6</v>
      </c>
      <c r="H316" s="574">
        <v>3</v>
      </c>
      <c r="I316" s="574">
        <v>3.246</v>
      </c>
      <c r="J316" s="31">
        <v>182</v>
      </c>
      <c r="K316" s="31" t="s">
        <v>78</v>
      </c>
      <c r="L316" s="31"/>
      <c r="M316" s="32" t="s">
        <v>79</v>
      </c>
      <c r="N316" s="32"/>
      <c r="O316" s="31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3"/>
      <c r="V316" s="33"/>
      <c r="W316" s="34" t="s">
        <v>71</v>
      </c>
      <c r="X316" s="575">
        <v>46</v>
      </c>
      <c r="Y316" s="576">
        <f>IFERROR(IF(X316="",0,CEILING((X316/$H316),1)*$H316),"")</f>
        <v>48</v>
      </c>
      <c r="Z316" s="35">
        <f>IFERROR(IF(Y316=0,"",ROUNDUP(Y316/H316,0)*0.00651),"")</f>
        <v>0.10416</v>
      </c>
      <c r="AA316" s="55"/>
      <c r="AB316" s="56"/>
      <c r="AC316" s="369" t="s">
        <v>508</v>
      </c>
      <c r="AG316" s="63"/>
      <c r="AJ316" s="66"/>
      <c r="AK316" s="66">
        <v>0</v>
      </c>
      <c r="BB316" s="370" t="s">
        <v>1</v>
      </c>
      <c r="BM316" s="63">
        <f>IFERROR(X316*I316/H316,"0")</f>
        <v>49.771999999999998</v>
      </c>
      <c r="BN316" s="63">
        <f>IFERROR(Y316*I316/H316,"0")</f>
        <v>51.936</v>
      </c>
      <c r="BO316" s="63">
        <f>IFERROR(1/J316*(X316/H316),"0")</f>
        <v>8.4249084249084255E-2</v>
      </c>
      <c r="BP316" s="63">
        <f>IFERROR(1/J316*(Y316/H316),"0")</f>
        <v>8.7912087912087919E-2</v>
      </c>
    </row>
    <row r="317" spans="1:68" ht="27" hidden="1" customHeight="1" x14ac:dyDescent="0.25">
      <c r="A317" s="53" t="s">
        <v>509</v>
      </c>
      <c r="B317" s="53" t="s">
        <v>510</v>
      </c>
      <c r="C317" s="30">
        <v>4301051578</v>
      </c>
      <c r="D317" s="594">
        <v>4607091387513</v>
      </c>
      <c r="E317" s="595"/>
      <c r="F317" s="574">
        <v>0.45</v>
      </c>
      <c r="G317" s="31">
        <v>6</v>
      </c>
      <c r="H317" s="574">
        <v>2.7</v>
      </c>
      <c r="I317" s="574">
        <v>2.9580000000000002</v>
      </c>
      <c r="J317" s="31">
        <v>182</v>
      </c>
      <c r="K317" s="31" t="s">
        <v>78</v>
      </c>
      <c r="L317" s="31"/>
      <c r="M317" s="32" t="s">
        <v>94</v>
      </c>
      <c r="N317" s="32"/>
      <c r="O317" s="31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3"/>
      <c r="V317" s="33"/>
      <c r="W317" s="34" t="s">
        <v>71</v>
      </c>
      <c r="X317" s="575">
        <v>0</v>
      </c>
      <c r="Y317" s="576">
        <f>IFERROR(IF(X317="",0,CEILING((X317/$H317),1)*$H317),"")</f>
        <v>0</v>
      </c>
      <c r="Z317" s="35" t="str">
        <f>IFERROR(IF(Y317=0,"",ROUNDUP(Y317/H317,0)*0.00651),"")</f>
        <v/>
      </c>
      <c r="AA317" s="55"/>
      <c r="AB317" s="56"/>
      <c r="AC317" s="371" t="s">
        <v>511</v>
      </c>
      <c r="AG317" s="63"/>
      <c r="AJ317" s="66"/>
      <c r="AK317" s="66">
        <v>0</v>
      </c>
      <c r="BB317" s="372" t="s">
        <v>1</v>
      </c>
      <c r="BM317" s="63">
        <f>IFERROR(X317*I317/H317,"0")</f>
        <v>0</v>
      </c>
      <c r="BN317" s="63">
        <f>IFERROR(Y317*I317/H317,"0")</f>
        <v>0</v>
      </c>
      <c r="BO317" s="63">
        <f>IFERROR(1/J317*(X317/H317),"0")</f>
        <v>0</v>
      </c>
      <c r="BP317" s="63">
        <f>IFERROR(1/J317*(Y317/H317),"0")</f>
        <v>0</v>
      </c>
    </row>
    <row r="318" spans="1:68" x14ac:dyDescent="0.2">
      <c r="A318" s="592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3"/>
      <c r="P318" s="584" t="s">
        <v>73</v>
      </c>
      <c r="Q318" s="585"/>
      <c r="R318" s="585"/>
      <c r="S318" s="585"/>
      <c r="T318" s="585"/>
      <c r="U318" s="585"/>
      <c r="V318" s="586"/>
      <c r="W318" s="36" t="s">
        <v>74</v>
      </c>
      <c r="X318" s="577">
        <f>IFERROR(X313/H313,"0")+IFERROR(X314/H314,"0")+IFERROR(X315/H315,"0")+IFERROR(X316/H316,"0")+IFERROR(X317/H317,"0")</f>
        <v>40.974358974358978</v>
      </c>
      <c r="Y318" s="577">
        <f>IFERROR(Y313/H313,"0")+IFERROR(Y314/H314,"0")+IFERROR(Y315/H315,"0")+IFERROR(Y316/H316,"0")+IFERROR(Y317/H317,"0")</f>
        <v>42</v>
      </c>
      <c r="Z318" s="577">
        <f>IFERROR(IF(Z313="",0,Z313),"0")+IFERROR(IF(Z314="",0,Z314),"0")+IFERROR(IF(Z315="",0,Z315),"0")+IFERROR(IF(Z316="",0,Z316),"0")+IFERROR(IF(Z317="",0,Z317),"0")</f>
        <v>0.59764000000000006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3"/>
      <c r="P319" s="584" t="s">
        <v>73</v>
      </c>
      <c r="Q319" s="585"/>
      <c r="R319" s="585"/>
      <c r="S319" s="585"/>
      <c r="T319" s="585"/>
      <c r="U319" s="585"/>
      <c r="V319" s="586"/>
      <c r="W319" s="36" t="s">
        <v>71</v>
      </c>
      <c r="X319" s="577">
        <f>IFERROR(SUM(X313:X317),"0")</f>
        <v>246</v>
      </c>
      <c r="Y319" s="577">
        <f>IFERROR(SUM(Y313:Y317),"0")</f>
        <v>250.79999999999998</v>
      </c>
      <c r="Z319" s="36"/>
      <c r="AA319" s="578"/>
      <c r="AB319" s="578"/>
      <c r="AC319" s="578"/>
    </row>
    <row r="320" spans="1:68" ht="14.25" hidden="1" customHeight="1" x14ac:dyDescent="0.25">
      <c r="A320" s="587" t="s">
        <v>175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65"/>
      <c r="AB320" s="565"/>
      <c r="AC320" s="565"/>
    </row>
    <row r="321" spans="1:68" ht="27" hidden="1" customHeight="1" x14ac:dyDescent="0.25">
      <c r="A321" s="53" t="s">
        <v>512</v>
      </c>
      <c r="B321" s="53" t="s">
        <v>513</v>
      </c>
      <c r="C321" s="30">
        <v>4301060387</v>
      </c>
      <c r="D321" s="594">
        <v>4607091380880</v>
      </c>
      <c r="E321" s="595"/>
      <c r="F321" s="574">
        <v>1.4</v>
      </c>
      <c r="G321" s="31">
        <v>6</v>
      </c>
      <c r="H321" s="574">
        <v>8.4</v>
      </c>
      <c r="I321" s="574">
        <v>8.9190000000000005</v>
      </c>
      <c r="J321" s="31">
        <v>64</v>
      </c>
      <c r="K321" s="31" t="s">
        <v>107</v>
      </c>
      <c r="L321" s="31"/>
      <c r="M321" s="32" t="s">
        <v>79</v>
      </c>
      <c r="N321" s="32"/>
      <c r="O321" s="31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3"/>
      <c r="V321" s="33"/>
      <c r="W321" s="34" t="s">
        <v>71</v>
      </c>
      <c r="X321" s="575">
        <v>0</v>
      </c>
      <c r="Y321" s="576">
        <f>IFERROR(IF(X321="",0,CEILING((X321/$H321),1)*$H321),"")</f>
        <v>0</v>
      </c>
      <c r="Z321" s="35" t="str">
        <f>IFERROR(IF(Y321=0,"",ROUNDUP(Y321/H321,0)*0.01898),"")</f>
        <v/>
      </c>
      <c r="AA321" s="55"/>
      <c r="AB321" s="56"/>
      <c r="AC321" s="373" t="s">
        <v>514</v>
      </c>
      <c r="AG321" s="63"/>
      <c r="AJ321" s="66"/>
      <c r="AK321" s="66">
        <v>0</v>
      </c>
      <c r="BB321" s="374" t="s">
        <v>1</v>
      </c>
      <c r="BM321" s="63">
        <f>IFERROR(X321*I321/H321,"0")</f>
        <v>0</v>
      </c>
      <c r="BN321" s="63">
        <f>IFERROR(Y321*I321/H321,"0")</f>
        <v>0</v>
      </c>
      <c r="BO321" s="63">
        <f>IFERROR(1/J321*(X321/H321),"0")</f>
        <v>0</v>
      </c>
      <c r="BP321" s="63">
        <f>IFERROR(1/J321*(Y321/H321),"0")</f>
        <v>0</v>
      </c>
    </row>
    <row r="322" spans="1:68" ht="27" customHeight="1" x14ac:dyDescent="0.25">
      <c r="A322" s="53" t="s">
        <v>515</v>
      </c>
      <c r="B322" s="53" t="s">
        <v>516</v>
      </c>
      <c r="C322" s="30">
        <v>4301060406</v>
      </c>
      <c r="D322" s="594">
        <v>4607091384482</v>
      </c>
      <c r="E322" s="595"/>
      <c r="F322" s="574">
        <v>1.3</v>
      </c>
      <c r="G322" s="31">
        <v>6</v>
      </c>
      <c r="H322" s="574">
        <v>7.8</v>
      </c>
      <c r="I322" s="574">
        <v>8.3190000000000008</v>
      </c>
      <c r="J322" s="31">
        <v>64</v>
      </c>
      <c r="K322" s="31" t="s">
        <v>107</v>
      </c>
      <c r="L322" s="31"/>
      <c r="M322" s="32" t="s">
        <v>79</v>
      </c>
      <c r="N322" s="32"/>
      <c r="O322" s="31">
        <v>30</v>
      </c>
      <c r="P322" s="7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3"/>
      <c r="V322" s="33"/>
      <c r="W322" s="34" t="s">
        <v>71</v>
      </c>
      <c r="X322" s="575">
        <v>21</v>
      </c>
      <c r="Y322" s="576">
        <f>IFERROR(IF(X322="",0,CEILING((X322/$H322),1)*$H322),"")</f>
        <v>23.4</v>
      </c>
      <c r="Z322" s="35">
        <f>IFERROR(IF(Y322=0,"",ROUNDUP(Y322/H322,0)*0.01898),"")</f>
        <v>5.6940000000000004E-2</v>
      </c>
      <c r="AA322" s="55"/>
      <c r="AB322" s="56"/>
      <c r="AC322" s="375" t="s">
        <v>517</v>
      </c>
      <c r="AG322" s="63"/>
      <c r="AJ322" s="66"/>
      <c r="AK322" s="66">
        <v>0</v>
      </c>
      <c r="BB322" s="376" t="s">
        <v>1</v>
      </c>
      <c r="BM322" s="63">
        <f>IFERROR(X322*I322/H322,"0")</f>
        <v>22.397307692307695</v>
      </c>
      <c r="BN322" s="63">
        <f>IFERROR(Y322*I322/H322,"0")</f>
        <v>24.957000000000001</v>
      </c>
      <c r="BO322" s="63">
        <f>IFERROR(1/J322*(X322/H322),"0")</f>
        <v>4.2067307692307696E-2</v>
      </c>
      <c r="BP322" s="63">
        <f>IFERROR(1/J322*(Y322/H322),"0")</f>
        <v>4.6875E-2</v>
      </c>
    </row>
    <row r="323" spans="1:68" ht="16.5" hidden="1" customHeight="1" x14ac:dyDescent="0.25">
      <c r="A323" s="53" t="s">
        <v>518</v>
      </c>
      <c r="B323" s="53" t="s">
        <v>519</v>
      </c>
      <c r="C323" s="30">
        <v>4301060484</v>
      </c>
      <c r="D323" s="594">
        <v>4607091380897</v>
      </c>
      <c r="E323" s="595"/>
      <c r="F323" s="574">
        <v>1.4</v>
      </c>
      <c r="G323" s="31">
        <v>6</v>
      </c>
      <c r="H323" s="574">
        <v>8.4</v>
      </c>
      <c r="I323" s="574">
        <v>8.9190000000000005</v>
      </c>
      <c r="J323" s="31">
        <v>64</v>
      </c>
      <c r="K323" s="31" t="s">
        <v>107</v>
      </c>
      <c r="L323" s="31"/>
      <c r="M323" s="32" t="s">
        <v>94</v>
      </c>
      <c r="N323" s="32"/>
      <c r="O323" s="31">
        <v>30</v>
      </c>
      <c r="P323" s="9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3"/>
      <c r="V323" s="33"/>
      <c r="W323" s="34" t="s">
        <v>71</v>
      </c>
      <c r="X323" s="575">
        <v>0</v>
      </c>
      <c r="Y323" s="576">
        <f>IFERROR(IF(X323="",0,CEILING((X323/$H323),1)*$H323),"")</f>
        <v>0</v>
      </c>
      <c r="Z323" s="35" t="str">
        <f>IFERROR(IF(Y323=0,"",ROUNDUP(Y323/H323,0)*0.01898),"")</f>
        <v/>
      </c>
      <c r="AA323" s="55"/>
      <c r="AB323" s="56"/>
      <c r="AC323" s="377" t="s">
        <v>520</v>
      </c>
      <c r="AG323" s="63"/>
      <c r="AJ323" s="66"/>
      <c r="AK323" s="66">
        <v>0</v>
      </c>
      <c r="BB323" s="378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592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3"/>
      <c r="P324" s="584" t="s">
        <v>73</v>
      </c>
      <c r="Q324" s="585"/>
      <c r="R324" s="585"/>
      <c r="S324" s="585"/>
      <c r="T324" s="585"/>
      <c r="U324" s="585"/>
      <c r="V324" s="586"/>
      <c r="W324" s="36" t="s">
        <v>74</v>
      </c>
      <c r="X324" s="577">
        <f>IFERROR(X321/H321,"0")+IFERROR(X322/H322,"0")+IFERROR(X323/H323,"0")</f>
        <v>2.6923076923076925</v>
      </c>
      <c r="Y324" s="577">
        <f>IFERROR(Y321/H321,"0")+IFERROR(Y322/H322,"0")+IFERROR(Y323/H323,"0")</f>
        <v>3</v>
      </c>
      <c r="Z324" s="577">
        <f>IFERROR(IF(Z321="",0,Z321),"0")+IFERROR(IF(Z322="",0,Z322),"0")+IFERROR(IF(Z323="",0,Z323),"0")</f>
        <v>5.6940000000000004E-2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3"/>
      <c r="P325" s="584" t="s">
        <v>73</v>
      </c>
      <c r="Q325" s="585"/>
      <c r="R325" s="585"/>
      <c r="S325" s="585"/>
      <c r="T325" s="585"/>
      <c r="U325" s="585"/>
      <c r="V325" s="586"/>
      <c r="W325" s="36" t="s">
        <v>71</v>
      </c>
      <c r="X325" s="577">
        <f>IFERROR(SUM(X321:X323),"0")</f>
        <v>21</v>
      </c>
      <c r="Y325" s="577">
        <f>IFERROR(SUM(Y321:Y323),"0")</f>
        <v>23.4</v>
      </c>
      <c r="Z325" s="36"/>
      <c r="AA325" s="578"/>
      <c r="AB325" s="578"/>
      <c r="AC325" s="578"/>
    </row>
    <row r="326" spans="1:68" ht="14.25" hidden="1" customHeight="1" x14ac:dyDescent="0.25">
      <c r="A326" s="587" t="s">
        <v>96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65"/>
      <c r="AB326" s="565"/>
      <c r="AC326" s="565"/>
    </row>
    <row r="327" spans="1:68" ht="27" customHeight="1" x14ac:dyDescent="0.25">
      <c r="A327" s="53" t="s">
        <v>521</v>
      </c>
      <c r="B327" s="53" t="s">
        <v>522</v>
      </c>
      <c r="C327" s="30">
        <v>4301030235</v>
      </c>
      <c r="D327" s="594">
        <v>4607091388381</v>
      </c>
      <c r="E327" s="595"/>
      <c r="F327" s="574">
        <v>0.38</v>
      </c>
      <c r="G327" s="31">
        <v>8</v>
      </c>
      <c r="H327" s="574">
        <v>3.04</v>
      </c>
      <c r="I327" s="574">
        <v>3.33</v>
      </c>
      <c r="J327" s="31">
        <v>132</v>
      </c>
      <c r="K327" s="31" t="s">
        <v>112</v>
      </c>
      <c r="L327" s="31"/>
      <c r="M327" s="32" t="s">
        <v>99</v>
      </c>
      <c r="N327" s="32"/>
      <c r="O327" s="31">
        <v>180</v>
      </c>
      <c r="P327" s="803" t="s">
        <v>523</v>
      </c>
      <c r="Q327" s="580"/>
      <c r="R327" s="580"/>
      <c r="S327" s="580"/>
      <c r="T327" s="581"/>
      <c r="U327" s="33"/>
      <c r="V327" s="33"/>
      <c r="W327" s="34" t="s">
        <v>71</v>
      </c>
      <c r="X327" s="575">
        <v>6</v>
      </c>
      <c r="Y327" s="576">
        <f>IFERROR(IF(X327="",0,CEILING((X327/$H327),1)*$H327),"")</f>
        <v>6.08</v>
      </c>
      <c r="Z327" s="35">
        <f>IFERROR(IF(Y327=0,"",ROUNDUP(Y327/H327,0)*0.00902),"")</f>
        <v>1.804E-2</v>
      </c>
      <c r="AA327" s="55"/>
      <c r="AB327" s="56"/>
      <c r="AC327" s="379" t="s">
        <v>524</v>
      </c>
      <c r="AG327" s="63"/>
      <c r="AJ327" s="66"/>
      <c r="AK327" s="66">
        <v>0</v>
      </c>
      <c r="BB327" s="380" t="s">
        <v>1</v>
      </c>
      <c r="BM327" s="63">
        <f>IFERROR(X327*I327/H327,"0")</f>
        <v>6.5723684210526319</v>
      </c>
      <c r="BN327" s="63">
        <f>IFERROR(Y327*I327/H327,"0")</f>
        <v>6.66</v>
      </c>
      <c r="BO327" s="63">
        <f>IFERROR(1/J327*(X327/H327),"0")</f>
        <v>1.4952153110047847E-2</v>
      </c>
      <c r="BP327" s="63">
        <f>IFERROR(1/J327*(Y327/H327),"0")</f>
        <v>1.5151515151515152E-2</v>
      </c>
    </row>
    <row r="328" spans="1:68" ht="27" hidden="1" customHeight="1" x14ac:dyDescent="0.25">
      <c r="A328" s="53" t="s">
        <v>525</v>
      </c>
      <c r="B328" s="53" t="s">
        <v>526</v>
      </c>
      <c r="C328" s="30">
        <v>4301032055</v>
      </c>
      <c r="D328" s="594">
        <v>4680115886476</v>
      </c>
      <c r="E328" s="595"/>
      <c r="F328" s="574">
        <v>0.38</v>
      </c>
      <c r="G328" s="31">
        <v>8</v>
      </c>
      <c r="H328" s="574">
        <v>3.04</v>
      </c>
      <c r="I328" s="574">
        <v>3.32</v>
      </c>
      <c r="J328" s="31">
        <v>156</v>
      </c>
      <c r="K328" s="31" t="s">
        <v>112</v>
      </c>
      <c r="L328" s="31"/>
      <c r="M328" s="32" t="s">
        <v>99</v>
      </c>
      <c r="N328" s="32"/>
      <c r="O328" s="31">
        <v>180</v>
      </c>
      <c r="P328" s="598" t="s">
        <v>527</v>
      </c>
      <c r="Q328" s="580"/>
      <c r="R328" s="580"/>
      <c r="S328" s="580"/>
      <c r="T328" s="581"/>
      <c r="U328" s="33"/>
      <c r="V328" s="33"/>
      <c r="W328" s="34" t="s">
        <v>71</v>
      </c>
      <c r="X328" s="575">
        <v>0</v>
      </c>
      <c r="Y328" s="576">
        <f>IFERROR(IF(X328="",0,CEILING((X328/$H328),1)*$H328),"")</f>
        <v>0</v>
      </c>
      <c r="Z328" s="35" t="str">
        <f>IFERROR(IF(Y328=0,"",ROUNDUP(Y328/H328,0)*0.00753),"")</f>
        <v/>
      </c>
      <c r="AA328" s="55"/>
      <c r="AB328" s="56"/>
      <c r="AC328" s="381" t="s">
        <v>528</v>
      </c>
      <c r="AG328" s="63"/>
      <c r="AJ328" s="66"/>
      <c r="AK328" s="66">
        <v>0</v>
      </c>
      <c r="BB328" s="382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t="27" hidden="1" customHeight="1" x14ac:dyDescent="0.25">
      <c r="A329" s="53" t="s">
        <v>529</v>
      </c>
      <c r="B329" s="53" t="s">
        <v>530</v>
      </c>
      <c r="C329" s="30">
        <v>4301030232</v>
      </c>
      <c r="D329" s="594">
        <v>4607091388374</v>
      </c>
      <c r="E329" s="595"/>
      <c r="F329" s="574">
        <v>0.38</v>
      </c>
      <c r="G329" s="31">
        <v>8</v>
      </c>
      <c r="H329" s="574">
        <v>3.04</v>
      </c>
      <c r="I329" s="574">
        <v>3.29</v>
      </c>
      <c r="J329" s="31">
        <v>132</v>
      </c>
      <c r="K329" s="31" t="s">
        <v>112</v>
      </c>
      <c r="L329" s="31"/>
      <c r="M329" s="32" t="s">
        <v>99</v>
      </c>
      <c r="N329" s="32"/>
      <c r="O329" s="31">
        <v>180</v>
      </c>
      <c r="P329" s="658" t="s">
        <v>531</v>
      </c>
      <c r="Q329" s="580"/>
      <c r="R329" s="580"/>
      <c r="S329" s="580"/>
      <c r="T329" s="581"/>
      <c r="U329" s="33"/>
      <c r="V329" s="33"/>
      <c r="W329" s="34" t="s">
        <v>71</v>
      </c>
      <c r="X329" s="575">
        <v>0</v>
      </c>
      <c r="Y329" s="576">
        <f>IFERROR(IF(X329="",0,CEILING((X329/$H329),1)*$H329),"")</f>
        <v>0</v>
      </c>
      <c r="Z329" s="35" t="str">
        <f>IFERROR(IF(Y329=0,"",ROUNDUP(Y329/H329,0)*0.00902),"")</f>
        <v/>
      </c>
      <c r="AA329" s="55"/>
      <c r="AB329" s="56"/>
      <c r="AC329" s="383" t="s">
        <v>524</v>
      </c>
      <c r="AG329" s="63"/>
      <c r="AJ329" s="66"/>
      <c r="AK329" s="66">
        <v>0</v>
      </c>
      <c r="BB329" s="384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t="27" customHeight="1" x14ac:dyDescent="0.25">
      <c r="A330" s="53" t="s">
        <v>532</v>
      </c>
      <c r="B330" s="53" t="s">
        <v>533</v>
      </c>
      <c r="C330" s="30">
        <v>4301032015</v>
      </c>
      <c r="D330" s="594">
        <v>4607091383102</v>
      </c>
      <c r="E330" s="595"/>
      <c r="F330" s="574">
        <v>0.17</v>
      </c>
      <c r="G330" s="31">
        <v>15</v>
      </c>
      <c r="H330" s="574">
        <v>2.5499999999999998</v>
      </c>
      <c r="I330" s="574">
        <v>2.9550000000000001</v>
      </c>
      <c r="J330" s="31">
        <v>182</v>
      </c>
      <c r="K330" s="31" t="s">
        <v>78</v>
      </c>
      <c r="L330" s="31"/>
      <c r="M330" s="32" t="s">
        <v>99</v>
      </c>
      <c r="N330" s="32"/>
      <c r="O330" s="31">
        <v>180</v>
      </c>
      <c r="P330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3"/>
      <c r="V330" s="33"/>
      <c r="W330" s="34" t="s">
        <v>71</v>
      </c>
      <c r="X330" s="575">
        <v>8</v>
      </c>
      <c r="Y330" s="576">
        <f>IFERROR(IF(X330="",0,CEILING((X330/$H330),1)*$H330),"")</f>
        <v>10.199999999999999</v>
      </c>
      <c r="Z330" s="35">
        <f>IFERROR(IF(Y330=0,"",ROUNDUP(Y330/H330,0)*0.00651),"")</f>
        <v>2.6040000000000001E-2</v>
      </c>
      <c r="AA330" s="55"/>
      <c r="AB330" s="56"/>
      <c r="AC330" s="385" t="s">
        <v>534</v>
      </c>
      <c r="AG330" s="63"/>
      <c r="AJ330" s="66"/>
      <c r="AK330" s="66">
        <v>0</v>
      </c>
      <c r="BB330" s="386" t="s">
        <v>1</v>
      </c>
      <c r="BM330" s="63">
        <f>IFERROR(X330*I330/H330,"0")</f>
        <v>9.2705882352941185</v>
      </c>
      <c r="BN330" s="63">
        <f>IFERROR(Y330*I330/H330,"0")</f>
        <v>11.82</v>
      </c>
      <c r="BO330" s="63">
        <f>IFERROR(1/J330*(X330/H330),"0")</f>
        <v>1.7237664296487831E-2</v>
      </c>
      <c r="BP330" s="63">
        <f>IFERROR(1/J330*(Y330/H330),"0")</f>
        <v>2.197802197802198E-2</v>
      </c>
    </row>
    <row r="331" spans="1:68" ht="27" hidden="1" customHeight="1" x14ac:dyDescent="0.25">
      <c r="A331" s="53" t="s">
        <v>535</v>
      </c>
      <c r="B331" s="53" t="s">
        <v>536</v>
      </c>
      <c r="C331" s="30">
        <v>4301030233</v>
      </c>
      <c r="D331" s="594">
        <v>4607091388404</v>
      </c>
      <c r="E331" s="595"/>
      <c r="F331" s="574">
        <v>0.17</v>
      </c>
      <c r="G331" s="31">
        <v>15</v>
      </c>
      <c r="H331" s="574">
        <v>2.5499999999999998</v>
      </c>
      <c r="I331" s="574">
        <v>2.88</v>
      </c>
      <c r="J331" s="31">
        <v>182</v>
      </c>
      <c r="K331" s="31" t="s">
        <v>78</v>
      </c>
      <c r="L331" s="31"/>
      <c r="M331" s="32" t="s">
        <v>99</v>
      </c>
      <c r="N331" s="32"/>
      <c r="O331" s="31">
        <v>180</v>
      </c>
      <c r="P331" s="6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3"/>
      <c r="V331" s="33"/>
      <c r="W331" s="34" t="s">
        <v>71</v>
      </c>
      <c r="X331" s="575">
        <v>0</v>
      </c>
      <c r="Y331" s="576">
        <f>IFERROR(IF(X331="",0,CEILING((X331/$H331),1)*$H331),"")</f>
        <v>0</v>
      </c>
      <c r="Z331" s="35" t="str">
        <f>IFERROR(IF(Y331=0,"",ROUNDUP(Y331/H331,0)*0.00651),"")</f>
        <v/>
      </c>
      <c r="AA331" s="55"/>
      <c r="AB331" s="56"/>
      <c r="AC331" s="387" t="s">
        <v>524</v>
      </c>
      <c r="AG331" s="63"/>
      <c r="AJ331" s="66"/>
      <c r="AK331" s="66">
        <v>0</v>
      </c>
      <c r="BB331" s="388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x14ac:dyDescent="0.2">
      <c r="A332" s="592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3"/>
      <c r="P332" s="584" t="s">
        <v>73</v>
      </c>
      <c r="Q332" s="585"/>
      <c r="R332" s="585"/>
      <c r="S332" s="585"/>
      <c r="T332" s="585"/>
      <c r="U332" s="585"/>
      <c r="V332" s="586"/>
      <c r="W332" s="36" t="s">
        <v>74</v>
      </c>
      <c r="X332" s="577">
        <f>IFERROR(X327/H327,"0")+IFERROR(X328/H328,"0")+IFERROR(X329/H329,"0")+IFERROR(X330/H330,"0")+IFERROR(X331/H331,"0")</f>
        <v>5.1109391124871006</v>
      </c>
      <c r="Y332" s="577">
        <f>IFERROR(Y327/H327,"0")+IFERROR(Y328/H328,"0")+IFERROR(Y329/H329,"0")+IFERROR(Y330/H330,"0")+IFERROR(Y331/H331,"0")</f>
        <v>6</v>
      </c>
      <c r="Z332" s="577">
        <f>IFERROR(IF(Z327="",0,Z327),"0")+IFERROR(IF(Z328="",0,Z328),"0")+IFERROR(IF(Z329="",0,Z329),"0")+IFERROR(IF(Z330="",0,Z330),"0")+IFERROR(IF(Z331="",0,Z331),"0")</f>
        <v>4.4080000000000001E-2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3"/>
      <c r="P333" s="584" t="s">
        <v>73</v>
      </c>
      <c r="Q333" s="585"/>
      <c r="R333" s="585"/>
      <c r="S333" s="585"/>
      <c r="T333" s="585"/>
      <c r="U333" s="585"/>
      <c r="V333" s="586"/>
      <c r="W333" s="36" t="s">
        <v>71</v>
      </c>
      <c r="X333" s="577">
        <f>IFERROR(SUM(X327:X331),"0")</f>
        <v>14</v>
      </c>
      <c r="Y333" s="577">
        <f>IFERROR(SUM(Y327:Y331),"0")</f>
        <v>16.28</v>
      </c>
      <c r="Z333" s="36"/>
      <c r="AA333" s="578"/>
      <c r="AB333" s="578"/>
      <c r="AC333" s="578"/>
    </row>
    <row r="334" spans="1:68" ht="14.25" hidden="1" customHeight="1" x14ac:dyDescent="0.25">
      <c r="A334" s="587" t="s">
        <v>537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65"/>
      <c r="AB334" s="565"/>
      <c r="AC334" s="565"/>
    </row>
    <row r="335" spans="1:68" ht="16.5" customHeight="1" x14ac:dyDescent="0.25">
      <c r="A335" s="53" t="s">
        <v>538</v>
      </c>
      <c r="B335" s="53" t="s">
        <v>539</v>
      </c>
      <c r="C335" s="30">
        <v>4301180007</v>
      </c>
      <c r="D335" s="594">
        <v>4680115881808</v>
      </c>
      <c r="E335" s="595"/>
      <c r="F335" s="574">
        <v>0.1</v>
      </c>
      <c r="G335" s="31">
        <v>20</v>
      </c>
      <c r="H335" s="574">
        <v>2</v>
      </c>
      <c r="I335" s="574">
        <v>2.2400000000000002</v>
      </c>
      <c r="J335" s="31">
        <v>238</v>
      </c>
      <c r="K335" s="31" t="s">
        <v>78</v>
      </c>
      <c r="L335" s="31"/>
      <c r="M335" s="32" t="s">
        <v>540</v>
      </c>
      <c r="N335" s="32"/>
      <c r="O335" s="31">
        <v>730</v>
      </c>
      <c r="P335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3"/>
      <c r="V335" s="33"/>
      <c r="W335" s="34" t="s">
        <v>71</v>
      </c>
      <c r="X335" s="575">
        <v>20</v>
      </c>
      <c r="Y335" s="576">
        <f>IFERROR(IF(X335="",0,CEILING((X335/$H335),1)*$H335),"")</f>
        <v>20</v>
      </c>
      <c r="Z335" s="35">
        <f>IFERROR(IF(Y335=0,"",ROUNDUP(Y335/H335,0)*0.00474),"")</f>
        <v>4.7400000000000005E-2</v>
      </c>
      <c r="AA335" s="55"/>
      <c r="AB335" s="56"/>
      <c r="AC335" s="389" t="s">
        <v>541</v>
      </c>
      <c r="AG335" s="63"/>
      <c r="AJ335" s="66"/>
      <c r="AK335" s="66">
        <v>0</v>
      </c>
      <c r="BB335" s="390" t="s">
        <v>1</v>
      </c>
      <c r="BM335" s="63">
        <f>IFERROR(X335*I335/H335,"0")</f>
        <v>22.400000000000002</v>
      </c>
      <c r="BN335" s="63">
        <f>IFERROR(Y335*I335/H335,"0")</f>
        <v>22.400000000000002</v>
      </c>
      <c r="BO335" s="63">
        <f>IFERROR(1/J335*(X335/H335),"0")</f>
        <v>4.2016806722689072E-2</v>
      </c>
      <c r="BP335" s="63">
        <f>IFERROR(1/J335*(Y335/H335),"0")</f>
        <v>4.2016806722689072E-2</v>
      </c>
    </row>
    <row r="336" spans="1:68" ht="27" hidden="1" customHeight="1" x14ac:dyDescent="0.25">
      <c r="A336" s="53" t="s">
        <v>542</v>
      </c>
      <c r="B336" s="53" t="s">
        <v>543</v>
      </c>
      <c r="C336" s="30">
        <v>4301180006</v>
      </c>
      <c r="D336" s="594">
        <v>4680115881822</v>
      </c>
      <c r="E336" s="595"/>
      <c r="F336" s="574">
        <v>0.1</v>
      </c>
      <c r="G336" s="31">
        <v>20</v>
      </c>
      <c r="H336" s="574">
        <v>2</v>
      </c>
      <c r="I336" s="574">
        <v>2.2400000000000002</v>
      </c>
      <c r="J336" s="31">
        <v>238</v>
      </c>
      <c r="K336" s="31" t="s">
        <v>78</v>
      </c>
      <c r="L336" s="31"/>
      <c r="M336" s="32" t="s">
        <v>540</v>
      </c>
      <c r="N336" s="32"/>
      <c r="O336" s="31">
        <v>730</v>
      </c>
      <c r="P336" s="8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3"/>
      <c r="V336" s="33"/>
      <c r="W336" s="34" t="s">
        <v>71</v>
      </c>
      <c r="X336" s="575">
        <v>0</v>
      </c>
      <c r="Y336" s="576">
        <f>IFERROR(IF(X336="",0,CEILING((X336/$H336),1)*$H336),"")</f>
        <v>0</v>
      </c>
      <c r="Z336" s="35" t="str">
        <f>IFERROR(IF(Y336=0,"",ROUNDUP(Y336/H336,0)*0.00474),"")</f>
        <v/>
      </c>
      <c r="AA336" s="55"/>
      <c r="AB336" s="56"/>
      <c r="AC336" s="391" t="s">
        <v>541</v>
      </c>
      <c r="AG336" s="63"/>
      <c r="AJ336" s="66"/>
      <c r="AK336" s="66">
        <v>0</v>
      </c>
      <c r="BB336" s="392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544</v>
      </c>
      <c r="B337" s="53" t="s">
        <v>545</v>
      </c>
      <c r="C337" s="30">
        <v>4301180001</v>
      </c>
      <c r="D337" s="594">
        <v>4680115880016</v>
      </c>
      <c r="E337" s="595"/>
      <c r="F337" s="574">
        <v>0.1</v>
      </c>
      <c r="G337" s="31">
        <v>20</v>
      </c>
      <c r="H337" s="574">
        <v>2</v>
      </c>
      <c r="I337" s="574">
        <v>2.2400000000000002</v>
      </c>
      <c r="J337" s="31">
        <v>238</v>
      </c>
      <c r="K337" s="31" t="s">
        <v>78</v>
      </c>
      <c r="L337" s="31"/>
      <c r="M337" s="32" t="s">
        <v>540</v>
      </c>
      <c r="N337" s="32"/>
      <c r="O337" s="31">
        <v>730</v>
      </c>
      <c r="P337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3"/>
      <c r="V337" s="33"/>
      <c r="W337" s="34" t="s">
        <v>71</v>
      </c>
      <c r="X337" s="575">
        <v>20</v>
      </c>
      <c r="Y337" s="576">
        <f>IFERROR(IF(X337="",0,CEILING((X337/$H337),1)*$H337),"")</f>
        <v>20</v>
      </c>
      <c r="Z337" s="35">
        <f>IFERROR(IF(Y337=0,"",ROUNDUP(Y337/H337,0)*0.00474),"")</f>
        <v>4.7400000000000005E-2</v>
      </c>
      <c r="AA337" s="55"/>
      <c r="AB337" s="56"/>
      <c r="AC337" s="393" t="s">
        <v>541</v>
      </c>
      <c r="AG337" s="63"/>
      <c r="AJ337" s="66"/>
      <c r="AK337" s="66">
        <v>0</v>
      </c>
      <c r="BB337" s="394" t="s">
        <v>1</v>
      </c>
      <c r="BM337" s="63">
        <f>IFERROR(X337*I337/H337,"0")</f>
        <v>22.400000000000002</v>
      </c>
      <c r="BN337" s="63">
        <f>IFERROR(Y337*I337/H337,"0")</f>
        <v>22.400000000000002</v>
      </c>
      <c r="BO337" s="63">
        <f>IFERROR(1/J337*(X337/H337),"0")</f>
        <v>4.2016806722689072E-2</v>
      </c>
      <c r="BP337" s="63">
        <f>IFERROR(1/J337*(Y337/H337),"0")</f>
        <v>4.2016806722689072E-2</v>
      </c>
    </row>
    <row r="338" spans="1:68" x14ac:dyDescent="0.2">
      <c r="A338" s="592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3"/>
      <c r="P338" s="584" t="s">
        <v>73</v>
      </c>
      <c r="Q338" s="585"/>
      <c r="R338" s="585"/>
      <c r="S338" s="585"/>
      <c r="T338" s="585"/>
      <c r="U338" s="585"/>
      <c r="V338" s="586"/>
      <c r="W338" s="36" t="s">
        <v>74</v>
      </c>
      <c r="X338" s="577">
        <f>IFERROR(X335/H335,"0")+IFERROR(X336/H336,"0")+IFERROR(X337/H337,"0")</f>
        <v>20</v>
      </c>
      <c r="Y338" s="577">
        <f>IFERROR(Y335/H335,"0")+IFERROR(Y336/H336,"0")+IFERROR(Y337/H337,"0")</f>
        <v>20</v>
      </c>
      <c r="Z338" s="577">
        <f>IFERROR(IF(Z335="",0,Z335),"0")+IFERROR(IF(Z336="",0,Z336),"0")+IFERROR(IF(Z337="",0,Z337),"0")</f>
        <v>9.4800000000000009E-2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3"/>
      <c r="P339" s="584" t="s">
        <v>73</v>
      </c>
      <c r="Q339" s="585"/>
      <c r="R339" s="585"/>
      <c r="S339" s="585"/>
      <c r="T339" s="585"/>
      <c r="U339" s="585"/>
      <c r="V339" s="586"/>
      <c r="W339" s="36" t="s">
        <v>71</v>
      </c>
      <c r="X339" s="577">
        <f>IFERROR(SUM(X335:X337),"0")</f>
        <v>40</v>
      </c>
      <c r="Y339" s="577">
        <f>IFERROR(SUM(Y335:Y337),"0")</f>
        <v>40</v>
      </c>
      <c r="Z339" s="36"/>
      <c r="AA339" s="578"/>
      <c r="AB339" s="578"/>
      <c r="AC339" s="578"/>
    </row>
    <row r="340" spans="1:68" ht="16.5" hidden="1" customHeight="1" x14ac:dyDescent="0.25">
      <c r="A340" s="648" t="s">
        <v>546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1"/>
      <c r="AB340" s="571"/>
      <c r="AC340" s="571"/>
    </row>
    <row r="341" spans="1:68" ht="14.25" hidden="1" customHeight="1" x14ac:dyDescent="0.25">
      <c r="A341" s="587" t="s">
        <v>75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65"/>
      <c r="AB341" s="565"/>
      <c r="AC341" s="565"/>
    </row>
    <row r="342" spans="1:68" ht="27" hidden="1" customHeight="1" x14ac:dyDescent="0.25">
      <c r="A342" s="53" t="s">
        <v>547</v>
      </c>
      <c r="B342" s="53" t="s">
        <v>548</v>
      </c>
      <c r="C342" s="30">
        <v>4301051489</v>
      </c>
      <c r="D342" s="594">
        <v>4607091387919</v>
      </c>
      <c r="E342" s="595"/>
      <c r="F342" s="574">
        <v>1.35</v>
      </c>
      <c r="G342" s="31">
        <v>6</v>
      </c>
      <c r="H342" s="574">
        <v>8.1</v>
      </c>
      <c r="I342" s="574">
        <v>8.6189999999999998</v>
      </c>
      <c r="J342" s="31">
        <v>64</v>
      </c>
      <c r="K342" s="31" t="s">
        <v>107</v>
      </c>
      <c r="L342" s="31"/>
      <c r="M342" s="32" t="s">
        <v>94</v>
      </c>
      <c r="N342" s="32"/>
      <c r="O342" s="31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3"/>
      <c r="V342" s="33"/>
      <c r="W342" s="34" t="s">
        <v>71</v>
      </c>
      <c r="X342" s="575">
        <v>0</v>
      </c>
      <c r="Y342" s="576">
        <f>IFERROR(IF(X342="",0,CEILING((X342/$H342),1)*$H342),"")</f>
        <v>0</v>
      </c>
      <c r="Z342" s="35" t="str">
        <f>IFERROR(IF(Y342=0,"",ROUNDUP(Y342/H342,0)*0.01898),"")</f>
        <v/>
      </c>
      <c r="AA342" s="55"/>
      <c r="AB342" s="56"/>
      <c r="AC342" s="395" t="s">
        <v>549</v>
      </c>
      <c r="AG342" s="63"/>
      <c r="AJ342" s="66"/>
      <c r="AK342" s="66">
        <v>0</v>
      </c>
      <c r="BB342" s="396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t="27" customHeight="1" x14ac:dyDescent="0.25">
      <c r="A343" s="53" t="s">
        <v>550</v>
      </c>
      <c r="B343" s="53" t="s">
        <v>551</v>
      </c>
      <c r="C343" s="30">
        <v>4301051461</v>
      </c>
      <c r="D343" s="594">
        <v>4680115883604</v>
      </c>
      <c r="E343" s="595"/>
      <c r="F343" s="574">
        <v>0.35</v>
      </c>
      <c r="G343" s="31">
        <v>6</v>
      </c>
      <c r="H343" s="574">
        <v>2.1</v>
      </c>
      <c r="I343" s="574">
        <v>2.3519999999999999</v>
      </c>
      <c r="J343" s="31">
        <v>182</v>
      </c>
      <c r="K343" s="31" t="s">
        <v>78</v>
      </c>
      <c r="L343" s="31"/>
      <c r="M343" s="32" t="s">
        <v>79</v>
      </c>
      <c r="N343" s="32"/>
      <c r="O343" s="31">
        <v>45</v>
      </c>
      <c r="P343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3"/>
      <c r="V343" s="33"/>
      <c r="W343" s="34" t="s">
        <v>71</v>
      </c>
      <c r="X343" s="575">
        <v>100</v>
      </c>
      <c r="Y343" s="576">
        <f>IFERROR(IF(X343="",0,CEILING((X343/$H343),1)*$H343),"")</f>
        <v>100.80000000000001</v>
      </c>
      <c r="Z343" s="35">
        <f>IFERROR(IF(Y343=0,"",ROUNDUP(Y343/H343,0)*0.00651),"")</f>
        <v>0.31247999999999998</v>
      </c>
      <c r="AA343" s="55"/>
      <c r="AB343" s="56"/>
      <c r="AC343" s="397" t="s">
        <v>552</v>
      </c>
      <c r="AG343" s="63"/>
      <c r="AJ343" s="66"/>
      <c r="AK343" s="66">
        <v>0</v>
      </c>
      <c r="BB343" s="398" t="s">
        <v>1</v>
      </c>
      <c r="BM343" s="63">
        <f>IFERROR(X343*I343/H343,"0")</f>
        <v>111.99999999999999</v>
      </c>
      <c r="BN343" s="63">
        <f>IFERROR(Y343*I343/H343,"0")</f>
        <v>112.896</v>
      </c>
      <c r="BO343" s="63">
        <f>IFERROR(1/J343*(X343/H343),"0")</f>
        <v>0.26164311878597596</v>
      </c>
      <c r="BP343" s="63">
        <f>IFERROR(1/J343*(Y343/H343),"0")</f>
        <v>0.26373626373626374</v>
      </c>
    </row>
    <row r="344" spans="1:68" ht="27" hidden="1" customHeight="1" x14ac:dyDescent="0.25">
      <c r="A344" s="53" t="s">
        <v>553</v>
      </c>
      <c r="B344" s="53" t="s">
        <v>554</v>
      </c>
      <c r="C344" s="30">
        <v>4301051864</v>
      </c>
      <c r="D344" s="594">
        <v>4680115883567</v>
      </c>
      <c r="E344" s="595"/>
      <c r="F344" s="574">
        <v>0.35</v>
      </c>
      <c r="G344" s="31">
        <v>6</v>
      </c>
      <c r="H344" s="574">
        <v>2.1</v>
      </c>
      <c r="I344" s="574">
        <v>2.34</v>
      </c>
      <c r="J344" s="31">
        <v>182</v>
      </c>
      <c r="K344" s="31" t="s">
        <v>78</v>
      </c>
      <c r="L344" s="31"/>
      <c r="M344" s="32" t="s">
        <v>94</v>
      </c>
      <c r="N344" s="32"/>
      <c r="O344" s="31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3"/>
      <c r="V344" s="33"/>
      <c r="W344" s="34" t="s">
        <v>71</v>
      </c>
      <c r="X344" s="575">
        <v>0</v>
      </c>
      <c r="Y344" s="576">
        <f>IFERROR(IF(X344="",0,CEILING((X344/$H344),1)*$H344),"")</f>
        <v>0</v>
      </c>
      <c r="Z344" s="35" t="str">
        <f>IFERROR(IF(Y344=0,"",ROUNDUP(Y344/H344,0)*0.00651),"")</f>
        <v/>
      </c>
      <c r="AA344" s="55"/>
      <c r="AB344" s="56"/>
      <c r="AC344" s="399" t="s">
        <v>555</v>
      </c>
      <c r="AG344" s="63"/>
      <c r="AJ344" s="66"/>
      <c r="AK344" s="66">
        <v>0</v>
      </c>
      <c r="BB344" s="400" t="s">
        <v>1</v>
      </c>
      <c r="BM344" s="63">
        <f>IFERROR(X344*I344/H344,"0")</f>
        <v>0</v>
      </c>
      <c r="BN344" s="63">
        <f>IFERROR(Y344*I344/H344,"0")</f>
        <v>0</v>
      </c>
      <c r="BO344" s="63">
        <f>IFERROR(1/J344*(X344/H344),"0")</f>
        <v>0</v>
      </c>
      <c r="BP344" s="63">
        <f>IFERROR(1/J344*(Y344/H344),"0")</f>
        <v>0</v>
      </c>
    </row>
    <row r="345" spans="1:68" x14ac:dyDescent="0.2">
      <c r="A345" s="592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3"/>
      <c r="P345" s="584" t="s">
        <v>73</v>
      </c>
      <c r="Q345" s="585"/>
      <c r="R345" s="585"/>
      <c r="S345" s="585"/>
      <c r="T345" s="585"/>
      <c r="U345" s="585"/>
      <c r="V345" s="586"/>
      <c r="W345" s="36" t="s">
        <v>74</v>
      </c>
      <c r="X345" s="577">
        <f>IFERROR(X342/H342,"0")+IFERROR(X343/H343,"0")+IFERROR(X344/H344,"0")</f>
        <v>47.61904761904762</v>
      </c>
      <c r="Y345" s="577">
        <f>IFERROR(Y342/H342,"0")+IFERROR(Y343/H343,"0")+IFERROR(Y344/H344,"0")</f>
        <v>48</v>
      </c>
      <c r="Z345" s="577">
        <f>IFERROR(IF(Z342="",0,Z342),"0")+IFERROR(IF(Z343="",0,Z343),"0")+IFERROR(IF(Z344="",0,Z344),"0")</f>
        <v>0.31247999999999998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3"/>
      <c r="P346" s="584" t="s">
        <v>73</v>
      </c>
      <c r="Q346" s="585"/>
      <c r="R346" s="585"/>
      <c r="S346" s="585"/>
      <c r="T346" s="585"/>
      <c r="U346" s="585"/>
      <c r="V346" s="586"/>
      <c r="W346" s="36" t="s">
        <v>71</v>
      </c>
      <c r="X346" s="577">
        <f>IFERROR(SUM(X342:X344),"0")</f>
        <v>100</v>
      </c>
      <c r="Y346" s="577">
        <f>IFERROR(SUM(Y342:Y344),"0")</f>
        <v>100.80000000000001</v>
      </c>
      <c r="Z346" s="36"/>
      <c r="AA346" s="578"/>
      <c r="AB346" s="578"/>
      <c r="AC346" s="578"/>
    </row>
    <row r="347" spans="1:68" ht="27.75" hidden="1" customHeight="1" x14ac:dyDescent="0.2">
      <c r="A347" s="601" t="s">
        <v>556</v>
      </c>
      <c r="B347" s="602"/>
      <c r="C347" s="602"/>
      <c r="D347" s="602"/>
      <c r="E347" s="602"/>
      <c r="F347" s="602"/>
      <c r="G347" s="602"/>
      <c r="H347" s="602"/>
      <c r="I347" s="602"/>
      <c r="J347" s="602"/>
      <c r="K347" s="602"/>
      <c r="L347" s="602"/>
      <c r="M347" s="602"/>
      <c r="N347" s="602"/>
      <c r="O347" s="602"/>
      <c r="P347" s="602"/>
      <c r="Q347" s="602"/>
      <c r="R347" s="602"/>
      <c r="S347" s="602"/>
      <c r="T347" s="602"/>
      <c r="U347" s="602"/>
      <c r="V347" s="602"/>
      <c r="W347" s="602"/>
      <c r="X347" s="602"/>
      <c r="Y347" s="602"/>
      <c r="Z347" s="602"/>
      <c r="AA347" s="47"/>
      <c r="AB347" s="47"/>
      <c r="AC347" s="47"/>
    </row>
    <row r="348" spans="1:68" ht="16.5" hidden="1" customHeight="1" x14ac:dyDescent="0.25">
      <c r="A348" s="648" t="s">
        <v>557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1"/>
      <c r="AB348" s="571"/>
      <c r="AC348" s="571"/>
    </row>
    <row r="349" spans="1:68" ht="14.25" hidden="1" customHeight="1" x14ac:dyDescent="0.25">
      <c r="A349" s="587" t="s">
        <v>104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65"/>
      <c r="AB349" s="565"/>
      <c r="AC349" s="565"/>
    </row>
    <row r="350" spans="1:68" ht="37.5" hidden="1" customHeight="1" x14ac:dyDescent="0.25">
      <c r="A350" s="53" t="s">
        <v>558</v>
      </c>
      <c r="B350" s="53" t="s">
        <v>559</v>
      </c>
      <c r="C350" s="30">
        <v>4301011869</v>
      </c>
      <c r="D350" s="594">
        <v>4680115884847</v>
      </c>
      <c r="E350" s="595"/>
      <c r="F350" s="574">
        <v>2.5</v>
      </c>
      <c r="G350" s="31">
        <v>6</v>
      </c>
      <c r="H350" s="574">
        <v>15</v>
      </c>
      <c r="I350" s="574">
        <v>15.48</v>
      </c>
      <c r="J350" s="31">
        <v>48</v>
      </c>
      <c r="K350" s="31" t="s">
        <v>107</v>
      </c>
      <c r="L350" s="31" t="s">
        <v>126</v>
      </c>
      <c r="M350" s="32" t="s">
        <v>69</v>
      </c>
      <c r="N350" s="32"/>
      <c r="O350" s="31">
        <v>60</v>
      </c>
      <c r="P350" s="6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3"/>
      <c r="V350" s="33"/>
      <c r="W350" s="34" t="s">
        <v>71</v>
      </c>
      <c r="X350" s="575">
        <v>0</v>
      </c>
      <c r="Y350" s="576">
        <f t="shared" ref="Y350:Y356" si="58">IFERROR(IF(X350="",0,CEILING((X350/$H350),1)*$H350),"")</f>
        <v>0</v>
      </c>
      <c r="Z350" s="35" t="str">
        <f>IFERROR(IF(Y350=0,"",ROUNDUP(Y350/H350,0)*0.02175),"")</f>
        <v/>
      </c>
      <c r="AA350" s="55"/>
      <c r="AB350" s="56"/>
      <c r="AC350" s="401" t="s">
        <v>560</v>
      </c>
      <c r="AG350" s="63"/>
      <c r="AJ350" s="66" t="s">
        <v>128</v>
      </c>
      <c r="AK350" s="66">
        <v>720</v>
      </c>
      <c r="BB350" s="402" t="s">
        <v>1</v>
      </c>
      <c r="BM350" s="63">
        <f t="shared" ref="BM350:BM356" si="59">IFERROR(X350*I350/H350,"0")</f>
        <v>0</v>
      </c>
      <c r="BN350" s="63">
        <f t="shared" ref="BN350:BN356" si="60">IFERROR(Y350*I350/H350,"0")</f>
        <v>0</v>
      </c>
      <c r="BO350" s="63">
        <f t="shared" ref="BO350:BO356" si="61">IFERROR(1/J350*(X350/H350),"0")</f>
        <v>0</v>
      </c>
      <c r="BP350" s="63">
        <f t="shared" ref="BP350:BP356" si="62">IFERROR(1/J350*(Y350/H350),"0")</f>
        <v>0</v>
      </c>
    </row>
    <row r="351" spans="1:68" ht="27" customHeight="1" x14ac:dyDescent="0.25">
      <c r="A351" s="53" t="s">
        <v>561</v>
      </c>
      <c r="B351" s="53" t="s">
        <v>562</v>
      </c>
      <c r="C351" s="30">
        <v>4301011870</v>
      </c>
      <c r="D351" s="594">
        <v>4680115884854</v>
      </c>
      <c r="E351" s="595"/>
      <c r="F351" s="574">
        <v>2.5</v>
      </c>
      <c r="G351" s="31">
        <v>6</v>
      </c>
      <c r="H351" s="574">
        <v>15</v>
      </c>
      <c r="I351" s="574">
        <v>15.48</v>
      </c>
      <c r="J351" s="31">
        <v>48</v>
      </c>
      <c r="K351" s="31" t="s">
        <v>107</v>
      </c>
      <c r="L351" s="31" t="s">
        <v>126</v>
      </c>
      <c r="M351" s="32" t="s">
        <v>69</v>
      </c>
      <c r="N351" s="32"/>
      <c r="O351" s="31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3"/>
      <c r="V351" s="33"/>
      <c r="W351" s="34" t="s">
        <v>71</v>
      </c>
      <c r="X351" s="575">
        <v>55</v>
      </c>
      <c r="Y351" s="576">
        <f t="shared" si="58"/>
        <v>60</v>
      </c>
      <c r="Z351" s="35">
        <f>IFERROR(IF(Y351=0,"",ROUNDUP(Y351/H351,0)*0.02175),"")</f>
        <v>8.6999999999999994E-2</v>
      </c>
      <c r="AA351" s="55"/>
      <c r="AB351" s="56"/>
      <c r="AC351" s="403" t="s">
        <v>563</v>
      </c>
      <c r="AG351" s="63"/>
      <c r="AJ351" s="66" t="s">
        <v>128</v>
      </c>
      <c r="AK351" s="66">
        <v>720</v>
      </c>
      <c r="BB351" s="404" t="s">
        <v>1</v>
      </c>
      <c r="BM351" s="63">
        <f t="shared" si="59"/>
        <v>56.76</v>
      </c>
      <c r="BN351" s="63">
        <f t="shared" si="60"/>
        <v>61.92</v>
      </c>
      <c r="BO351" s="63">
        <f t="shared" si="61"/>
        <v>7.6388888888888881E-2</v>
      </c>
      <c r="BP351" s="63">
        <f t="shared" si="62"/>
        <v>8.3333333333333329E-2</v>
      </c>
    </row>
    <row r="352" spans="1:68" ht="27" customHeight="1" x14ac:dyDescent="0.25">
      <c r="A352" s="53" t="s">
        <v>564</v>
      </c>
      <c r="B352" s="53" t="s">
        <v>565</v>
      </c>
      <c r="C352" s="30">
        <v>4301011832</v>
      </c>
      <c r="D352" s="594">
        <v>4607091383997</v>
      </c>
      <c r="E352" s="595"/>
      <c r="F352" s="574">
        <v>2.5</v>
      </c>
      <c r="G352" s="31">
        <v>6</v>
      </c>
      <c r="H352" s="574">
        <v>15</v>
      </c>
      <c r="I352" s="574">
        <v>15.48</v>
      </c>
      <c r="J352" s="31">
        <v>48</v>
      </c>
      <c r="K352" s="31" t="s">
        <v>107</v>
      </c>
      <c r="L352" s="31"/>
      <c r="M352" s="32" t="s">
        <v>94</v>
      </c>
      <c r="N352" s="32"/>
      <c r="O352" s="31">
        <v>60</v>
      </c>
      <c r="P352" s="5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3"/>
      <c r="V352" s="33"/>
      <c r="W352" s="34" t="s">
        <v>71</v>
      </c>
      <c r="X352" s="575">
        <v>50</v>
      </c>
      <c r="Y352" s="576">
        <f t="shared" si="58"/>
        <v>60</v>
      </c>
      <c r="Z352" s="35">
        <f>IFERROR(IF(Y352=0,"",ROUNDUP(Y352/H352,0)*0.02175),"")</f>
        <v>8.6999999999999994E-2</v>
      </c>
      <c r="AA352" s="55"/>
      <c r="AB352" s="56"/>
      <c r="AC352" s="405" t="s">
        <v>566</v>
      </c>
      <c r="AG352" s="63"/>
      <c r="AJ352" s="66"/>
      <c r="AK352" s="66">
        <v>0</v>
      </c>
      <c r="BB352" s="406" t="s">
        <v>1</v>
      </c>
      <c r="BM352" s="63">
        <f t="shared" si="59"/>
        <v>51.6</v>
      </c>
      <c r="BN352" s="63">
        <f t="shared" si="60"/>
        <v>61.92</v>
      </c>
      <c r="BO352" s="63">
        <f t="shared" si="61"/>
        <v>6.9444444444444448E-2</v>
      </c>
      <c r="BP352" s="63">
        <f t="shared" si="62"/>
        <v>8.3333333333333329E-2</v>
      </c>
    </row>
    <row r="353" spans="1:68" ht="37.5" customHeight="1" x14ac:dyDescent="0.25">
      <c r="A353" s="53" t="s">
        <v>567</v>
      </c>
      <c r="B353" s="53" t="s">
        <v>568</v>
      </c>
      <c r="C353" s="30">
        <v>4301011867</v>
      </c>
      <c r="D353" s="594">
        <v>4680115884830</v>
      </c>
      <c r="E353" s="595"/>
      <c r="F353" s="574">
        <v>2.5</v>
      </c>
      <c r="G353" s="31">
        <v>6</v>
      </c>
      <c r="H353" s="574">
        <v>15</v>
      </c>
      <c r="I353" s="574">
        <v>15.48</v>
      </c>
      <c r="J353" s="31">
        <v>48</v>
      </c>
      <c r="K353" s="31" t="s">
        <v>107</v>
      </c>
      <c r="L353" s="31" t="s">
        <v>126</v>
      </c>
      <c r="M353" s="32" t="s">
        <v>69</v>
      </c>
      <c r="N353" s="32"/>
      <c r="O353" s="31">
        <v>60</v>
      </c>
      <c r="P353" s="7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3"/>
      <c r="V353" s="33"/>
      <c r="W353" s="34" t="s">
        <v>71</v>
      </c>
      <c r="X353" s="575">
        <v>600</v>
      </c>
      <c r="Y353" s="576">
        <f t="shared" si="58"/>
        <v>600</v>
      </c>
      <c r="Z353" s="35">
        <f>IFERROR(IF(Y353=0,"",ROUNDUP(Y353/H353,0)*0.02175),"")</f>
        <v>0.86999999999999988</v>
      </c>
      <c r="AA353" s="55"/>
      <c r="AB353" s="56"/>
      <c r="AC353" s="407" t="s">
        <v>569</v>
      </c>
      <c r="AG353" s="63"/>
      <c r="AJ353" s="66" t="s">
        <v>128</v>
      </c>
      <c r="AK353" s="66">
        <v>720</v>
      </c>
      <c r="BB353" s="408" t="s">
        <v>1</v>
      </c>
      <c r="BM353" s="63">
        <f t="shared" si="59"/>
        <v>619.20000000000005</v>
      </c>
      <c r="BN353" s="63">
        <f t="shared" si="60"/>
        <v>619.20000000000005</v>
      </c>
      <c r="BO353" s="63">
        <f t="shared" si="61"/>
        <v>0.83333333333333326</v>
      </c>
      <c r="BP353" s="63">
        <f t="shared" si="62"/>
        <v>0.83333333333333326</v>
      </c>
    </row>
    <row r="354" spans="1:68" ht="27" hidden="1" customHeight="1" x14ac:dyDescent="0.25">
      <c r="A354" s="53" t="s">
        <v>570</v>
      </c>
      <c r="B354" s="53" t="s">
        <v>571</v>
      </c>
      <c r="C354" s="30">
        <v>4301011433</v>
      </c>
      <c r="D354" s="594">
        <v>4680115882638</v>
      </c>
      <c r="E354" s="595"/>
      <c r="F354" s="574">
        <v>0.4</v>
      </c>
      <c r="G354" s="31">
        <v>10</v>
      </c>
      <c r="H354" s="574">
        <v>4</v>
      </c>
      <c r="I354" s="574">
        <v>4.21</v>
      </c>
      <c r="J354" s="31">
        <v>132</v>
      </c>
      <c r="K354" s="31" t="s">
        <v>112</v>
      </c>
      <c r="L354" s="31"/>
      <c r="M354" s="32" t="s">
        <v>108</v>
      </c>
      <c r="N354" s="32"/>
      <c r="O354" s="31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3"/>
      <c r="V354" s="33"/>
      <c r="W354" s="34" t="s">
        <v>71</v>
      </c>
      <c r="X354" s="575">
        <v>0</v>
      </c>
      <c r="Y354" s="576">
        <f t="shared" si="58"/>
        <v>0</v>
      </c>
      <c r="Z354" s="35" t="str">
        <f>IFERROR(IF(Y354=0,"",ROUNDUP(Y354/H354,0)*0.00902),"")</f>
        <v/>
      </c>
      <c r="AA354" s="55"/>
      <c r="AB354" s="56"/>
      <c r="AC354" s="409" t="s">
        <v>572</v>
      </c>
      <c r="AG354" s="63"/>
      <c r="AJ354" s="66"/>
      <c r="AK354" s="66">
        <v>0</v>
      </c>
      <c r="BB354" s="410" t="s">
        <v>1</v>
      </c>
      <c r="BM354" s="63">
        <f t="shared" si="59"/>
        <v>0</v>
      </c>
      <c r="BN354" s="63">
        <f t="shared" si="60"/>
        <v>0</v>
      </c>
      <c r="BO354" s="63">
        <f t="shared" si="61"/>
        <v>0</v>
      </c>
      <c r="BP354" s="63">
        <f t="shared" si="62"/>
        <v>0</v>
      </c>
    </row>
    <row r="355" spans="1:68" ht="27" hidden="1" customHeight="1" x14ac:dyDescent="0.25">
      <c r="A355" s="53" t="s">
        <v>573</v>
      </c>
      <c r="B355" s="53" t="s">
        <v>574</v>
      </c>
      <c r="C355" s="30">
        <v>4301011952</v>
      </c>
      <c r="D355" s="594">
        <v>4680115884922</v>
      </c>
      <c r="E355" s="595"/>
      <c r="F355" s="574">
        <v>0.5</v>
      </c>
      <c r="G355" s="31">
        <v>10</v>
      </c>
      <c r="H355" s="574">
        <v>5</v>
      </c>
      <c r="I355" s="574">
        <v>5.21</v>
      </c>
      <c r="J355" s="31">
        <v>132</v>
      </c>
      <c r="K355" s="31" t="s">
        <v>112</v>
      </c>
      <c r="L355" s="31"/>
      <c r="M355" s="32" t="s">
        <v>69</v>
      </c>
      <c r="N355" s="32"/>
      <c r="O355" s="31">
        <v>60</v>
      </c>
      <c r="P355" s="8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3"/>
      <c r="V355" s="33"/>
      <c r="W355" s="34" t="s">
        <v>71</v>
      </c>
      <c r="X355" s="575">
        <v>0</v>
      </c>
      <c r="Y355" s="576">
        <f t="shared" si="58"/>
        <v>0</v>
      </c>
      <c r="Z355" s="35" t="str">
        <f>IFERROR(IF(Y355=0,"",ROUNDUP(Y355/H355,0)*0.00902),"")</f>
        <v/>
      </c>
      <c r="AA355" s="55"/>
      <c r="AB355" s="56"/>
      <c r="AC355" s="411" t="s">
        <v>563</v>
      </c>
      <c r="AG355" s="63"/>
      <c r="AJ355" s="66"/>
      <c r="AK355" s="66">
        <v>0</v>
      </c>
      <c r="BB355" s="412" t="s">
        <v>1</v>
      </c>
      <c r="BM355" s="63">
        <f t="shared" si="59"/>
        <v>0</v>
      </c>
      <c r="BN355" s="63">
        <f t="shared" si="60"/>
        <v>0</v>
      </c>
      <c r="BO355" s="63">
        <f t="shared" si="61"/>
        <v>0</v>
      </c>
      <c r="BP355" s="63">
        <f t="shared" si="62"/>
        <v>0</v>
      </c>
    </row>
    <row r="356" spans="1:68" ht="37.5" hidden="1" customHeight="1" x14ac:dyDescent="0.25">
      <c r="A356" s="53" t="s">
        <v>575</v>
      </c>
      <c r="B356" s="53" t="s">
        <v>576</v>
      </c>
      <c r="C356" s="30">
        <v>4301011868</v>
      </c>
      <c r="D356" s="594">
        <v>4680115884861</v>
      </c>
      <c r="E356" s="595"/>
      <c r="F356" s="574">
        <v>0.5</v>
      </c>
      <c r="G356" s="31">
        <v>10</v>
      </c>
      <c r="H356" s="574">
        <v>5</v>
      </c>
      <c r="I356" s="574">
        <v>5.21</v>
      </c>
      <c r="J356" s="31">
        <v>132</v>
      </c>
      <c r="K356" s="31" t="s">
        <v>112</v>
      </c>
      <c r="L356" s="31"/>
      <c r="M356" s="32" t="s">
        <v>69</v>
      </c>
      <c r="N356" s="32"/>
      <c r="O356" s="31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3"/>
      <c r="V356" s="33"/>
      <c r="W356" s="34" t="s">
        <v>71</v>
      </c>
      <c r="X356" s="575">
        <v>0</v>
      </c>
      <c r="Y356" s="576">
        <f t="shared" si="58"/>
        <v>0</v>
      </c>
      <c r="Z356" s="35" t="str">
        <f>IFERROR(IF(Y356=0,"",ROUNDUP(Y356/H356,0)*0.00902),"")</f>
        <v/>
      </c>
      <c r="AA356" s="55"/>
      <c r="AB356" s="56"/>
      <c r="AC356" s="413" t="s">
        <v>569</v>
      </c>
      <c r="AG356" s="63"/>
      <c r="AJ356" s="66"/>
      <c r="AK356" s="66">
        <v>0</v>
      </c>
      <c r="BB356" s="414" t="s">
        <v>1</v>
      </c>
      <c r="BM356" s="63">
        <f t="shared" si="59"/>
        <v>0</v>
      </c>
      <c r="BN356" s="63">
        <f t="shared" si="60"/>
        <v>0</v>
      </c>
      <c r="BO356" s="63">
        <f t="shared" si="61"/>
        <v>0</v>
      </c>
      <c r="BP356" s="63">
        <f t="shared" si="62"/>
        <v>0</v>
      </c>
    </row>
    <row r="357" spans="1:68" x14ac:dyDescent="0.2">
      <c r="A357" s="592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3"/>
      <c r="P357" s="584" t="s">
        <v>73</v>
      </c>
      <c r="Q357" s="585"/>
      <c r="R357" s="585"/>
      <c r="S357" s="585"/>
      <c r="T357" s="585"/>
      <c r="U357" s="585"/>
      <c r="V357" s="586"/>
      <c r="W357" s="36" t="s">
        <v>74</v>
      </c>
      <c r="X357" s="577">
        <f>IFERROR(X350/H350,"0")+IFERROR(X351/H351,"0")+IFERROR(X352/H352,"0")+IFERROR(X353/H353,"0")+IFERROR(X354/H354,"0")+IFERROR(X355/H355,"0")+IFERROR(X356/H356,"0")</f>
        <v>47</v>
      </c>
      <c r="Y357" s="577">
        <f>IFERROR(Y350/H350,"0")+IFERROR(Y351/H351,"0")+IFERROR(Y352/H352,"0")+IFERROR(Y353/H353,"0")+IFERROR(Y354/H354,"0")+IFERROR(Y355/H355,"0")+IFERROR(Y356/H356,"0")</f>
        <v>48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1.0439999999999998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3"/>
      <c r="P358" s="584" t="s">
        <v>73</v>
      </c>
      <c r="Q358" s="585"/>
      <c r="R358" s="585"/>
      <c r="S358" s="585"/>
      <c r="T358" s="585"/>
      <c r="U358" s="585"/>
      <c r="V358" s="586"/>
      <c r="W358" s="36" t="s">
        <v>71</v>
      </c>
      <c r="X358" s="577">
        <f>IFERROR(SUM(X350:X356),"0")</f>
        <v>705</v>
      </c>
      <c r="Y358" s="577">
        <f>IFERROR(SUM(Y350:Y356),"0")</f>
        <v>720</v>
      </c>
      <c r="Z358" s="36"/>
      <c r="AA358" s="578"/>
      <c r="AB358" s="578"/>
      <c r="AC358" s="578"/>
    </row>
    <row r="359" spans="1:68" ht="14.25" hidden="1" customHeight="1" x14ac:dyDescent="0.25">
      <c r="A359" s="587" t="s">
        <v>140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65"/>
      <c r="AB359" s="565"/>
      <c r="AC359" s="565"/>
    </row>
    <row r="360" spans="1:68" ht="27" customHeight="1" x14ac:dyDescent="0.25">
      <c r="A360" s="53" t="s">
        <v>577</v>
      </c>
      <c r="B360" s="53" t="s">
        <v>578</v>
      </c>
      <c r="C360" s="30">
        <v>4301020178</v>
      </c>
      <c r="D360" s="594">
        <v>4607091383980</v>
      </c>
      <c r="E360" s="595"/>
      <c r="F360" s="574">
        <v>2.5</v>
      </c>
      <c r="G360" s="31">
        <v>6</v>
      </c>
      <c r="H360" s="574">
        <v>15</v>
      </c>
      <c r="I360" s="574">
        <v>15.48</v>
      </c>
      <c r="J360" s="31">
        <v>48</v>
      </c>
      <c r="K360" s="31" t="s">
        <v>107</v>
      </c>
      <c r="L360" s="31" t="s">
        <v>126</v>
      </c>
      <c r="M360" s="32" t="s">
        <v>108</v>
      </c>
      <c r="N360" s="32"/>
      <c r="O360" s="31">
        <v>50</v>
      </c>
      <c r="P360" s="9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3"/>
      <c r="V360" s="33"/>
      <c r="W360" s="34" t="s">
        <v>71</v>
      </c>
      <c r="X360" s="575">
        <v>380</v>
      </c>
      <c r="Y360" s="576">
        <f>IFERROR(IF(X360="",0,CEILING((X360/$H360),1)*$H360),"")</f>
        <v>390</v>
      </c>
      <c r="Z360" s="35">
        <f>IFERROR(IF(Y360=0,"",ROUNDUP(Y360/H360,0)*0.02175),"")</f>
        <v>0.5655</v>
      </c>
      <c r="AA360" s="55"/>
      <c r="AB360" s="56"/>
      <c r="AC360" s="415" t="s">
        <v>579</v>
      </c>
      <c r="AG360" s="63"/>
      <c r="AJ360" s="66" t="s">
        <v>128</v>
      </c>
      <c r="AK360" s="66">
        <v>720</v>
      </c>
      <c r="BB360" s="416" t="s">
        <v>1</v>
      </c>
      <c r="BM360" s="63">
        <f>IFERROR(X360*I360/H360,"0")</f>
        <v>392.16</v>
      </c>
      <c r="BN360" s="63">
        <f>IFERROR(Y360*I360/H360,"0")</f>
        <v>402.47999999999996</v>
      </c>
      <c r="BO360" s="63">
        <f>IFERROR(1/J360*(X360/H360),"0")</f>
        <v>0.52777777777777768</v>
      </c>
      <c r="BP360" s="63">
        <f>IFERROR(1/J360*(Y360/H360),"0")</f>
        <v>0.54166666666666663</v>
      </c>
    </row>
    <row r="361" spans="1:68" ht="16.5" customHeight="1" x14ac:dyDescent="0.25">
      <c r="A361" s="53" t="s">
        <v>580</v>
      </c>
      <c r="B361" s="53" t="s">
        <v>581</v>
      </c>
      <c r="C361" s="30">
        <v>4301020179</v>
      </c>
      <c r="D361" s="594">
        <v>4607091384178</v>
      </c>
      <c r="E361" s="595"/>
      <c r="F361" s="574">
        <v>0.4</v>
      </c>
      <c r="G361" s="31">
        <v>10</v>
      </c>
      <c r="H361" s="574">
        <v>4</v>
      </c>
      <c r="I361" s="574">
        <v>4.21</v>
      </c>
      <c r="J361" s="31">
        <v>132</v>
      </c>
      <c r="K361" s="31" t="s">
        <v>112</v>
      </c>
      <c r="L361" s="31"/>
      <c r="M361" s="32" t="s">
        <v>108</v>
      </c>
      <c r="N361" s="32"/>
      <c r="O361" s="31">
        <v>50</v>
      </c>
      <c r="P361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3"/>
      <c r="V361" s="33"/>
      <c r="W361" s="34" t="s">
        <v>71</v>
      </c>
      <c r="X361" s="575">
        <v>3</v>
      </c>
      <c r="Y361" s="576">
        <f>IFERROR(IF(X361="",0,CEILING((X361/$H361),1)*$H361),"")</f>
        <v>4</v>
      </c>
      <c r="Z361" s="35">
        <f>IFERROR(IF(Y361=0,"",ROUNDUP(Y361/H361,0)*0.00902),"")</f>
        <v>9.0200000000000002E-3</v>
      </c>
      <c r="AA361" s="55"/>
      <c r="AB361" s="56"/>
      <c r="AC361" s="417" t="s">
        <v>579</v>
      </c>
      <c r="AG361" s="63"/>
      <c r="AJ361" s="66"/>
      <c r="AK361" s="66">
        <v>0</v>
      </c>
      <c r="BB361" s="418" t="s">
        <v>1</v>
      </c>
      <c r="BM361" s="63">
        <f>IFERROR(X361*I361/H361,"0")</f>
        <v>3.1574999999999998</v>
      </c>
      <c r="BN361" s="63">
        <f>IFERROR(Y361*I361/H361,"0")</f>
        <v>4.21</v>
      </c>
      <c r="BO361" s="63">
        <f>IFERROR(1/J361*(X361/H361),"0")</f>
        <v>5.681818181818182E-3</v>
      </c>
      <c r="BP361" s="63">
        <f>IFERROR(1/J361*(Y361/H361),"0")</f>
        <v>7.575757575757576E-3</v>
      </c>
    </row>
    <row r="362" spans="1:68" x14ac:dyDescent="0.2">
      <c r="A362" s="592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3"/>
      <c r="P362" s="584" t="s">
        <v>73</v>
      </c>
      <c r="Q362" s="585"/>
      <c r="R362" s="585"/>
      <c r="S362" s="585"/>
      <c r="T362" s="585"/>
      <c r="U362" s="585"/>
      <c r="V362" s="586"/>
      <c r="W362" s="36" t="s">
        <v>74</v>
      </c>
      <c r="X362" s="577">
        <f>IFERROR(X360/H360,"0")+IFERROR(X361/H361,"0")</f>
        <v>26.083333333333332</v>
      </c>
      <c r="Y362" s="577">
        <f>IFERROR(Y360/H360,"0")+IFERROR(Y361/H361,"0")</f>
        <v>27</v>
      </c>
      <c r="Z362" s="577">
        <f>IFERROR(IF(Z360="",0,Z360),"0")+IFERROR(IF(Z361="",0,Z361),"0")</f>
        <v>0.57452000000000003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3"/>
      <c r="P363" s="584" t="s">
        <v>73</v>
      </c>
      <c r="Q363" s="585"/>
      <c r="R363" s="585"/>
      <c r="S363" s="585"/>
      <c r="T363" s="585"/>
      <c r="U363" s="585"/>
      <c r="V363" s="586"/>
      <c r="W363" s="36" t="s">
        <v>71</v>
      </c>
      <c r="X363" s="577">
        <f>IFERROR(SUM(X360:X361),"0")</f>
        <v>383</v>
      </c>
      <c r="Y363" s="577">
        <f>IFERROR(SUM(Y360:Y361),"0")</f>
        <v>394</v>
      </c>
      <c r="Z363" s="36"/>
      <c r="AA363" s="578"/>
      <c r="AB363" s="578"/>
      <c r="AC363" s="578"/>
    </row>
    <row r="364" spans="1:68" ht="14.25" hidden="1" customHeight="1" x14ac:dyDescent="0.25">
      <c r="A364" s="587" t="s">
        <v>75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65"/>
      <c r="AB364" s="565"/>
      <c r="AC364" s="565"/>
    </row>
    <row r="365" spans="1:68" ht="27" hidden="1" customHeight="1" x14ac:dyDescent="0.25">
      <c r="A365" s="53" t="s">
        <v>582</v>
      </c>
      <c r="B365" s="53" t="s">
        <v>583</v>
      </c>
      <c r="C365" s="30">
        <v>4301051903</v>
      </c>
      <c r="D365" s="594">
        <v>4607091383928</v>
      </c>
      <c r="E365" s="595"/>
      <c r="F365" s="574">
        <v>1.5</v>
      </c>
      <c r="G365" s="31">
        <v>6</v>
      </c>
      <c r="H365" s="574">
        <v>9</v>
      </c>
      <c r="I365" s="574">
        <v>9.5250000000000004</v>
      </c>
      <c r="J365" s="31">
        <v>64</v>
      </c>
      <c r="K365" s="31" t="s">
        <v>107</v>
      </c>
      <c r="L365" s="31"/>
      <c r="M365" s="32" t="s">
        <v>79</v>
      </c>
      <c r="N365" s="32"/>
      <c r="O365" s="31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3"/>
      <c r="V365" s="33"/>
      <c r="W365" s="34" t="s">
        <v>71</v>
      </c>
      <c r="X365" s="575">
        <v>0</v>
      </c>
      <c r="Y365" s="576">
        <f>IFERROR(IF(X365="",0,CEILING((X365/$H365),1)*$H365),"")</f>
        <v>0</v>
      </c>
      <c r="Z365" s="35" t="str">
        <f>IFERROR(IF(Y365=0,"",ROUNDUP(Y365/H365,0)*0.01898),"")</f>
        <v/>
      </c>
      <c r="AA365" s="55"/>
      <c r="AB365" s="56"/>
      <c r="AC365" s="419" t="s">
        <v>584</v>
      </c>
      <c r="AG365" s="63"/>
      <c r="AJ365" s="66"/>
      <c r="AK365" s="66">
        <v>0</v>
      </c>
      <c r="BB365" s="420" t="s">
        <v>1</v>
      </c>
      <c r="BM365" s="63">
        <f>IFERROR(X365*I365/H365,"0")</f>
        <v>0</v>
      </c>
      <c r="BN365" s="63">
        <f>IFERROR(Y365*I365/H365,"0")</f>
        <v>0</v>
      </c>
      <c r="BO365" s="63">
        <f>IFERROR(1/J365*(X365/H365),"0")</f>
        <v>0</v>
      </c>
      <c r="BP365" s="63">
        <f>IFERROR(1/J365*(Y365/H365),"0")</f>
        <v>0</v>
      </c>
    </row>
    <row r="366" spans="1:68" ht="27" hidden="1" customHeight="1" x14ac:dyDescent="0.25">
      <c r="A366" s="53" t="s">
        <v>585</v>
      </c>
      <c r="B366" s="53" t="s">
        <v>586</v>
      </c>
      <c r="C366" s="30">
        <v>4301051897</v>
      </c>
      <c r="D366" s="594">
        <v>4607091384260</v>
      </c>
      <c r="E366" s="595"/>
      <c r="F366" s="574">
        <v>1.5</v>
      </c>
      <c r="G366" s="31">
        <v>6</v>
      </c>
      <c r="H366" s="574">
        <v>9</v>
      </c>
      <c r="I366" s="574">
        <v>9.5190000000000001</v>
      </c>
      <c r="J366" s="31">
        <v>64</v>
      </c>
      <c r="K366" s="31" t="s">
        <v>107</v>
      </c>
      <c r="L366" s="31"/>
      <c r="M366" s="32" t="s">
        <v>79</v>
      </c>
      <c r="N366" s="32"/>
      <c r="O366" s="31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3"/>
      <c r="V366" s="33"/>
      <c r="W366" s="34" t="s">
        <v>71</v>
      </c>
      <c r="X366" s="575">
        <v>0</v>
      </c>
      <c r="Y366" s="576">
        <f>IFERROR(IF(X366="",0,CEILING((X366/$H366),1)*$H366),"")</f>
        <v>0</v>
      </c>
      <c r="Z366" s="35" t="str">
        <f>IFERROR(IF(Y366=0,"",ROUNDUP(Y366/H366,0)*0.01898),"")</f>
        <v/>
      </c>
      <c r="AA366" s="55"/>
      <c r="AB366" s="56"/>
      <c r="AC366" s="421" t="s">
        <v>587</v>
      </c>
      <c r="AG366" s="63"/>
      <c r="AJ366" s="66"/>
      <c r="AK366" s="66">
        <v>0</v>
      </c>
      <c r="BB366" s="422" t="s">
        <v>1</v>
      </c>
      <c r="BM366" s="63">
        <f>IFERROR(X366*I366/H366,"0")</f>
        <v>0</v>
      </c>
      <c r="BN366" s="63">
        <f>IFERROR(Y366*I366/H366,"0")</f>
        <v>0</v>
      </c>
      <c r="BO366" s="63">
        <f>IFERROR(1/J366*(X366/H366),"0")</f>
        <v>0</v>
      </c>
      <c r="BP366" s="63">
        <f>IFERROR(1/J366*(Y366/H366),"0")</f>
        <v>0</v>
      </c>
    </row>
    <row r="367" spans="1:68" hidden="1" x14ac:dyDescent="0.2">
      <c r="A367" s="592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3"/>
      <c r="P367" s="584" t="s">
        <v>73</v>
      </c>
      <c r="Q367" s="585"/>
      <c r="R367" s="585"/>
      <c r="S367" s="585"/>
      <c r="T367" s="585"/>
      <c r="U367" s="585"/>
      <c r="V367" s="586"/>
      <c r="W367" s="36" t="s">
        <v>74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3"/>
      <c r="P368" s="584" t="s">
        <v>73</v>
      </c>
      <c r="Q368" s="585"/>
      <c r="R368" s="585"/>
      <c r="S368" s="585"/>
      <c r="T368" s="585"/>
      <c r="U368" s="585"/>
      <c r="V368" s="586"/>
      <c r="W368" s="36" t="s">
        <v>71</v>
      </c>
      <c r="X368" s="577">
        <f>IFERROR(SUM(X365:X366),"0")</f>
        <v>0</v>
      </c>
      <c r="Y368" s="577">
        <f>IFERROR(SUM(Y365:Y366),"0")</f>
        <v>0</v>
      </c>
      <c r="Z368" s="36"/>
      <c r="AA368" s="578"/>
      <c r="AB368" s="578"/>
      <c r="AC368" s="578"/>
    </row>
    <row r="369" spans="1:68" ht="14.25" hidden="1" customHeight="1" x14ac:dyDescent="0.25">
      <c r="A369" s="587" t="s">
        <v>175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65"/>
      <c r="AB369" s="565"/>
      <c r="AC369" s="565"/>
    </row>
    <row r="370" spans="1:68" ht="27" hidden="1" customHeight="1" x14ac:dyDescent="0.25">
      <c r="A370" s="53" t="s">
        <v>588</v>
      </c>
      <c r="B370" s="53" t="s">
        <v>589</v>
      </c>
      <c r="C370" s="30">
        <v>4301060439</v>
      </c>
      <c r="D370" s="594">
        <v>4607091384673</v>
      </c>
      <c r="E370" s="595"/>
      <c r="F370" s="574">
        <v>1.5</v>
      </c>
      <c r="G370" s="31">
        <v>6</v>
      </c>
      <c r="H370" s="574">
        <v>9</v>
      </c>
      <c r="I370" s="574">
        <v>9.5190000000000001</v>
      </c>
      <c r="J370" s="31">
        <v>64</v>
      </c>
      <c r="K370" s="31" t="s">
        <v>107</v>
      </c>
      <c r="L370" s="31"/>
      <c r="M370" s="32" t="s">
        <v>79</v>
      </c>
      <c r="N370" s="32"/>
      <c r="O370" s="31">
        <v>30</v>
      </c>
      <c r="P370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3"/>
      <c r="V370" s="33"/>
      <c r="W370" s="34" t="s">
        <v>71</v>
      </c>
      <c r="X370" s="575">
        <v>0</v>
      </c>
      <c r="Y370" s="576">
        <f>IFERROR(IF(X370="",0,CEILING((X370/$H370),1)*$H370),"")</f>
        <v>0</v>
      </c>
      <c r="Z370" s="35" t="str">
        <f>IFERROR(IF(Y370=0,"",ROUNDUP(Y370/H370,0)*0.01898),"")</f>
        <v/>
      </c>
      <c r="AA370" s="55"/>
      <c r="AB370" s="56"/>
      <c r="AC370" s="423" t="s">
        <v>590</v>
      </c>
      <c r="AG370" s="63"/>
      <c r="AJ370" s="66"/>
      <c r="AK370" s="66">
        <v>0</v>
      </c>
      <c r="BB370" s="424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592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3"/>
      <c r="P371" s="584" t="s">
        <v>73</v>
      </c>
      <c r="Q371" s="585"/>
      <c r="R371" s="585"/>
      <c r="S371" s="585"/>
      <c r="T371" s="585"/>
      <c r="U371" s="585"/>
      <c r="V371" s="586"/>
      <c r="W371" s="36" t="s">
        <v>74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3"/>
      <c r="P372" s="584" t="s">
        <v>73</v>
      </c>
      <c r="Q372" s="585"/>
      <c r="R372" s="585"/>
      <c r="S372" s="585"/>
      <c r="T372" s="585"/>
      <c r="U372" s="585"/>
      <c r="V372" s="586"/>
      <c r="W372" s="36" t="s">
        <v>71</v>
      </c>
      <c r="X372" s="577">
        <f>IFERROR(SUM(X370:X370),"0")</f>
        <v>0</v>
      </c>
      <c r="Y372" s="577">
        <f>IFERROR(SUM(Y370:Y370),"0")</f>
        <v>0</v>
      </c>
      <c r="Z372" s="36"/>
      <c r="AA372" s="578"/>
      <c r="AB372" s="578"/>
      <c r="AC372" s="578"/>
    </row>
    <row r="373" spans="1:68" ht="16.5" hidden="1" customHeight="1" x14ac:dyDescent="0.25">
      <c r="A373" s="648" t="s">
        <v>591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1"/>
      <c r="AB373" s="571"/>
      <c r="AC373" s="571"/>
    </row>
    <row r="374" spans="1:68" ht="14.25" hidden="1" customHeight="1" x14ac:dyDescent="0.25">
      <c r="A374" s="587" t="s">
        <v>104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65"/>
      <c r="AB374" s="565"/>
      <c r="AC374" s="565"/>
    </row>
    <row r="375" spans="1:68" ht="37.5" hidden="1" customHeight="1" x14ac:dyDescent="0.25">
      <c r="A375" s="53" t="s">
        <v>592</v>
      </c>
      <c r="B375" s="53" t="s">
        <v>593</v>
      </c>
      <c r="C375" s="30">
        <v>4301011873</v>
      </c>
      <c r="D375" s="594">
        <v>4680115881907</v>
      </c>
      <c r="E375" s="595"/>
      <c r="F375" s="574">
        <v>1.8</v>
      </c>
      <c r="G375" s="31">
        <v>6</v>
      </c>
      <c r="H375" s="574">
        <v>10.8</v>
      </c>
      <c r="I375" s="574">
        <v>11.234999999999999</v>
      </c>
      <c r="J375" s="31">
        <v>64</v>
      </c>
      <c r="K375" s="31" t="s">
        <v>107</v>
      </c>
      <c r="L375" s="31"/>
      <c r="M375" s="32" t="s">
        <v>69</v>
      </c>
      <c r="N375" s="32"/>
      <c r="O375" s="31">
        <v>60</v>
      </c>
      <c r="P375" s="7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3"/>
      <c r="V375" s="33"/>
      <c r="W375" s="34" t="s">
        <v>71</v>
      </c>
      <c r="X375" s="575">
        <v>0</v>
      </c>
      <c r="Y375" s="576">
        <f>IFERROR(IF(X375="",0,CEILING((X375/$H375),1)*$H375),"")</f>
        <v>0</v>
      </c>
      <c r="Z375" s="35" t="str">
        <f>IFERROR(IF(Y375=0,"",ROUNDUP(Y375/H375,0)*0.01898),"")</f>
        <v/>
      </c>
      <c r="AA375" s="55"/>
      <c r="AB375" s="56"/>
      <c r="AC375" s="425" t="s">
        <v>594</v>
      </c>
      <c r="AG375" s="63"/>
      <c r="AJ375" s="66"/>
      <c r="AK375" s="66">
        <v>0</v>
      </c>
      <c r="BB375" s="426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ht="37.5" hidden="1" customHeight="1" x14ac:dyDescent="0.25">
      <c r="A376" s="53" t="s">
        <v>595</v>
      </c>
      <c r="B376" s="53" t="s">
        <v>596</v>
      </c>
      <c r="C376" s="30">
        <v>4301011874</v>
      </c>
      <c r="D376" s="594">
        <v>4680115884892</v>
      </c>
      <c r="E376" s="595"/>
      <c r="F376" s="574">
        <v>1.8</v>
      </c>
      <c r="G376" s="31">
        <v>6</v>
      </c>
      <c r="H376" s="574">
        <v>10.8</v>
      </c>
      <c r="I376" s="574">
        <v>11.234999999999999</v>
      </c>
      <c r="J376" s="31">
        <v>64</v>
      </c>
      <c r="K376" s="31" t="s">
        <v>107</v>
      </c>
      <c r="L376" s="31"/>
      <c r="M376" s="32" t="s">
        <v>69</v>
      </c>
      <c r="N376" s="32"/>
      <c r="O376" s="31">
        <v>60</v>
      </c>
      <c r="P376" s="7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3"/>
      <c r="V376" s="33"/>
      <c r="W376" s="34" t="s">
        <v>71</v>
      </c>
      <c r="X376" s="575">
        <v>0</v>
      </c>
      <c r="Y376" s="576">
        <f>IFERROR(IF(X376="",0,CEILING((X376/$H376),1)*$H376),"")</f>
        <v>0</v>
      </c>
      <c r="Z376" s="35" t="str">
        <f>IFERROR(IF(Y376=0,"",ROUNDUP(Y376/H376,0)*0.01898),"")</f>
        <v/>
      </c>
      <c r="AA376" s="55"/>
      <c r="AB376" s="56"/>
      <c r="AC376" s="427" t="s">
        <v>597</v>
      </c>
      <c r="AG376" s="63"/>
      <c r="AJ376" s="66"/>
      <c r="AK376" s="66">
        <v>0</v>
      </c>
      <c r="BB376" s="428" t="s">
        <v>1</v>
      </c>
      <c r="BM376" s="63">
        <f>IFERROR(X376*I376/H376,"0")</f>
        <v>0</v>
      </c>
      <c r="BN376" s="63">
        <f>IFERROR(Y376*I376/H376,"0")</f>
        <v>0</v>
      </c>
      <c r="BO376" s="63">
        <f>IFERROR(1/J376*(X376/H376),"0")</f>
        <v>0</v>
      </c>
      <c r="BP376" s="63">
        <f>IFERROR(1/J376*(Y376/H376),"0")</f>
        <v>0</v>
      </c>
    </row>
    <row r="377" spans="1:68" ht="37.5" hidden="1" customHeight="1" x14ac:dyDescent="0.25">
      <c r="A377" s="53" t="s">
        <v>598</v>
      </c>
      <c r="B377" s="53" t="s">
        <v>599</v>
      </c>
      <c r="C377" s="30">
        <v>4301011875</v>
      </c>
      <c r="D377" s="594">
        <v>4680115884885</v>
      </c>
      <c r="E377" s="595"/>
      <c r="F377" s="574">
        <v>0.8</v>
      </c>
      <c r="G377" s="31">
        <v>15</v>
      </c>
      <c r="H377" s="574">
        <v>12</v>
      </c>
      <c r="I377" s="574">
        <v>12.435</v>
      </c>
      <c r="J377" s="31">
        <v>64</v>
      </c>
      <c r="K377" s="31" t="s">
        <v>107</v>
      </c>
      <c r="L377" s="31"/>
      <c r="M377" s="32" t="s">
        <v>69</v>
      </c>
      <c r="N377" s="32"/>
      <c r="O377" s="31">
        <v>60</v>
      </c>
      <c r="P377" s="7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3"/>
      <c r="V377" s="33"/>
      <c r="W377" s="34" t="s">
        <v>71</v>
      </c>
      <c r="X377" s="575">
        <v>0</v>
      </c>
      <c r="Y377" s="576">
        <f>IFERROR(IF(X377="",0,CEILING((X377/$H377),1)*$H377),"")</f>
        <v>0</v>
      </c>
      <c r="Z377" s="35" t="str">
        <f>IFERROR(IF(Y377=0,"",ROUNDUP(Y377/H377,0)*0.01898),"")</f>
        <v/>
      </c>
      <c r="AA377" s="55"/>
      <c r="AB377" s="56"/>
      <c r="AC377" s="429" t="s">
        <v>597</v>
      </c>
      <c r="AG377" s="63"/>
      <c r="AJ377" s="66"/>
      <c r="AK377" s="66">
        <v>0</v>
      </c>
      <c r="BB377" s="430" t="s">
        <v>1</v>
      </c>
      <c r="BM377" s="63">
        <f>IFERROR(X377*I377/H377,"0")</f>
        <v>0</v>
      </c>
      <c r="BN377" s="63">
        <f>IFERROR(Y377*I377/H377,"0")</f>
        <v>0</v>
      </c>
      <c r="BO377" s="63">
        <f>IFERROR(1/J377*(X377/H377),"0")</f>
        <v>0</v>
      </c>
      <c r="BP377" s="63">
        <f>IFERROR(1/J377*(Y377/H377),"0")</f>
        <v>0</v>
      </c>
    </row>
    <row r="378" spans="1:68" ht="37.5" hidden="1" customHeight="1" x14ac:dyDescent="0.25">
      <c r="A378" s="53" t="s">
        <v>600</v>
      </c>
      <c r="B378" s="53" t="s">
        <v>601</v>
      </c>
      <c r="C378" s="30">
        <v>4301011871</v>
      </c>
      <c r="D378" s="594">
        <v>4680115884908</v>
      </c>
      <c r="E378" s="595"/>
      <c r="F378" s="574">
        <v>0.4</v>
      </c>
      <c r="G378" s="31">
        <v>10</v>
      </c>
      <c r="H378" s="574">
        <v>4</v>
      </c>
      <c r="I378" s="574">
        <v>4.21</v>
      </c>
      <c r="J378" s="31">
        <v>132</v>
      </c>
      <c r="K378" s="31" t="s">
        <v>112</v>
      </c>
      <c r="L378" s="31"/>
      <c r="M378" s="32" t="s">
        <v>69</v>
      </c>
      <c r="N378" s="32"/>
      <c r="O378" s="31">
        <v>60</v>
      </c>
      <c r="P378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3"/>
      <c r="V378" s="33"/>
      <c r="W378" s="34" t="s">
        <v>71</v>
      </c>
      <c r="X378" s="575">
        <v>0</v>
      </c>
      <c r="Y378" s="576">
        <f>IFERROR(IF(X378="",0,CEILING((X378/$H378),1)*$H378),"")</f>
        <v>0</v>
      </c>
      <c r="Z378" s="35" t="str">
        <f>IFERROR(IF(Y378=0,"",ROUNDUP(Y378/H378,0)*0.00902),"")</f>
        <v/>
      </c>
      <c r="AA378" s="55"/>
      <c r="AB378" s="56"/>
      <c r="AC378" s="431" t="s">
        <v>597</v>
      </c>
      <c r="AG378" s="63"/>
      <c r="AJ378" s="66"/>
      <c r="AK378" s="66">
        <v>0</v>
      </c>
      <c r="BB378" s="432" t="s">
        <v>1</v>
      </c>
      <c r="BM378" s="63">
        <f>IFERROR(X378*I378/H378,"0")</f>
        <v>0</v>
      </c>
      <c r="BN378" s="63">
        <f>IFERROR(Y378*I378/H378,"0")</f>
        <v>0</v>
      </c>
      <c r="BO378" s="63">
        <f>IFERROR(1/J378*(X378/H378),"0")</f>
        <v>0</v>
      </c>
      <c r="BP378" s="63">
        <f>IFERROR(1/J378*(Y378/H378),"0")</f>
        <v>0</v>
      </c>
    </row>
    <row r="379" spans="1:68" hidden="1" x14ac:dyDescent="0.2">
      <c r="A379" s="592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3"/>
      <c r="P379" s="584" t="s">
        <v>73</v>
      </c>
      <c r="Q379" s="585"/>
      <c r="R379" s="585"/>
      <c r="S379" s="585"/>
      <c r="T379" s="585"/>
      <c r="U379" s="585"/>
      <c r="V379" s="586"/>
      <c r="W379" s="36" t="s">
        <v>74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3"/>
      <c r="P380" s="584" t="s">
        <v>73</v>
      </c>
      <c r="Q380" s="585"/>
      <c r="R380" s="585"/>
      <c r="S380" s="585"/>
      <c r="T380" s="585"/>
      <c r="U380" s="585"/>
      <c r="V380" s="586"/>
      <c r="W380" s="36" t="s">
        <v>71</v>
      </c>
      <c r="X380" s="577">
        <f>IFERROR(SUM(X375:X378),"0")</f>
        <v>0</v>
      </c>
      <c r="Y380" s="577">
        <f>IFERROR(SUM(Y375:Y378),"0")</f>
        <v>0</v>
      </c>
      <c r="Z380" s="36"/>
      <c r="AA380" s="578"/>
      <c r="AB380" s="578"/>
      <c r="AC380" s="578"/>
    </row>
    <row r="381" spans="1:68" ht="14.25" hidden="1" customHeight="1" x14ac:dyDescent="0.25">
      <c r="A381" s="587" t="s">
        <v>65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65"/>
      <c r="AB381" s="565"/>
      <c r="AC381" s="565"/>
    </row>
    <row r="382" spans="1:68" ht="27" hidden="1" customHeight="1" x14ac:dyDescent="0.25">
      <c r="A382" s="53" t="s">
        <v>602</v>
      </c>
      <c r="B382" s="53" t="s">
        <v>603</v>
      </c>
      <c r="C382" s="30">
        <v>4301031303</v>
      </c>
      <c r="D382" s="594">
        <v>4607091384802</v>
      </c>
      <c r="E382" s="595"/>
      <c r="F382" s="574">
        <v>0.73</v>
      </c>
      <c r="G382" s="31">
        <v>6</v>
      </c>
      <c r="H382" s="574">
        <v>4.38</v>
      </c>
      <c r="I382" s="574">
        <v>4.6500000000000004</v>
      </c>
      <c r="J382" s="31">
        <v>132</v>
      </c>
      <c r="K382" s="31" t="s">
        <v>112</v>
      </c>
      <c r="L382" s="31"/>
      <c r="M382" s="32" t="s">
        <v>69</v>
      </c>
      <c r="N382" s="32"/>
      <c r="O382" s="31">
        <v>35</v>
      </c>
      <c r="P382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3"/>
      <c r="V382" s="33"/>
      <c r="W382" s="34" t="s">
        <v>71</v>
      </c>
      <c r="X382" s="575">
        <v>0</v>
      </c>
      <c r="Y382" s="576">
        <f>IFERROR(IF(X382="",0,CEILING((X382/$H382),1)*$H382),"")</f>
        <v>0</v>
      </c>
      <c r="Z382" s="35" t="str">
        <f>IFERROR(IF(Y382=0,"",ROUNDUP(Y382/H382,0)*0.00902),"")</f>
        <v/>
      </c>
      <c r="AA382" s="55"/>
      <c r="AB382" s="56"/>
      <c r="AC382" s="433" t="s">
        <v>604</v>
      </c>
      <c r="AG382" s="63"/>
      <c r="AJ382" s="66"/>
      <c r="AK382" s="66">
        <v>0</v>
      </c>
      <c r="BB382" s="434" t="s">
        <v>1</v>
      </c>
      <c r="BM382" s="63">
        <f>IFERROR(X382*I382/H382,"0")</f>
        <v>0</v>
      </c>
      <c r="BN382" s="63">
        <f>IFERROR(Y382*I382/H382,"0")</f>
        <v>0</v>
      </c>
      <c r="BO382" s="63">
        <f>IFERROR(1/J382*(X382/H382),"0")</f>
        <v>0</v>
      </c>
      <c r="BP382" s="63">
        <f>IFERROR(1/J382*(Y382/H382),"0")</f>
        <v>0</v>
      </c>
    </row>
    <row r="383" spans="1:68" hidden="1" x14ac:dyDescent="0.2">
      <c r="A383" s="592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3"/>
      <c r="P383" s="584" t="s">
        <v>73</v>
      </c>
      <c r="Q383" s="585"/>
      <c r="R383" s="585"/>
      <c r="S383" s="585"/>
      <c r="T383" s="585"/>
      <c r="U383" s="585"/>
      <c r="V383" s="586"/>
      <c r="W383" s="36" t="s">
        <v>74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3"/>
      <c r="P384" s="584" t="s">
        <v>73</v>
      </c>
      <c r="Q384" s="585"/>
      <c r="R384" s="585"/>
      <c r="S384" s="585"/>
      <c r="T384" s="585"/>
      <c r="U384" s="585"/>
      <c r="V384" s="586"/>
      <c r="W384" s="36" t="s">
        <v>71</v>
      </c>
      <c r="X384" s="577">
        <f>IFERROR(SUM(X382:X382),"0")</f>
        <v>0</v>
      </c>
      <c r="Y384" s="577">
        <f>IFERROR(SUM(Y382:Y382),"0")</f>
        <v>0</v>
      </c>
      <c r="Z384" s="36"/>
      <c r="AA384" s="578"/>
      <c r="AB384" s="578"/>
      <c r="AC384" s="578"/>
    </row>
    <row r="385" spans="1:68" ht="14.25" hidden="1" customHeight="1" x14ac:dyDescent="0.25">
      <c r="A385" s="587" t="s">
        <v>75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65"/>
      <c r="AB385" s="565"/>
      <c r="AC385" s="565"/>
    </row>
    <row r="386" spans="1:68" ht="27" hidden="1" customHeight="1" x14ac:dyDescent="0.25">
      <c r="A386" s="53" t="s">
        <v>605</v>
      </c>
      <c r="B386" s="53" t="s">
        <v>606</v>
      </c>
      <c r="C386" s="30">
        <v>4301051899</v>
      </c>
      <c r="D386" s="594">
        <v>4607091384246</v>
      </c>
      <c r="E386" s="595"/>
      <c r="F386" s="574">
        <v>1.5</v>
      </c>
      <c r="G386" s="31">
        <v>6</v>
      </c>
      <c r="H386" s="574">
        <v>9</v>
      </c>
      <c r="I386" s="574">
        <v>9.5190000000000001</v>
      </c>
      <c r="J386" s="31">
        <v>64</v>
      </c>
      <c r="K386" s="31" t="s">
        <v>107</v>
      </c>
      <c r="L386" s="31"/>
      <c r="M386" s="32" t="s">
        <v>79</v>
      </c>
      <c r="N386" s="32"/>
      <c r="O386" s="31">
        <v>40</v>
      </c>
      <c r="P386" s="6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3"/>
      <c r="V386" s="33"/>
      <c r="W386" s="34" t="s">
        <v>71</v>
      </c>
      <c r="X386" s="575">
        <v>0</v>
      </c>
      <c r="Y386" s="576">
        <f>IFERROR(IF(X386="",0,CEILING((X386/$H386),1)*$H386),"")</f>
        <v>0</v>
      </c>
      <c r="Z386" s="35" t="str">
        <f>IFERROR(IF(Y386=0,"",ROUNDUP(Y386/H386,0)*0.01898),"")</f>
        <v/>
      </c>
      <c r="AA386" s="55"/>
      <c r="AB386" s="56"/>
      <c r="AC386" s="435" t="s">
        <v>607</v>
      </c>
      <c r="AG386" s="63"/>
      <c r="AJ386" s="66"/>
      <c r="AK386" s="66">
        <v>0</v>
      </c>
      <c r="BB386" s="436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27" hidden="1" customHeight="1" x14ac:dyDescent="0.25">
      <c r="A387" s="53" t="s">
        <v>608</v>
      </c>
      <c r="B387" s="53" t="s">
        <v>609</v>
      </c>
      <c r="C387" s="30">
        <v>4301051660</v>
      </c>
      <c r="D387" s="594">
        <v>4607091384253</v>
      </c>
      <c r="E387" s="595"/>
      <c r="F387" s="574">
        <v>0.4</v>
      </c>
      <c r="G387" s="31">
        <v>6</v>
      </c>
      <c r="H387" s="574">
        <v>2.4</v>
      </c>
      <c r="I387" s="574">
        <v>2.6640000000000001</v>
      </c>
      <c r="J387" s="31">
        <v>182</v>
      </c>
      <c r="K387" s="31" t="s">
        <v>78</v>
      </c>
      <c r="L387" s="31"/>
      <c r="M387" s="32" t="s">
        <v>79</v>
      </c>
      <c r="N387" s="32"/>
      <c r="O387" s="31">
        <v>40</v>
      </c>
      <c r="P387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3"/>
      <c r="V387" s="33"/>
      <c r="W387" s="34" t="s">
        <v>71</v>
      </c>
      <c r="X387" s="575">
        <v>0</v>
      </c>
      <c r="Y387" s="576">
        <f>IFERROR(IF(X387="",0,CEILING((X387/$H387),1)*$H387),"")</f>
        <v>0</v>
      </c>
      <c r="Z387" s="35" t="str">
        <f>IFERROR(IF(Y387=0,"",ROUNDUP(Y387/H387,0)*0.00651),"")</f>
        <v/>
      </c>
      <c r="AA387" s="55"/>
      <c r="AB387" s="56"/>
      <c r="AC387" s="437" t="s">
        <v>607</v>
      </c>
      <c r="AG387" s="63"/>
      <c r="AJ387" s="66"/>
      <c r="AK387" s="66">
        <v>0</v>
      </c>
      <c r="BB387" s="438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592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3"/>
      <c r="P388" s="584" t="s">
        <v>73</v>
      </c>
      <c r="Q388" s="585"/>
      <c r="R388" s="585"/>
      <c r="S388" s="585"/>
      <c r="T388" s="585"/>
      <c r="U388" s="585"/>
      <c r="V388" s="586"/>
      <c r="W388" s="36" t="s">
        <v>74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3"/>
      <c r="P389" s="584" t="s">
        <v>73</v>
      </c>
      <c r="Q389" s="585"/>
      <c r="R389" s="585"/>
      <c r="S389" s="585"/>
      <c r="T389" s="585"/>
      <c r="U389" s="585"/>
      <c r="V389" s="586"/>
      <c r="W389" s="36" t="s">
        <v>71</v>
      </c>
      <c r="X389" s="577">
        <f>IFERROR(SUM(X386:X387),"0")</f>
        <v>0</v>
      </c>
      <c r="Y389" s="577">
        <f>IFERROR(SUM(Y386:Y387),"0")</f>
        <v>0</v>
      </c>
      <c r="Z389" s="36"/>
      <c r="AA389" s="578"/>
      <c r="AB389" s="578"/>
      <c r="AC389" s="578"/>
    </row>
    <row r="390" spans="1:68" ht="14.25" hidden="1" customHeight="1" x14ac:dyDescent="0.25">
      <c r="A390" s="587" t="s">
        <v>175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65"/>
      <c r="AB390" s="565"/>
      <c r="AC390" s="565"/>
    </row>
    <row r="391" spans="1:68" ht="27" hidden="1" customHeight="1" x14ac:dyDescent="0.25">
      <c r="A391" s="53" t="s">
        <v>610</v>
      </c>
      <c r="B391" s="53" t="s">
        <v>611</v>
      </c>
      <c r="C391" s="30">
        <v>4301060441</v>
      </c>
      <c r="D391" s="594">
        <v>4607091389357</v>
      </c>
      <c r="E391" s="595"/>
      <c r="F391" s="574">
        <v>1.5</v>
      </c>
      <c r="G391" s="31">
        <v>6</v>
      </c>
      <c r="H391" s="574">
        <v>9</v>
      </c>
      <c r="I391" s="574">
        <v>9.4350000000000005</v>
      </c>
      <c r="J391" s="31">
        <v>64</v>
      </c>
      <c r="K391" s="31" t="s">
        <v>107</v>
      </c>
      <c r="L391" s="31"/>
      <c r="M391" s="32" t="s">
        <v>79</v>
      </c>
      <c r="N391" s="32"/>
      <c r="O391" s="31">
        <v>40</v>
      </c>
      <c r="P391" s="59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3"/>
      <c r="V391" s="33"/>
      <c r="W391" s="34" t="s">
        <v>71</v>
      </c>
      <c r="X391" s="575">
        <v>0</v>
      </c>
      <c r="Y391" s="576">
        <f>IFERROR(IF(X391="",0,CEILING((X391/$H391),1)*$H391),"")</f>
        <v>0</v>
      </c>
      <c r="Z391" s="35" t="str">
        <f>IFERROR(IF(Y391=0,"",ROUNDUP(Y391/H391,0)*0.01898),"")</f>
        <v/>
      </c>
      <c r="AA391" s="55"/>
      <c r="AB391" s="56"/>
      <c r="AC391" s="439" t="s">
        <v>612</v>
      </c>
      <c r="AG391" s="63"/>
      <c r="AJ391" s="66"/>
      <c r="AK391" s="66">
        <v>0</v>
      </c>
      <c r="BB391" s="440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idden="1" x14ac:dyDescent="0.2">
      <c r="A392" s="592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3"/>
      <c r="P392" s="584" t="s">
        <v>73</v>
      </c>
      <c r="Q392" s="585"/>
      <c r="R392" s="585"/>
      <c r="S392" s="585"/>
      <c r="T392" s="585"/>
      <c r="U392" s="585"/>
      <c r="V392" s="586"/>
      <c r="W392" s="36" t="s">
        <v>74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3"/>
      <c r="P393" s="584" t="s">
        <v>73</v>
      </c>
      <c r="Q393" s="585"/>
      <c r="R393" s="585"/>
      <c r="S393" s="585"/>
      <c r="T393" s="585"/>
      <c r="U393" s="585"/>
      <c r="V393" s="586"/>
      <c r="W393" s="36" t="s">
        <v>71</v>
      </c>
      <c r="X393" s="577">
        <f>IFERROR(SUM(X391:X391),"0")</f>
        <v>0</v>
      </c>
      <c r="Y393" s="577">
        <f>IFERROR(SUM(Y391:Y391),"0")</f>
        <v>0</v>
      </c>
      <c r="Z393" s="36"/>
      <c r="AA393" s="578"/>
      <c r="AB393" s="578"/>
      <c r="AC393" s="578"/>
    </row>
    <row r="394" spans="1:68" ht="27.75" hidden="1" customHeight="1" x14ac:dyDescent="0.2">
      <c r="A394" s="601" t="s">
        <v>613</v>
      </c>
      <c r="B394" s="602"/>
      <c r="C394" s="602"/>
      <c r="D394" s="602"/>
      <c r="E394" s="602"/>
      <c r="F394" s="602"/>
      <c r="G394" s="602"/>
      <c r="H394" s="602"/>
      <c r="I394" s="602"/>
      <c r="J394" s="602"/>
      <c r="K394" s="602"/>
      <c r="L394" s="602"/>
      <c r="M394" s="602"/>
      <c r="N394" s="602"/>
      <c r="O394" s="602"/>
      <c r="P394" s="602"/>
      <c r="Q394" s="602"/>
      <c r="R394" s="602"/>
      <c r="S394" s="602"/>
      <c r="T394" s="602"/>
      <c r="U394" s="602"/>
      <c r="V394" s="602"/>
      <c r="W394" s="602"/>
      <c r="X394" s="602"/>
      <c r="Y394" s="602"/>
      <c r="Z394" s="602"/>
      <c r="AA394" s="47"/>
      <c r="AB394" s="47"/>
      <c r="AC394" s="47"/>
    </row>
    <row r="395" spans="1:68" ht="16.5" hidden="1" customHeight="1" x14ac:dyDescent="0.25">
      <c r="A395" s="648" t="s">
        <v>614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1"/>
      <c r="AB395" s="571"/>
      <c r="AC395" s="571"/>
    </row>
    <row r="396" spans="1:68" ht="14.25" hidden="1" customHeight="1" x14ac:dyDescent="0.25">
      <c r="A396" s="587" t="s">
        <v>65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65"/>
      <c r="AB396" s="565"/>
      <c r="AC396" s="565"/>
    </row>
    <row r="397" spans="1:68" ht="27" hidden="1" customHeight="1" x14ac:dyDescent="0.25">
      <c r="A397" s="53" t="s">
        <v>615</v>
      </c>
      <c r="B397" s="53" t="s">
        <v>616</v>
      </c>
      <c r="C397" s="30">
        <v>4301031405</v>
      </c>
      <c r="D397" s="594">
        <v>4680115886100</v>
      </c>
      <c r="E397" s="595"/>
      <c r="F397" s="574">
        <v>0.9</v>
      </c>
      <c r="G397" s="31">
        <v>6</v>
      </c>
      <c r="H397" s="574">
        <v>5.4</v>
      </c>
      <c r="I397" s="574">
        <v>5.61</v>
      </c>
      <c r="J397" s="31">
        <v>132</v>
      </c>
      <c r="K397" s="31" t="s">
        <v>112</v>
      </c>
      <c r="L397" s="31"/>
      <c r="M397" s="32" t="s">
        <v>69</v>
      </c>
      <c r="N397" s="32"/>
      <c r="O397" s="31">
        <v>50</v>
      </c>
      <c r="P397" s="7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3"/>
      <c r="V397" s="33"/>
      <c r="W397" s="34" t="s">
        <v>71</v>
      </c>
      <c r="X397" s="575">
        <v>0</v>
      </c>
      <c r="Y397" s="576">
        <f t="shared" ref="Y397:Y406" si="63">IFERROR(IF(X397="",0,CEILING((X397/$H397),1)*$H397),"")</f>
        <v>0</v>
      </c>
      <c r="Z397" s="35" t="str">
        <f>IFERROR(IF(Y397=0,"",ROUNDUP(Y397/H397,0)*0.00902),"")</f>
        <v/>
      </c>
      <c r="AA397" s="55"/>
      <c r="AB397" s="56"/>
      <c r="AC397" s="441" t="s">
        <v>617</v>
      </c>
      <c r="AG397" s="63"/>
      <c r="AJ397" s="66"/>
      <c r="AK397" s="66">
        <v>0</v>
      </c>
      <c r="BB397" s="442" t="s">
        <v>1</v>
      </c>
      <c r="BM397" s="63">
        <f t="shared" ref="BM397:BM406" si="64">IFERROR(X397*I397/H397,"0")</f>
        <v>0</v>
      </c>
      <c r="BN397" s="63">
        <f t="shared" ref="BN397:BN406" si="65">IFERROR(Y397*I397/H397,"0")</f>
        <v>0</v>
      </c>
      <c r="BO397" s="63">
        <f t="shared" ref="BO397:BO406" si="66">IFERROR(1/J397*(X397/H397),"0")</f>
        <v>0</v>
      </c>
      <c r="BP397" s="63">
        <f t="shared" ref="BP397:BP406" si="67">IFERROR(1/J397*(Y397/H397),"0")</f>
        <v>0</v>
      </c>
    </row>
    <row r="398" spans="1:68" ht="27" hidden="1" customHeight="1" x14ac:dyDescent="0.25">
      <c r="A398" s="53" t="s">
        <v>618</v>
      </c>
      <c r="B398" s="53" t="s">
        <v>619</v>
      </c>
      <c r="C398" s="30">
        <v>4301031406</v>
      </c>
      <c r="D398" s="594">
        <v>4680115886117</v>
      </c>
      <c r="E398" s="595"/>
      <c r="F398" s="574">
        <v>0.9</v>
      </c>
      <c r="G398" s="31">
        <v>6</v>
      </c>
      <c r="H398" s="574">
        <v>5.4</v>
      </c>
      <c r="I398" s="574">
        <v>5.61</v>
      </c>
      <c r="J398" s="31">
        <v>132</v>
      </c>
      <c r="K398" s="31" t="s">
        <v>112</v>
      </c>
      <c r="L398" s="31"/>
      <c r="M398" s="32" t="s">
        <v>69</v>
      </c>
      <c r="N398" s="32"/>
      <c r="O398" s="31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3"/>
      <c r="V398" s="33"/>
      <c r="W398" s="34" t="s">
        <v>71</v>
      </c>
      <c r="X398" s="575">
        <v>0</v>
      </c>
      <c r="Y398" s="576">
        <f t="shared" si="63"/>
        <v>0</v>
      </c>
      <c r="Z398" s="35" t="str">
        <f>IFERROR(IF(Y398=0,"",ROUNDUP(Y398/H398,0)*0.00902),"")</f>
        <v/>
      </c>
      <c r="AA398" s="55"/>
      <c r="AB398" s="56"/>
      <c r="AC398" s="443" t="s">
        <v>620</v>
      </c>
      <c r="AG398" s="63"/>
      <c r="AJ398" s="66"/>
      <c r="AK398" s="66">
        <v>0</v>
      </c>
      <c r="BB398" s="444" t="s">
        <v>1</v>
      </c>
      <c r="BM398" s="63">
        <f t="shared" si="64"/>
        <v>0</v>
      </c>
      <c r="BN398" s="63">
        <f t="shared" si="65"/>
        <v>0</v>
      </c>
      <c r="BO398" s="63">
        <f t="shared" si="66"/>
        <v>0</v>
      </c>
      <c r="BP398" s="63">
        <f t="shared" si="67"/>
        <v>0</v>
      </c>
    </row>
    <row r="399" spans="1:68" ht="27" hidden="1" customHeight="1" x14ac:dyDescent="0.25">
      <c r="A399" s="53" t="s">
        <v>618</v>
      </c>
      <c r="B399" s="53" t="s">
        <v>621</v>
      </c>
      <c r="C399" s="30">
        <v>4301031382</v>
      </c>
      <c r="D399" s="594">
        <v>4680115886117</v>
      </c>
      <c r="E399" s="595"/>
      <c r="F399" s="574">
        <v>0.9</v>
      </c>
      <c r="G399" s="31">
        <v>6</v>
      </c>
      <c r="H399" s="574">
        <v>5.4</v>
      </c>
      <c r="I399" s="574">
        <v>5.61</v>
      </c>
      <c r="J399" s="31">
        <v>132</v>
      </c>
      <c r="K399" s="31" t="s">
        <v>112</v>
      </c>
      <c r="L399" s="31"/>
      <c r="M399" s="32" t="s">
        <v>69</v>
      </c>
      <c r="N399" s="32"/>
      <c r="O399" s="31">
        <v>50</v>
      </c>
      <c r="P399" s="83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3"/>
      <c r="V399" s="33"/>
      <c r="W399" s="34" t="s">
        <v>71</v>
      </c>
      <c r="X399" s="575">
        <v>0</v>
      </c>
      <c r="Y399" s="576">
        <f t="shared" si="63"/>
        <v>0</v>
      </c>
      <c r="Z399" s="35" t="str">
        <f>IFERROR(IF(Y399=0,"",ROUNDUP(Y399/H399,0)*0.00902),"")</f>
        <v/>
      </c>
      <c r="AA399" s="55"/>
      <c r="AB399" s="56"/>
      <c r="AC399" s="445" t="s">
        <v>620</v>
      </c>
      <c r="AG399" s="63"/>
      <c r="AJ399" s="66"/>
      <c r="AK399" s="66">
        <v>0</v>
      </c>
      <c r="BB399" s="446" t="s">
        <v>1</v>
      </c>
      <c r="BM399" s="63">
        <f t="shared" si="64"/>
        <v>0</v>
      </c>
      <c r="BN399" s="63">
        <f t="shared" si="65"/>
        <v>0</v>
      </c>
      <c r="BO399" s="63">
        <f t="shared" si="66"/>
        <v>0</v>
      </c>
      <c r="BP399" s="63">
        <f t="shared" si="67"/>
        <v>0</v>
      </c>
    </row>
    <row r="400" spans="1:68" ht="27" hidden="1" customHeight="1" x14ac:dyDescent="0.25">
      <c r="A400" s="53" t="s">
        <v>622</v>
      </c>
      <c r="B400" s="53" t="s">
        <v>623</v>
      </c>
      <c r="C400" s="30">
        <v>4301031402</v>
      </c>
      <c r="D400" s="594">
        <v>4680115886124</v>
      </c>
      <c r="E400" s="595"/>
      <c r="F400" s="574">
        <v>0.9</v>
      </c>
      <c r="G400" s="31">
        <v>6</v>
      </c>
      <c r="H400" s="574">
        <v>5.4</v>
      </c>
      <c r="I400" s="574">
        <v>5.61</v>
      </c>
      <c r="J400" s="31">
        <v>132</v>
      </c>
      <c r="K400" s="31" t="s">
        <v>112</v>
      </c>
      <c r="L400" s="31"/>
      <c r="M400" s="32" t="s">
        <v>69</v>
      </c>
      <c r="N400" s="32"/>
      <c r="O400" s="31">
        <v>50</v>
      </c>
      <c r="P400" s="66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3"/>
      <c r="V400" s="33"/>
      <c r="W400" s="34" t="s">
        <v>71</v>
      </c>
      <c r="X400" s="575">
        <v>0</v>
      </c>
      <c r="Y400" s="576">
        <f t="shared" si="63"/>
        <v>0</v>
      </c>
      <c r="Z400" s="35" t="str">
        <f>IFERROR(IF(Y400=0,"",ROUNDUP(Y400/H400,0)*0.00902),"")</f>
        <v/>
      </c>
      <c r="AA400" s="55"/>
      <c r="AB400" s="56"/>
      <c r="AC400" s="447" t="s">
        <v>624</v>
      </c>
      <c r="AG400" s="63"/>
      <c r="AJ400" s="66"/>
      <c r="AK400" s="66">
        <v>0</v>
      </c>
      <c r="BB400" s="448" t="s">
        <v>1</v>
      </c>
      <c r="BM400" s="63">
        <f t="shared" si="64"/>
        <v>0</v>
      </c>
      <c r="BN400" s="63">
        <f t="shared" si="65"/>
        <v>0</v>
      </c>
      <c r="BO400" s="63">
        <f t="shared" si="66"/>
        <v>0</v>
      </c>
      <c r="BP400" s="63">
        <f t="shared" si="67"/>
        <v>0</v>
      </c>
    </row>
    <row r="401" spans="1:68" ht="27" hidden="1" customHeight="1" x14ac:dyDescent="0.25">
      <c r="A401" s="53" t="s">
        <v>625</v>
      </c>
      <c r="B401" s="53" t="s">
        <v>626</v>
      </c>
      <c r="C401" s="30">
        <v>4301031366</v>
      </c>
      <c r="D401" s="594">
        <v>4680115883147</v>
      </c>
      <c r="E401" s="595"/>
      <c r="F401" s="574">
        <v>0.28000000000000003</v>
      </c>
      <c r="G401" s="31">
        <v>6</v>
      </c>
      <c r="H401" s="574">
        <v>1.68</v>
      </c>
      <c r="I401" s="574">
        <v>1.81</v>
      </c>
      <c r="J401" s="31">
        <v>234</v>
      </c>
      <c r="K401" s="31" t="s">
        <v>68</v>
      </c>
      <c r="L401" s="31"/>
      <c r="M401" s="32" t="s">
        <v>69</v>
      </c>
      <c r="N401" s="32"/>
      <c r="O401" s="31">
        <v>50</v>
      </c>
      <c r="P401" s="68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3"/>
      <c r="V401" s="33"/>
      <c r="W401" s="34" t="s">
        <v>71</v>
      </c>
      <c r="X401" s="575">
        <v>0</v>
      </c>
      <c r="Y401" s="576">
        <f t="shared" si="63"/>
        <v>0</v>
      </c>
      <c r="Z401" s="35" t="str">
        <f t="shared" ref="Z401:Z406" si="68">IFERROR(IF(Y401=0,"",ROUNDUP(Y401/H401,0)*0.00502),"")</f>
        <v/>
      </c>
      <c r="AA401" s="55"/>
      <c r="AB401" s="56"/>
      <c r="AC401" s="449" t="s">
        <v>617</v>
      </c>
      <c r="AG401" s="63"/>
      <c r="AJ401" s="66"/>
      <c r="AK401" s="66">
        <v>0</v>
      </c>
      <c r="BB401" s="450" t="s">
        <v>1</v>
      </c>
      <c r="BM401" s="63">
        <f t="shared" si="64"/>
        <v>0</v>
      </c>
      <c r="BN401" s="63">
        <f t="shared" si="65"/>
        <v>0</v>
      </c>
      <c r="BO401" s="63">
        <f t="shared" si="66"/>
        <v>0</v>
      </c>
      <c r="BP401" s="63">
        <f t="shared" si="67"/>
        <v>0</v>
      </c>
    </row>
    <row r="402" spans="1:68" ht="27" customHeight="1" x14ac:dyDescent="0.25">
      <c r="A402" s="53" t="s">
        <v>627</v>
      </c>
      <c r="B402" s="53" t="s">
        <v>628</v>
      </c>
      <c r="C402" s="30">
        <v>4301031362</v>
      </c>
      <c r="D402" s="594">
        <v>4607091384338</v>
      </c>
      <c r="E402" s="595"/>
      <c r="F402" s="574">
        <v>0.35</v>
      </c>
      <c r="G402" s="31">
        <v>6</v>
      </c>
      <c r="H402" s="574">
        <v>2.1</v>
      </c>
      <c r="I402" s="574">
        <v>2.23</v>
      </c>
      <c r="J402" s="31">
        <v>234</v>
      </c>
      <c r="K402" s="31" t="s">
        <v>68</v>
      </c>
      <c r="L402" s="31"/>
      <c r="M402" s="32" t="s">
        <v>69</v>
      </c>
      <c r="N402" s="32"/>
      <c r="O402" s="31">
        <v>50</v>
      </c>
      <c r="P402" s="67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3"/>
      <c r="V402" s="33"/>
      <c r="W402" s="34" t="s">
        <v>71</v>
      </c>
      <c r="X402" s="575">
        <v>3</v>
      </c>
      <c r="Y402" s="576">
        <f t="shared" si="63"/>
        <v>4.2</v>
      </c>
      <c r="Z402" s="35">
        <f t="shared" si="68"/>
        <v>1.004E-2</v>
      </c>
      <c r="AA402" s="55"/>
      <c r="AB402" s="56"/>
      <c r="AC402" s="451" t="s">
        <v>617</v>
      </c>
      <c r="AG402" s="63"/>
      <c r="AJ402" s="66"/>
      <c r="AK402" s="66">
        <v>0</v>
      </c>
      <c r="BB402" s="452" t="s">
        <v>1</v>
      </c>
      <c r="BM402" s="63">
        <f t="shared" si="64"/>
        <v>3.1857142857142855</v>
      </c>
      <c r="BN402" s="63">
        <f t="shared" si="65"/>
        <v>4.46</v>
      </c>
      <c r="BO402" s="63">
        <f t="shared" si="66"/>
        <v>6.1050061050061059E-3</v>
      </c>
      <c r="BP402" s="63">
        <f t="shared" si="67"/>
        <v>8.5470085470085479E-3</v>
      </c>
    </row>
    <row r="403" spans="1:68" ht="37.5" customHeight="1" x14ac:dyDescent="0.25">
      <c r="A403" s="53" t="s">
        <v>629</v>
      </c>
      <c r="B403" s="53" t="s">
        <v>630</v>
      </c>
      <c r="C403" s="30">
        <v>4301031361</v>
      </c>
      <c r="D403" s="594">
        <v>4607091389524</v>
      </c>
      <c r="E403" s="595"/>
      <c r="F403" s="574">
        <v>0.35</v>
      </c>
      <c r="G403" s="31">
        <v>6</v>
      </c>
      <c r="H403" s="574">
        <v>2.1</v>
      </c>
      <c r="I403" s="574">
        <v>2.23</v>
      </c>
      <c r="J403" s="31">
        <v>234</v>
      </c>
      <c r="K403" s="31" t="s">
        <v>68</v>
      </c>
      <c r="L403" s="31"/>
      <c r="M403" s="32" t="s">
        <v>69</v>
      </c>
      <c r="N403" s="32"/>
      <c r="O403" s="31">
        <v>50</v>
      </c>
      <c r="P403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3"/>
      <c r="V403" s="33"/>
      <c r="W403" s="34" t="s">
        <v>71</v>
      </c>
      <c r="X403" s="575">
        <v>2</v>
      </c>
      <c r="Y403" s="576">
        <f t="shared" si="63"/>
        <v>2.1</v>
      </c>
      <c r="Z403" s="35">
        <f t="shared" si="68"/>
        <v>5.0200000000000002E-3</v>
      </c>
      <c r="AA403" s="55"/>
      <c r="AB403" s="56"/>
      <c r="AC403" s="453" t="s">
        <v>631</v>
      </c>
      <c r="AG403" s="63"/>
      <c r="AJ403" s="66"/>
      <c r="AK403" s="66">
        <v>0</v>
      </c>
      <c r="BB403" s="454" t="s">
        <v>1</v>
      </c>
      <c r="BM403" s="63">
        <f t="shared" si="64"/>
        <v>2.1238095238095238</v>
      </c>
      <c r="BN403" s="63">
        <f t="shared" si="65"/>
        <v>2.23</v>
      </c>
      <c r="BO403" s="63">
        <f t="shared" si="66"/>
        <v>4.0700040700040706E-3</v>
      </c>
      <c r="BP403" s="63">
        <f t="shared" si="67"/>
        <v>4.2735042735042739E-3</v>
      </c>
    </row>
    <row r="404" spans="1:68" ht="27" hidden="1" customHeight="1" x14ac:dyDescent="0.25">
      <c r="A404" s="53" t="s">
        <v>632</v>
      </c>
      <c r="B404" s="53" t="s">
        <v>633</v>
      </c>
      <c r="C404" s="30">
        <v>4301031364</v>
      </c>
      <c r="D404" s="594">
        <v>4680115883161</v>
      </c>
      <c r="E404" s="595"/>
      <c r="F404" s="574">
        <v>0.28000000000000003</v>
      </c>
      <c r="G404" s="31">
        <v>6</v>
      </c>
      <c r="H404" s="574">
        <v>1.68</v>
      </c>
      <c r="I404" s="574">
        <v>1.81</v>
      </c>
      <c r="J404" s="31">
        <v>234</v>
      </c>
      <c r="K404" s="31" t="s">
        <v>68</v>
      </c>
      <c r="L404" s="31"/>
      <c r="M404" s="32" t="s">
        <v>69</v>
      </c>
      <c r="N404" s="32"/>
      <c r="O404" s="31">
        <v>50</v>
      </c>
      <c r="P404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3"/>
      <c r="V404" s="33"/>
      <c r="W404" s="34" t="s">
        <v>71</v>
      </c>
      <c r="X404" s="575">
        <v>0</v>
      </c>
      <c r="Y404" s="576">
        <f t="shared" si="63"/>
        <v>0</v>
      </c>
      <c r="Z404" s="35" t="str">
        <f t="shared" si="68"/>
        <v/>
      </c>
      <c r="AA404" s="55"/>
      <c r="AB404" s="56"/>
      <c r="AC404" s="455" t="s">
        <v>634</v>
      </c>
      <c r="AG404" s="63"/>
      <c r="AJ404" s="66"/>
      <c r="AK404" s="66">
        <v>0</v>
      </c>
      <c r="BB404" s="456" t="s">
        <v>1</v>
      </c>
      <c r="BM404" s="63">
        <f t="shared" si="64"/>
        <v>0</v>
      </c>
      <c r="BN404" s="63">
        <f t="shared" si="65"/>
        <v>0</v>
      </c>
      <c r="BO404" s="63">
        <f t="shared" si="66"/>
        <v>0</v>
      </c>
      <c r="BP404" s="63">
        <f t="shared" si="67"/>
        <v>0</v>
      </c>
    </row>
    <row r="405" spans="1:68" ht="27" customHeight="1" x14ac:dyDescent="0.25">
      <c r="A405" s="53" t="s">
        <v>635</v>
      </c>
      <c r="B405" s="53" t="s">
        <v>636</v>
      </c>
      <c r="C405" s="30">
        <v>4301031358</v>
      </c>
      <c r="D405" s="594">
        <v>4607091389531</v>
      </c>
      <c r="E405" s="595"/>
      <c r="F405" s="574">
        <v>0.35</v>
      </c>
      <c r="G405" s="31">
        <v>6</v>
      </c>
      <c r="H405" s="574">
        <v>2.1</v>
      </c>
      <c r="I405" s="574">
        <v>2.23</v>
      </c>
      <c r="J405" s="31">
        <v>234</v>
      </c>
      <c r="K405" s="31" t="s">
        <v>68</v>
      </c>
      <c r="L405" s="31"/>
      <c r="M405" s="32" t="s">
        <v>69</v>
      </c>
      <c r="N405" s="32"/>
      <c r="O405" s="31">
        <v>50</v>
      </c>
      <c r="P405" s="6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3"/>
      <c r="V405" s="33"/>
      <c r="W405" s="34" t="s">
        <v>71</v>
      </c>
      <c r="X405" s="575">
        <v>2</v>
      </c>
      <c r="Y405" s="576">
        <f t="shared" si="63"/>
        <v>2.1</v>
      </c>
      <c r="Z405" s="35">
        <f t="shared" si="68"/>
        <v>5.0200000000000002E-3</v>
      </c>
      <c r="AA405" s="55"/>
      <c r="AB405" s="56"/>
      <c r="AC405" s="457" t="s">
        <v>637</v>
      </c>
      <c r="AG405" s="63"/>
      <c r="AJ405" s="66"/>
      <c r="AK405" s="66">
        <v>0</v>
      </c>
      <c r="BB405" s="458" t="s">
        <v>1</v>
      </c>
      <c r="BM405" s="63">
        <f t="shared" si="64"/>
        <v>2.1238095238095238</v>
      </c>
      <c r="BN405" s="63">
        <f t="shared" si="65"/>
        <v>2.23</v>
      </c>
      <c r="BO405" s="63">
        <f t="shared" si="66"/>
        <v>4.0700040700040706E-3</v>
      </c>
      <c r="BP405" s="63">
        <f t="shared" si="67"/>
        <v>4.2735042735042739E-3</v>
      </c>
    </row>
    <row r="406" spans="1:68" ht="37.5" hidden="1" customHeight="1" x14ac:dyDescent="0.25">
      <c r="A406" s="53" t="s">
        <v>638</v>
      </c>
      <c r="B406" s="53" t="s">
        <v>639</v>
      </c>
      <c r="C406" s="30">
        <v>4301031360</v>
      </c>
      <c r="D406" s="594">
        <v>4607091384345</v>
      </c>
      <c r="E406" s="595"/>
      <c r="F406" s="574">
        <v>0.35</v>
      </c>
      <c r="G406" s="31">
        <v>6</v>
      </c>
      <c r="H406" s="574">
        <v>2.1</v>
      </c>
      <c r="I406" s="574">
        <v>2.23</v>
      </c>
      <c r="J406" s="31">
        <v>234</v>
      </c>
      <c r="K406" s="31" t="s">
        <v>68</v>
      </c>
      <c r="L406" s="31"/>
      <c r="M406" s="32" t="s">
        <v>69</v>
      </c>
      <c r="N406" s="32"/>
      <c r="O406" s="31">
        <v>50</v>
      </c>
      <c r="P406" s="7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3"/>
      <c r="V406" s="33"/>
      <c r="W406" s="34" t="s">
        <v>71</v>
      </c>
      <c r="X406" s="575">
        <v>0</v>
      </c>
      <c r="Y406" s="576">
        <f t="shared" si="63"/>
        <v>0</v>
      </c>
      <c r="Z406" s="35" t="str">
        <f t="shared" si="68"/>
        <v/>
      </c>
      <c r="AA406" s="55"/>
      <c r="AB406" s="56"/>
      <c r="AC406" s="459" t="s">
        <v>634</v>
      </c>
      <c r="AG406" s="63"/>
      <c r="AJ406" s="66"/>
      <c r="AK406" s="66">
        <v>0</v>
      </c>
      <c r="BB406" s="460" t="s">
        <v>1</v>
      </c>
      <c r="BM406" s="63">
        <f t="shared" si="64"/>
        <v>0</v>
      </c>
      <c r="BN406" s="63">
        <f t="shared" si="65"/>
        <v>0</v>
      </c>
      <c r="BO406" s="63">
        <f t="shared" si="66"/>
        <v>0</v>
      </c>
      <c r="BP406" s="63">
        <f t="shared" si="67"/>
        <v>0</v>
      </c>
    </row>
    <row r="407" spans="1:68" x14ac:dyDescent="0.2">
      <c r="A407" s="592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3"/>
      <c r="P407" s="584" t="s">
        <v>73</v>
      </c>
      <c r="Q407" s="585"/>
      <c r="R407" s="585"/>
      <c r="S407" s="585"/>
      <c r="T407" s="585"/>
      <c r="U407" s="585"/>
      <c r="V407" s="586"/>
      <c r="W407" s="36" t="s">
        <v>74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3.333333333333333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3"/>
      <c r="P408" s="584" t="s">
        <v>73</v>
      </c>
      <c r="Q408" s="585"/>
      <c r="R408" s="585"/>
      <c r="S408" s="585"/>
      <c r="T408" s="585"/>
      <c r="U408" s="585"/>
      <c r="V408" s="586"/>
      <c r="W408" s="36" t="s">
        <v>71</v>
      </c>
      <c r="X408" s="577">
        <f>IFERROR(SUM(X397:X406),"0")</f>
        <v>7</v>
      </c>
      <c r="Y408" s="577">
        <f>IFERROR(SUM(Y397:Y406),"0")</f>
        <v>8.4</v>
      </c>
      <c r="Z408" s="36"/>
      <c r="AA408" s="578"/>
      <c r="AB408" s="578"/>
      <c r="AC408" s="578"/>
    </row>
    <row r="409" spans="1:68" ht="14.25" hidden="1" customHeight="1" x14ac:dyDescent="0.25">
      <c r="A409" s="587" t="s">
        <v>75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65"/>
      <c r="AB409" s="565"/>
      <c r="AC409" s="565"/>
    </row>
    <row r="410" spans="1:68" ht="27" hidden="1" customHeight="1" x14ac:dyDescent="0.25">
      <c r="A410" s="53" t="s">
        <v>640</v>
      </c>
      <c r="B410" s="53" t="s">
        <v>641</v>
      </c>
      <c r="C410" s="30">
        <v>4301051284</v>
      </c>
      <c r="D410" s="594">
        <v>4607091384352</v>
      </c>
      <c r="E410" s="595"/>
      <c r="F410" s="574">
        <v>0.6</v>
      </c>
      <c r="G410" s="31">
        <v>4</v>
      </c>
      <c r="H410" s="574">
        <v>2.4</v>
      </c>
      <c r="I410" s="574">
        <v>2.6459999999999999</v>
      </c>
      <c r="J410" s="31">
        <v>132</v>
      </c>
      <c r="K410" s="31" t="s">
        <v>112</v>
      </c>
      <c r="L410" s="31"/>
      <c r="M410" s="32" t="s">
        <v>79</v>
      </c>
      <c r="N410" s="32"/>
      <c r="O410" s="31">
        <v>45</v>
      </c>
      <c r="P410" s="9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3"/>
      <c r="V410" s="33"/>
      <c r="W410" s="34" t="s">
        <v>71</v>
      </c>
      <c r="X410" s="575">
        <v>0</v>
      </c>
      <c r="Y410" s="576">
        <f>IFERROR(IF(X410="",0,CEILING((X410/$H410),1)*$H410),"")</f>
        <v>0</v>
      </c>
      <c r="Z410" s="35" t="str">
        <f>IFERROR(IF(Y410=0,"",ROUNDUP(Y410/H410,0)*0.00902),"")</f>
        <v/>
      </c>
      <c r="AA410" s="55"/>
      <c r="AB410" s="56"/>
      <c r="AC410" s="461" t="s">
        <v>642</v>
      </c>
      <c r="AG410" s="63"/>
      <c r="AJ410" s="66"/>
      <c r="AK410" s="66">
        <v>0</v>
      </c>
      <c r="BB410" s="462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643</v>
      </c>
      <c r="B411" s="53" t="s">
        <v>644</v>
      </c>
      <c r="C411" s="30">
        <v>4301051431</v>
      </c>
      <c r="D411" s="594">
        <v>4607091389654</v>
      </c>
      <c r="E411" s="595"/>
      <c r="F411" s="574">
        <v>0.33</v>
      </c>
      <c r="G411" s="31">
        <v>6</v>
      </c>
      <c r="H411" s="574">
        <v>1.98</v>
      </c>
      <c r="I411" s="574">
        <v>2.238</v>
      </c>
      <c r="J411" s="31">
        <v>182</v>
      </c>
      <c r="K411" s="31" t="s">
        <v>78</v>
      </c>
      <c r="L411" s="31"/>
      <c r="M411" s="32" t="s">
        <v>79</v>
      </c>
      <c r="N411" s="32"/>
      <c r="O411" s="31">
        <v>45</v>
      </c>
      <c r="P411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3"/>
      <c r="V411" s="33"/>
      <c r="W411" s="34" t="s">
        <v>71</v>
      </c>
      <c r="X411" s="575">
        <v>0</v>
      </c>
      <c r="Y411" s="5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63" t="s">
        <v>645</v>
      </c>
      <c r="AG411" s="63"/>
      <c r="AJ411" s="66"/>
      <c r="AK411" s="66">
        <v>0</v>
      </c>
      <c r="BB411" s="464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592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3"/>
      <c r="P412" s="584" t="s">
        <v>73</v>
      </c>
      <c r="Q412" s="585"/>
      <c r="R412" s="585"/>
      <c r="S412" s="585"/>
      <c r="T412" s="585"/>
      <c r="U412" s="585"/>
      <c r="V412" s="586"/>
      <c r="W412" s="36" t="s">
        <v>74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3"/>
      <c r="P413" s="584" t="s">
        <v>73</v>
      </c>
      <c r="Q413" s="585"/>
      <c r="R413" s="585"/>
      <c r="S413" s="585"/>
      <c r="T413" s="585"/>
      <c r="U413" s="585"/>
      <c r="V413" s="586"/>
      <c r="W413" s="36" t="s">
        <v>71</v>
      </c>
      <c r="X413" s="577">
        <f>IFERROR(SUM(X410:X411),"0")</f>
        <v>0</v>
      </c>
      <c r="Y413" s="577">
        <f>IFERROR(SUM(Y410:Y411),"0")</f>
        <v>0</v>
      </c>
      <c r="Z413" s="36"/>
      <c r="AA413" s="578"/>
      <c r="AB413" s="578"/>
      <c r="AC413" s="578"/>
    </row>
    <row r="414" spans="1:68" ht="16.5" hidden="1" customHeight="1" x14ac:dyDescent="0.25">
      <c r="A414" s="648" t="s">
        <v>646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1"/>
      <c r="AB414" s="571"/>
      <c r="AC414" s="571"/>
    </row>
    <row r="415" spans="1:68" ht="14.25" hidden="1" customHeight="1" x14ac:dyDescent="0.25">
      <c r="A415" s="587" t="s">
        <v>140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65"/>
      <c r="AB415" s="565"/>
      <c r="AC415" s="565"/>
    </row>
    <row r="416" spans="1:68" ht="27" hidden="1" customHeight="1" x14ac:dyDescent="0.25">
      <c r="A416" s="53" t="s">
        <v>647</v>
      </c>
      <c r="B416" s="53" t="s">
        <v>648</v>
      </c>
      <c r="C416" s="30">
        <v>4301020319</v>
      </c>
      <c r="D416" s="594">
        <v>4680115885240</v>
      </c>
      <c r="E416" s="595"/>
      <c r="F416" s="574">
        <v>0.35</v>
      </c>
      <c r="G416" s="31">
        <v>6</v>
      </c>
      <c r="H416" s="574">
        <v>2.1</v>
      </c>
      <c r="I416" s="574">
        <v>2.31</v>
      </c>
      <c r="J416" s="31">
        <v>182</v>
      </c>
      <c r="K416" s="31" t="s">
        <v>78</v>
      </c>
      <c r="L416" s="31"/>
      <c r="M416" s="32" t="s">
        <v>69</v>
      </c>
      <c r="N416" s="32"/>
      <c r="O416" s="31">
        <v>40</v>
      </c>
      <c r="P416" s="7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3"/>
      <c r="V416" s="33"/>
      <c r="W416" s="34" t="s">
        <v>71</v>
      </c>
      <c r="X416" s="575">
        <v>0</v>
      </c>
      <c r="Y416" s="576">
        <f>IFERROR(IF(X416="",0,CEILING((X416/$H416),1)*$H416),"")</f>
        <v>0</v>
      </c>
      <c r="Z416" s="35" t="str">
        <f>IFERROR(IF(Y416=0,"",ROUNDUP(Y416/H416,0)*0.00651),"")</f>
        <v/>
      </c>
      <c r="AA416" s="55"/>
      <c r="AB416" s="56"/>
      <c r="AC416" s="465" t="s">
        <v>649</v>
      </c>
      <c r="AG416" s="63"/>
      <c r="AJ416" s="66"/>
      <c r="AK416" s="66">
        <v>0</v>
      </c>
      <c r="BB416" s="466" t="s">
        <v>1</v>
      </c>
      <c r="BM416" s="63">
        <f>IFERROR(X416*I416/H416,"0")</f>
        <v>0</v>
      </c>
      <c r="BN416" s="63">
        <f>IFERROR(Y416*I416/H416,"0")</f>
        <v>0</v>
      </c>
      <c r="BO416" s="63">
        <f>IFERROR(1/J416*(X416/H416),"0")</f>
        <v>0</v>
      </c>
      <c r="BP416" s="63">
        <f>IFERROR(1/J416*(Y416/H416),"0")</f>
        <v>0</v>
      </c>
    </row>
    <row r="417" spans="1:68" ht="27" hidden="1" customHeight="1" x14ac:dyDescent="0.25">
      <c r="A417" s="53" t="s">
        <v>650</v>
      </c>
      <c r="B417" s="53" t="s">
        <v>651</v>
      </c>
      <c r="C417" s="30">
        <v>4301020315</v>
      </c>
      <c r="D417" s="594">
        <v>4607091389364</v>
      </c>
      <c r="E417" s="595"/>
      <c r="F417" s="574">
        <v>0.42</v>
      </c>
      <c r="G417" s="31">
        <v>6</v>
      </c>
      <c r="H417" s="574">
        <v>2.52</v>
      </c>
      <c r="I417" s="574">
        <v>2.73</v>
      </c>
      <c r="J417" s="31">
        <v>182</v>
      </c>
      <c r="K417" s="31" t="s">
        <v>78</v>
      </c>
      <c r="L417" s="31"/>
      <c r="M417" s="32" t="s">
        <v>69</v>
      </c>
      <c r="N417" s="32"/>
      <c r="O417" s="31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3"/>
      <c r="V417" s="33"/>
      <c r="W417" s="34" t="s">
        <v>71</v>
      </c>
      <c r="X417" s="575">
        <v>0</v>
      </c>
      <c r="Y417" s="576">
        <f>IFERROR(IF(X417="",0,CEILING((X417/$H417),1)*$H417),"")</f>
        <v>0</v>
      </c>
      <c r="Z417" s="35" t="str">
        <f>IFERROR(IF(Y417=0,"",ROUNDUP(Y417/H417,0)*0.00651),"")</f>
        <v/>
      </c>
      <c r="AA417" s="55"/>
      <c r="AB417" s="56"/>
      <c r="AC417" s="467" t="s">
        <v>652</v>
      </c>
      <c r="AG417" s="63"/>
      <c r="AJ417" s="66"/>
      <c r="AK417" s="66">
        <v>0</v>
      </c>
      <c r="BB417" s="468" t="s">
        <v>1</v>
      </c>
      <c r="BM417" s="63">
        <f>IFERROR(X417*I417/H417,"0")</f>
        <v>0</v>
      </c>
      <c r="BN417" s="63">
        <f>IFERROR(Y417*I417/H417,"0")</f>
        <v>0</v>
      </c>
      <c r="BO417" s="63">
        <f>IFERROR(1/J417*(X417/H417),"0")</f>
        <v>0</v>
      </c>
      <c r="BP417" s="63">
        <f>IFERROR(1/J417*(Y417/H417),"0")</f>
        <v>0</v>
      </c>
    </row>
    <row r="418" spans="1:68" hidden="1" x14ac:dyDescent="0.2">
      <c r="A418" s="592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3"/>
      <c r="P418" s="584" t="s">
        <v>73</v>
      </c>
      <c r="Q418" s="585"/>
      <c r="R418" s="585"/>
      <c r="S418" s="585"/>
      <c r="T418" s="585"/>
      <c r="U418" s="585"/>
      <c r="V418" s="586"/>
      <c r="W418" s="36" t="s">
        <v>74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3"/>
      <c r="P419" s="584" t="s">
        <v>73</v>
      </c>
      <c r="Q419" s="585"/>
      <c r="R419" s="585"/>
      <c r="S419" s="585"/>
      <c r="T419" s="585"/>
      <c r="U419" s="585"/>
      <c r="V419" s="586"/>
      <c r="W419" s="36" t="s">
        <v>71</v>
      </c>
      <c r="X419" s="577">
        <f>IFERROR(SUM(X416:X417),"0")</f>
        <v>0</v>
      </c>
      <c r="Y419" s="577">
        <f>IFERROR(SUM(Y416:Y417),"0")</f>
        <v>0</v>
      </c>
      <c r="Z419" s="36"/>
      <c r="AA419" s="578"/>
      <c r="AB419" s="578"/>
      <c r="AC419" s="578"/>
    </row>
    <row r="420" spans="1:68" ht="14.25" hidden="1" customHeight="1" x14ac:dyDescent="0.25">
      <c r="A420" s="587" t="s">
        <v>65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65"/>
      <c r="AB420" s="565"/>
      <c r="AC420" s="565"/>
    </row>
    <row r="421" spans="1:68" ht="27" hidden="1" customHeight="1" x14ac:dyDescent="0.25">
      <c r="A421" s="53" t="s">
        <v>653</v>
      </c>
      <c r="B421" s="53" t="s">
        <v>654</v>
      </c>
      <c r="C421" s="30">
        <v>4301031403</v>
      </c>
      <c r="D421" s="594">
        <v>4680115886094</v>
      </c>
      <c r="E421" s="595"/>
      <c r="F421" s="574">
        <v>0.9</v>
      </c>
      <c r="G421" s="31">
        <v>6</v>
      </c>
      <c r="H421" s="574">
        <v>5.4</v>
      </c>
      <c r="I421" s="574">
        <v>5.61</v>
      </c>
      <c r="J421" s="31">
        <v>132</v>
      </c>
      <c r="K421" s="31" t="s">
        <v>112</v>
      </c>
      <c r="L421" s="31"/>
      <c r="M421" s="32" t="s">
        <v>108</v>
      </c>
      <c r="N421" s="32"/>
      <c r="O421" s="31">
        <v>50</v>
      </c>
      <c r="P421" s="8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3"/>
      <c r="V421" s="33"/>
      <c r="W421" s="34" t="s">
        <v>71</v>
      </c>
      <c r="X421" s="575">
        <v>0</v>
      </c>
      <c r="Y421" s="576">
        <f>IFERROR(IF(X421="",0,CEILING((X421/$H421),1)*$H421),"")</f>
        <v>0</v>
      </c>
      <c r="Z421" s="35" t="str">
        <f>IFERROR(IF(Y421=0,"",ROUNDUP(Y421/H421,0)*0.00902),"")</f>
        <v/>
      </c>
      <c r="AA421" s="55"/>
      <c r="AB421" s="56"/>
      <c r="AC421" s="469" t="s">
        <v>655</v>
      </c>
      <c r="AG421" s="63"/>
      <c r="AJ421" s="66"/>
      <c r="AK421" s="66">
        <v>0</v>
      </c>
      <c r="BB421" s="470" t="s">
        <v>1</v>
      </c>
      <c r="BM421" s="63">
        <f>IFERROR(X421*I421/H421,"0")</f>
        <v>0</v>
      </c>
      <c r="BN421" s="63">
        <f>IFERROR(Y421*I421/H421,"0")</f>
        <v>0</v>
      </c>
      <c r="BO421" s="63">
        <f>IFERROR(1/J421*(X421/H421),"0")</f>
        <v>0</v>
      </c>
      <c r="BP421" s="63">
        <f>IFERROR(1/J421*(Y421/H421),"0")</f>
        <v>0</v>
      </c>
    </row>
    <row r="422" spans="1:68" ht="27" hidden="1" customHeight="1" x14ac:dyDescent="0.25">
      <c r="A422" s="53" t="s">
        <v>656</v>
      </c>
      <c r="B422" s="53" t="s">
        <v>657</v>
      </c>
      <c r="C422" s="30">
        <v>4301031363</v>
      </c>
      <c r="D422" s="594">
        <v>4607091389425</v>
      </c>
      <c r="E422" s="595"/>
      <c r="F422" s="574">
        <v>0.35</v>
      </c>
      <c r="G422" s="31">
        <v>6</v>
      </c>
      <c r="H422" s="574">
        <v>2.1</v>
      </c>
      <c r="I422" s="574">
        <v>2.23</v>
      </c>
      <c r="J422" s="31">
        <v>234</v>
      </c>
      <c r="K422" s="31" t="s">
        <v>68</v>
      </c>
      <c r="L422" s="31"/>
      <c r="M422" s="32" t="s">
        <v>69</v>
      </c>
      <c r="N422" s="32"/>
      <c r="O422" s="31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3"/>
      <c r="V422" s="33"/>
      <c r="W422" s="34" t="s">
        <v>71</v>
      </c>
      <c r="X422" s="575">
        <v>0</v>
      </c>
      <c r="Y422" s="576">
        <f>IFERROR(IF(X422="",0,CEILING((X422/$H422),1)*$H422),"")</f>
        <v>0</v>
      </c>
      <c r="Z422" s="35" t="str">
        <f>IFERROR(IF(Y422=0,"",ROUNDUP(Y422/H422,0)*0.00502),"")</f>
        <v/>
      </c>
      <c r="AA422" s="55"/>
      <c r="AB422" s="56"/>
      <c r="AC422" s="471" t="s">
        <v>658</v>
      </c>
      <c r="AG422" s="63"/>
      <c r="AJ422" s="66"/>
      <c r="AK422" s="66">
        <v>0</v>
      </c>
      <c r="BB422" s="472" t="s">
        <v>1</v>
      </c>
      <c r="BM422" s="63">
        <f>IFERROR(X422*I422/H422,"0")</f>
        <v>0</v>
      </c>
      <c r="BN422" s="63">
        <f>IFERROR(Y422*I422/H422,"0")</f>
        <v>0</v>
      </c>
      <c r="BO422" s="63">
        <f>IFERROR(1/J422*(X422/H422),"0")</f>
        <v>0</v>
      </c>
      <c r="BP422" s="63">
        <f>IFERROR(1/J422*(Y422/H422),"0")</f>
        <v>0</v>
      </c>
    </row>
    <row r="423" spans="1:68" ht="27" hidden="1" customHeight="1" x14ac:dyDescent="0.25">
      <c r="A423" s="53" t="s">
        <v>659</v>
      </c>
      <c r="B423" s="53" t="s">
        <v>660</v>
      </c>
      <c r="C423" s="30">
        <v>4301031373</v>
      </c>
      <c r="D423" s="594">
        <v>4680115880771</v>
      </c>
      <c r="E423" s="595"/>
      <c r="F423" s="574">
        <v>0.28000000000000003</v>
      </c>
      <c r="G423" s="31">
        <v>6</v>
      </c>
      <c r="H423" s="574">
        <v>1.68</v>
      </c>
      <c r="I423" s="574">
        <v>1.81</v>
      </c>
      <c r="J423" s="31">
        <v>234</v>
      </c>
      <c r="K423" s="31" t="s">
        <v>68</v>
      </c>
      <c r="L423" s="31"/>
      <c r="M423" s="32" t="s">
        <v>69</v>
      </c>
      <c r="N423" s="32"/>
      <c r="O423" s="31">
        <v>50</v>
      </c>
      <c r="P423" s="68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3"/>
      <c r="V423" s="33"/>
      <c r="W423" s="34" t="s">
        <v>71</v>
      </c>
      <c r="X423" s="575">
        <v>0</v>
      </c>
      <c r="Y423" s="576">
        <f>IFERROR(IF(X423="",0,CEILING((X423/$H423),1)*$H423),"")</f>
        <v>0</v>
      </c>
      <c r="Z423" s="35" t="str">
        <f>IFERROR(IF(Y423=0,"",ROUNDUP(Y423/H423,0)*0.00502),"")</f>
        <v/>
      </c>
      <c r="AA423" s="55"/>
      <c r="AB423" s="56"/>
      <c r="AC423" s="473" t="s">
        <v>661</v>
      </c>
      <c r="AG423" s="63"/>
      <c r="AJ423" s="66"/>
      <c r="AK423" s="66">
        <v>0</v>
      </c>
      <c r="BB423" s="474" t="s">
        <v>1</v>
      </c>
      <c r="BM423" s="63">
        <f>IFERROR(X423*I423/H423,"0")</f>
        <v>0</v>
      </c>
      <c r="BN423" s="63">
        <f>IFERROR(Y423*I423/H423,"0")</f>
        <v>0</v>
      </c>
      <c r="BO423" s="63">
        <f>IFERROR(1/J423*(X423/H423),"0")</f>
        <v>0</v>
      </c>
      <c r="BP423" s="63">
        <f>IFERROR(1/J423*(Y423/H423),"0")</f>
        <v>0</v>
      </c>
    </row>
    <row r="424" spans="1:68" ht="27" hidden="1" customHeight="1" x14ac:dyDescent="0.25">
      <c r="A424" s="53" t="s">
        <v>662</v>
      </c>
      <c r="B424" s="53" t="s">
        <v>663</v>
      </c>
      <c r="C424" s="30">
        <v>4301031359</v>
      </c>
      <c r="D424" s="594">
        <v>4607091389500</v>
      </c>
      <c r="E424" s="595"/>
      <c r="F424" s="574">
        <v>0.35</v>
      </c>
      <c r="G424" s="31">
        <v>6</v>
      </c>
      <c r="H424" s="574">
        <v>2.1</v>
      </c>
      <c r="I424" s="574">
        <v>2.23</v>
      </c>
      <c r="J424" s="31">
        <v>234</v>
      </c>
      <c r="K424" s="31" t="s">
        <v>68</v>
      </c>
      <c r="L424" s="31"/>
      <c r="M424" s="32" t="s">
        <v>69</v>
      </c>
      <c r="N424" s="32"/>
      <c r="O424" s="31">
        <v>50</v>
      </c>
      <c r="P424" s="7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3"/>
      <c r="V424" s="33"/>
      <c r="W424" s="34" t="s">
        <v>71</v>
      </c>
      <c r="X424" s="575">
        <v>0</v>
      </c>
      <c r="Y424" s="576">
        <f>IFERROR(IF(X424="",0,CEILING((X424/$H424),1)*$H424),"")</f>
        <v>0</v>
      </c>
      <c r="Z424" s="35" t="str">
        <f>IFERROR(IF(Y424=0,"",ROUNDUP(Y424/H424,0)*0.00502),"")</f>
        <v/>
      </c>
      <c r="AA424" s="55"/>
      <c r="AB424" s="56"/>
      <c r="AC424" s="475" t="s">
        <v>661</v>
      </c>
      <c r="AG424" s="63"/>
      <c r="AJ424" s="66"/>
      <c r="AK424" s="66">
        <v>0</v>
      </c>
      <c r="BB424" s="476" t="s">
        <v>1</v>
      </c>
      <c r="BM424" s="63">
        <f>IFERROR(X424*I424/H424,"0")</f>
        <v>0</v>
      </c>
      <c r="BN424" s="63">
        <f>IFERROR(Y424*I424/H424,"0")</f>
        <v>0</v>
      </c>
      <c r="BO424" s="63">
        <f>IFERROR(1/J424*(X424/H424),"0")</f>
        <v>0</v>
      </c>
      <c r="BP424" s="63">
        <f>IFERROR(1/J424*(Y424/H424),"0")</f>
        <v>0</v>
      </c>
    </row>
    <row r="425" spans="1:68" hidden="1" x14ac:dyDescent="0.2">
      <c r="A425" s="592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3"/>
      <c r="P425" s="584" t="s">
        <v>73</v>
      </c>
      <c r="Q425" s="585"/>
      <c r="R425" s="585"/>
      <c r="S425" s="585"/>
      <c r="T425" s="585"/>
      <c r="U425" s="585"/>
      <c r="V425" s="586"/>
      <c r="W425" s="36" t="s">
        <v>74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3"/>
      <c r="P426" s="584" t="s">
        <v>73</v>
      </c>
      <c r="Q426" s="585"/>
      <c r="R426" s="585"/>
      <c r="S426" s="585"/>
      <c r="T426" s="585"/>
      <c r="U426" s="585"/>
      <c r="V426" s="586"/>
      <c r="W426" s="36" t="s">
        <v>71</v>
      </c>
      <c r="X426" s="577">
        <f>IFERROR(SUM(X421:X424),"0")</f>
        <v>0</v>
      </c>
      <c r="Y426" s="577">
        <f>IFERROR(SUM(Y421:Y424),"0")</f>
        <v>0</v>
      </c>
      <c r="Z426" s="36"/>
      <c r="AA426" s="578"/>
      <c r="AB426" s="578"/>
      <c r="AC426" s="578"/>
    </row>
    <row r="427" spans="1:68" ht="16.5" hidden="1" customHeight="1" x14ac:dyDescent="0.25">
      <c r="A427" s="648" t="s">
        <v>664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1"/>
      <c r="AB427" s="571"/>
      <c r="AC427" s="571"/>
    </row>
    <row r="428" spans="1:68" ht="14.25" hidden="1" customHeight="1" x14ac:dyDescent="0.25">
      <c r="A428" s="587" t="s">
        <v>65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65"/>
      <c r="AB428" s="565"/>
      <c r="AC428" s="565"/>
    </row>
    <row r="429" spans="1:68" ht="27" hidden="1" customHeight="1" x14ac:dyDescent="0.25">
      <c r="A429" s="53" t="s">
        <v>665</v>
      </c>
      <c r="B429" s="53" t="s">
        <v>666</v>
      </c>
      <c r="C429" s="30">
        <v>4301031347</v>
      </c>
      <c r="D429" s="594">
        <v>4680115885110</v>
      </c>
      <c r="E429" s="595"/>
      <c r="F429" s="574">
        <v>0.2</v>
      </c>
      <c r="G429" s="31">
        <v>6</v>
      </c>
      <c r="H429" s="574">
        <v>1.2</v>
      </c>
      <c r="I429" s="574">
        <v>2.1</v>
      </c>
      <c r="J429" s="31">
        <v>182</v>
      </c>
      <c r="K429" s="31" t="s">
        <v>78</v>
      </c>
      <c r="L429" s="31"/>
      <c r="M429" s="32" t="s">
        <v>69</v>
      </c>
      <c r="N429" s="32"/>
      <c r="O429" s="31">
        <v>50</v>
      </c>
      <c r="P429" s="7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3"/>
      <c r="V429" s="33"/>
      <c r="W429" s="34" t="s">
        <v>71</v>
      </c>
      <c r="X429" s="575">
        <v>0</v>
      </c>
      <c r="Y429" s="576">
        <f>IFERROR(IF(X429="",0,CEILING((X429/$H429),1)*$H429),"")</f>
        <v>0</v>
      </c>
      <c r="Z429" s="35" t="str">
        <f>IFERROR(IF(Y429=0,"",ROUNDUP(Y429/H429,0)*0.00651),"")</f>
        <v/>
      </c>
      <c r="AA429" s="55"/>
      <c r="AB429" s="56"/>
      <c r="AC429" s="477" t="s">
        <v>667</v>
      </c>
      <c r="AG429" s="63"/>
      <c r="AJ429" s="66"/>
      <c r="AK429" s="66">
        <v>0</v>
      </c>
      <c r="BB429" s="478" t="s">
        <v>1</v>
      </c>
      <c r="BM429" s="63">
        <f>IFERROR(X429*I429/H429,"0")</f>
        <v>0</v>
      </c>
      <c r="BN429" s="63">
        <f>IFERROR(Y429*I429/H429,"0")</f>
        <v>0</v>
      </c>
      <c r="BO429" s="63">
        <f>IFERROR(1/J429*(X429/H429),"0")</f>
        <v>0</v>
      </c>
      <c r="BP429" s="63">
        <f>IFERROR(1/J429*(Y429/H429),"0")</f>
        <v>0</v>
      </c>
    </row>
    <row r="430" spans="1:68" hidden="1" x14ac:dyDescent="0.2">
      <c r="A430" s="592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3"/>
      <c r="P430" s="584" t="s">
        <v>73</v>
      </c>
      <c r="Q430" s="585"/>
      <c r="R430" s="585"/>
      <c r="S430" s="585"/>
      <c r="T430" s="585"/>
      <c r="U430" s="585"/>
      <c r="V430" s="586"/>
      <c r="W430" s="36" t="s">
        <v>74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3"/>
      <c r="P431" s="584" t="s">
        <v>73</v>
      </c>
      <c r="Q431" s="585"/>
      <c r="R431" s="585"/>
      <c r="S431" s="585"/>
      <c r="T431" s="585"/>
      <c r="U431" s="585"/>
      <c r="V431" s="586"/>
      <c r="W431" s="36" t="s">
        <v>71</v>
      </c>
      <c r="X431" s="577">
        <f>IFERROR(SUM(X429:X429),"0")</f>
        <v>0</v>
      </c>
      <c r="Y431" s="577">
        <f>IFERROR(SUM(Y429:Y429),"0")</f>
        <v>0</v>
      </c>
      <c r="Z431" s="36"/>
      <c r="AA431" s="578"/>
      <c r="AB431" s="578"/>
      <c r="AC431" s="578"/>
    </row>
    <row r="432" spans="1:68" ht="16.5" hidden="1" customHeight="1" x14ac:dyDescent="0.25">
      <c r="A432" s="648" t="s">
        <v>668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1"/>
      <c r="AB432" s="571"/>
      <c r="AC432" s="571"/>
    </row>
    <row r="433" spans="1:68" ht="14.25" hidden="1" customHeight="1" x14ac:dyDescent="0.25">
      <c r="A433" s="587" t="s">
        <v>65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65"/>
      <c r="AB433" s="565"/>
      <c r="AC433" s="565"/>
    </row>
    <row r="434" spans="1:68" ht="27" hidden="1" customHeight="1" x14ac:dyDescent="0.25">
      <c r="A434" s="53" t="s">
        <v>669</v>
      </c>
      <c r="B434" s="53" t="s">
        <v>670</v>
      </c>
      <c r="C434" s="30">
        <v>4301031261</v>
      </c>
      <c r="D434" s="594">
        <v>4680115885103</v>
      </c>
      <c r="E434" s="595"/>
      <c r="F434" s="574">
        <v>0.27</v>
      </c>
      <c r="G434" s="31">
        <v>6</v>
      </c>
      <c r="H434" s="574">
        <v>1.62</v>
      </c>
      <c r="I434" s="574">
        <v>1.8</v>
      </c>
      <c r="J434" s="31">
        <v>182</v>
      </c>
      <c r="K434" s="31" t="s">
        <v>78</v>
      </c>
      <c r="L434" s="31"/>
      <c r="M434" s="32" t="s">
        <v>69</v>
      </c>
      <c r="N434" s="32"/>
      <c r="O434" s="31">
        <v>40</v>
      </c>
      <c r="P434" s="8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3"/>
      <c r="V434" s="33"/>
      <c r="W434" s="34" t="s">
        <v>71</v>
      </c>
      <c r="X434" s="575">
        <v>0</v>
      </c>
      <c r="Y434" s="576">
        <f>IFERROR(IF(X434="",0,CEILING((X434/$H434),1)*$H434),"")</f>
        <v>0</v>
      </c>
      <c r="Z434" s="35" t="str">
        <f>IFERROR(IF(Y434=0,"",ROUNDUP(Y434/H434,0)*0.00651),"")</f>
        <v/>
      </c>
      <c r="AA434" s="55"/>
      <c r="AB434" s="56"/>
      <c r="AC434" s="479" t="s">
        <v>671</v>
      </c>
      <c r="AG434" s="63"/>
      <c r="AJ434" s="66"/>
      <c r="AK434" s="66">
        <v>0</v>
      </c>
      <c r="BB434" s="480" t="s">
        <v>1</v>
      </c>
      <c r="BM434" s="63">
        <f>IFERROR(X434*I434/H434,"0")</f>
        <v>0</v>
      </c>
      <c r="BN434" s="63">
        <f>IFERROR(Y434*I434/H434,"0")</f>
        <v>0</v>
      </c>
      <c r="BO434" s="63">
        <f>IFERROR(1/J434*(X434/H434),"0")</f>
        <v>0</v>
      </c>
      <c r="BP434" s="63">
        <f>IFERROR(1/J434*(Y434/H434),"0")</f>
        <v>0</v>
      </c>
    </row>
    <row r="435" spans="1:68" hidden="1" x14ac:dyDescent="0.2">
      <c r="A435" s="592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3"/>
      <c r="P435" s="584" t="s">
        <v>73</v>
      </c>
      <c r="Q435" s="585"/>
      <c r="R435" s="585"/>
      <c r="S435" s="585"/>
      <c r="T435" s="585"/>
      <c r="U435" s="585"/>
      <c r="V435" s="586"/>
      <c r="W435" s="36" t="s">
        <v>74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3"/>
      <c r="P436" s="584" t="s">
        <v>73</v>
      </c>
      <c r="Q436" s="585"/>
      <c r="R436" s="585"/>
      <c r="S436" s="585"/>
      <c r="T436" s="585"/>
      <c r="U436" s="585"/>
      <c r="V436" s="586"/>
      <c r="W436" s="36" t="s">
        <v>71</v>
      </c>
      <c r="X436" s="577">
        <f>IFERROR(SUM(X434:X434),"0")</f>
        <v>0</v>
      </c>
      <c r="Y436" s="577">
        <f>IFERROR(SUM(Y434:Y434),"0")</f>
        <v>0</v>
      </c>
      <c r="Z436" s="36"/>
      <c r="AA436" s="578"/>
      <c r="AB436" s="578"/>
      <c r="AC436" s="578"/>
    </row>
    <row r="437" spans="1:68" ht="27.75" hidden="1" customHeight="1" x14ac:dyDescent="0.2">
      <c r="A437" s="601" t="s">
        <v>672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47"/>
      <c r="AB437" s="47"/>
      <c r="AC437" s="47"/>
    </row>
    <row r="438" spans="1:68" ht="16.5" hidden="1" customHeight="1" x14ac:dyDescent="0.25">
      <c r="A438" s="648" t="s">
        <v>672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1"/>
      <c r="AB438" s="571"/>
      <c r="AC438" s="571"/>
    </row>
    <row r="439" spans="1:68" ht="14.25" hidden="1" customHeight="1" x14ac:dyDescent="0.25">
      <c r="A439" s="587" t="s">
        <v>104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65"/>
      <c r="AB439" s="565"/>
      <c r="AC439" s="565"/>
    </row>
    <row r="440" spans="1:68" ht="27" hidden="1" customHeight="1" x14ac:dyDescent="0.25">
      <c r="A440" s="53" t="s">
        <v>673</v>
      </c>
      <c r="B440" s="53" t="s">
        <v>674</v>
      </c>
      <c r="C440" s="30">
        <v>4301011795</v>
      </c>
      <c r="D440" s="594">
        <v>4607091389067</v>
      </c>
      <c r="E440" s="595"/>
      <c r="F440" s="574">
        <v>0.88</v>
      </c>
      <c r="G440" s="31">
        <v>6</v>
      </c>
      <c r="H440" s="574">
        <v>5.28</v>
      </c>
      <c r="I440" s="574">
        <v>5.64</v>
      </c>
      <c r="J440" s="31">
        <v>104</v>
      </c>
      <c r="K440" s="31" t="s">
        <v>107</v>
      </c>
      <c r="L440" s="31"/>
      <c r="M440" s="32" t="s">
        <v>108</v>
      </c>
      <c r="N440" s="32"/>
      <c r="O440" s="31">
        <v>60</v>
      </c>
      <c r="P440" s="7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3"/>
      <c r="V440" s="33"/>
      <c r="W440" s="34" t="s">
        <v>71</v>
      </c>
      <c r="X440" s="575">
        <v>0</v>
      </c>
      <c r="Y440" s="576">
        <f t="shared" ref="Y440:Y452" si="69">IFERROR(IF(X440="",0,CEILING((X440/$H440),1)*$H440),"")</f>
        <v>0</v>
      </c>
      <c r="Z440" s="35" t="str">
        <f t="shared" ref="Z440:Z445" si="70">IFERROR(IF(Y440=0,"",ROUNDUP(Y440/H440,0)*0.01196),"")</f>
        <v/>
      </c>
      <c r="AA440" s="55"/>
      <c r="AB440" s="56"/>
      <c r="AC440" s="481" t="s">
        <v>675</v>
      </c>
      <c r="AG440" s="63"/>
      <c r="AJ440" s="66"/>
      <c r="AK440" s="66">
        <v>0</v>
      </c>
      <c r="BB440" s="482" t="s">
        <v>1</v>
      </c>
      <c r="BM440" s="63">
        <f t="shared" ref="BM440:BM452" si="71">IFERROR(X440*I440/H440,"0")</f>
        <v>0</v>
      </c>
      <c r="BN440" s="63">
        <f t="shared" ref="BN440:BN452" si="72">IFERROR(Y440*I440/H440,"0")</f>
        <v>0</v>
      </c>
      <c r="BO440" s="63">
        <f t="shared" ref="BO440:BO452" si="73">IFERROR(1/J440*(X440/H440),"0")</f>
        <v>0</v>
      </c>
      <c r="BP440" s="63">
        <f t="shared" ref="BP440:BP452" si="74">IFERROR(1/J440*(Y440/H440),"0")</f>
        <v>0</v>
      </c>
    </row>
    <row r="441" spans="1:68" ht="27" hidden="1" customHeight="1" x14ac:dyDescent="0.25">
      <c r="A441" s="53" t="s">
        <v>676</v>
      </c>
      <c r="B441" s="53" t="s">
        <v>677</v>
      </c>
      <c r="C441" s="30">
        <v>4301011961</v>
      </c>
      <c r="D441" s="594">
        <v>4680115885271</v>
      </c>
      <c r="E441" s="595"/>
      <c r="F441" s="574">
        <v>0.88</v>
      </c>
      <c r="G441" s="31">
        <v>6</v>
      </c>
      <c r="H441" s="574">
        <v>5.28</v>
      </c>
      <c r="I441" s="574">
        <v>5.64</v>
      </c>
      <c r="J441" s="31">
        <v>104</v>
      </c>
      <c r="K441" s="31" t="s">
        <v>107</v>
      </c>
      <c r="L441" s="31"/>
      <c r="M441" s="32" t="s">
        <v>108</v>
      </c>
      <c r="N441" s="32"/>
      <c r="O441" s="31">
        <v>60</v>
      </c>
      <c r="P441" s="7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3"/>
      <c r="V441" s="33"/>
      <c r="W441" s="34" t="s">
        <v>71</v>
      </c>
      <c r="X441" s="575">
        <v>0</v>
      </c>
      <c r="Y441" s="576">
        <f t="shared" si="69"/>
        <v>0</v>
      </c>
      <c r="Z441" s="35" t="str">
        <f t="shared" si="70"/>
        <v/>
      </c>
      <c r="AA441" s="55"/>
      <c r="AB441" s="56"/>
      <c r="AC441" s="483" t="s">
        <v>678</v>
      </c>
      <c r="AG441" s="63"/>
      <c r="AJ441" s="66"/>
      <c r="AK441" s="66">
        <v>0</v>
      </c>
      <c r="BB441" s="484" t="s">
        <v>1</v>
      </c>
      <c r="BM441" s="63">
        <f t="shared" si="71"/>
        <v>0</v>
      </c>
      <c r="BN441" s="63">
        <f t="shared" si="72"/>
        <v>0</v>
      </c>
      <c r="BO441" s="63">
        <f t="shared" si="73"/>
        <v>0</v>
      </c>
      <c r="BP441" s="63">
        <f t="shared" si="74"/>
        <v>0</v>
      </c>
    </row>
    <row r="442" spans="1:68" ht="27" hidden="1" customHeight="1" x14ac:dyDescent="0.25">
      <c r="A442" s="53" t="s">
        <v>679</v>
      </c>
      <c r="B442" s="53" t="s">
        <v>680</v>
      </c>
      <c r="C442" s="30">
        <v>4301011376</v>
      </c>
      <c r="D442" s="594">
        <v>4680115885226</v>
      </c>
      <c r="E442" s="595"/>
      <c r="F442" s="574">
        <v>0.88</v>
      </c>
      <c r="G442" s="31">
        <v>6</v>
      </c>
      <c r="H442" s="574">
        <v>5.28</v>
      </c>
      <c r="I442" s="574">
        <v>5.64</v>
      </c>
      <c r="J442" s="31">
        <v>104</v>
      </c>
      <c r="K442" s="31" t="s">
        <v>107</v>
      </c>
      <c r="L442" s="31"/>
      <c r="M442" s="32" t="s">
        <v>79</v>
      </c>
      <c r="N442" s="32"/>
      <c r="O442" s="31">
        <v>60</v>
      </c>
      <c r="P442" s="7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3"/>
      <c r="V442" s="33"/>
      <c r="W442" s="34" t="s">
        <v>71</v>
      </c>
      <c r="X442" s="575">
        <v>0</v>
      </c>
      <c r="Y442" s="576">
        <f t="shared" si="69"/>
        <v>0</v>
      </c>
      <c r="Z442" s="35" t="str">
        <f t="shared" si="70"/>
        <v/>
      </c>
      <c r="AA442" s="55"/>
      <c r="AB442" s="56"/>
      <c r="AC442" s="485" t="s">
        <v>681</v>
      </c>
      <c r="AG442" s="63"/>
      <c r="AJ442" s="66"/>
      <c r="AK442" s="66">
        <v>0</v>
      </c>
      <c r="BB442" s="486" t="s">
        <v>1</v>
      </c>
      <c r="BM442" s="63">
        <f t="shared" si="71"/>
        <v>0</v>
      </c>
      <c r="BN442" s="63">
        <f t="shared" si="72"/>
        <v>0</v>
      </c>
      <c r="BO442" s="63">
        <f t="shared" si="73"/>
        <v>0</v>
      </c>
      <c r="BP442" s="63">
        <f t="shared" si="74"/>
        <v>0</v>
      </c>
    </row>
    <row r="443" spans="1:68" ht="16.5" hidden="1" customHeight="1" x14ac:dyDescent="0.25">
      <c r="A443" s="53" t="s">
        <v>682</v>
      </c>
      <c r="B443" s="53" t="s">
        <v>683</v>
      </c>
      <c r="C443" s="30">
        <v>4301011774</v>
      </c>
      <c r="D443" s="594">
        <v>4680115884502</v>
      </c>
      <c r="E443" s="595"/>
      <c r="F443" s="574">
        <v>0.88</v>
      </c>
      <c r="G443" s="31">
        <v>6</v>
      </c>
      <c r="H443" s="574">
        <v>5.28</v>
      </c>
      <c r="I443" s="574">
        <v>5.64</v>
      </c>
      <c r="J443" s="31">
        <v>104</v>
      </c>
      <c r="K443" s="31" t="s">
        <v>107</v>
      </c>
      <c r="L443" s="31"/>
      <c r="M443" s="32" t="s">
        <v>108</v>
      </c>
      <c r="N443" s="32"/>
      <c r="O443" s="31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3"/>
      <c r="V443" s="33"/>
      <c r="W443" s="34" t="s">
        <v>71</v>
      </c>
      <c r="X443" s="575">
        <v>0</v>
      </c>
      <c r="Y443" s="576">
        <f t="shared" si="69"/>
        <v>0</v>
      </c>
      <c r="Z443" s="35" t="str">
        <f t="shared" si="70"/>
        <v/>
      </c>
      <c r="AA443" s="55"/>
      <c r="AB443" s="56"/>
      <c r="AC443" s="487" t="s">
        <v>684</v>
      </c>
      <c r="AG443" s="63"/>
      <c r="AJ443" s="66"/>
      <c r="AK443" s="66">
        <v>0</v>
      </c>
      <c r="BB443" s="488" t="s">
        <v>1</v>
      </c>
      <c r="BM443" s="63">
        <f t="shared" si="71"/>
        <v>0</v>
      </c>
      <c r="BN443" s="63">
        <f t="shared" si="72"/>
        <v>0</v>
      </c>
      <c r="BO443" s="63">
        <f t="shared" si="73"/>
        <v>0</v>
      </c>
      <c r="BP443" s="63">
        <f t="shared" si="74"/>
        <v>0</v>
      </c>
    </row>
    <row r="444" spans="1:68" ht="27" hidden="1" customHeight="1" x14ac:dyDescent="0.25">
      <c r="A444" s="53" t="s">
        <v>685</v>
      </c>
      <c r="B444" s="53" t="s">
        <v>686</v>
      </c>
      <c r="C444" s="30">
        <v>4301011771</v>
      </c>
      <c r="D444" s="594">
        <v>4607091389104</v>
      </c>
      <c r="E444" s="595"/>
      <c r="F444" s="574">
        <v>0.88</v>
      </c>
      <c r="G444" s="31">
        <v>6</v>
      </c>
      <c r="H444" s="574">
        <v>5.28</v>
      </c>
      <c r="I444" s="574">
        <v>5.64</v>
      </c>
      <c r="J444" s="31">
        <v>104</v>
      </c>
      <c r="K444" s="31" t="s">
        <v>107</v>
      </c>
      <c r="L444" s="31"/>
      <c r="M444" s="32" t="s">
        <v>108</v>
      </c>
      <c r="N444" s="32"/>
      <c r="O444" s="31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3"/>
      <c r="V444" s="33"/>
      <c r="W444" s="34" t="s">
        <v>71</v>
      </c>
      <c r="X444" s="575">
        <v>0</v>
      </c>
      <c r="Y444" s="576">
        <f t="shared" si="69"/>
        <v>0</v>
      </c>
      <c r="Z444" s="35" t="str">
        <f t="shared" si="70"/>
        <v/>
      </c>
      <c r="AA444" s="55"/>
      <c r="AB444" s="56"/>
      <c r="AC444" s="489" t="s">
        <v>687</v>
      </c>
      <c r="AG444" s="63"/>
      <c r="AJ444" s="66"/>
      <c r="AK444" s="66">
        <v>0</v>
      </c>
      <c r="BB444" s="490" t="s">
        <v>1</v>
      </c>
      <c r="BM444" s="63">
        <f t="shared" si="71"/>
        <v>0</v>
      </c>
      <c r="BN444" s="63">
        <f t="shared" si="72"/>
        <v>0</v>
      </c>
      <c r="BO444" s="63">
        <f t="shared" si="73"/>
        <v>0</v>
      </c>
      <c r="BP444" s="63">
        <f t="shared" si="74"/>
        <v>0</v>
      </c>
    </row>
    <row r="445" spans="1:68" ht="16.5" hidden="1" customHeight="1" x14ac:dyDescent="0.25">
      <c r="A445" s="53" t="s">
        <v>688</v>
      </c>
      <c r="B445" s="53" t="s">
        <v>689</v>
      </c>
      <c r="C445" s="30">
        <v>4301011799</v>
      </c>
      <c r="D445" s="594">
        <v>4680115884519</v>
      </c>
      <c r="E445" s="595"/>
      <c r="F445" s="574">
        <v>0.88</v>
      </c>
      <c r="G445" s="31">
        <v>6</v>
      </c>
      <c r="H445" s="574">
        <v>5.28</v>
      </c>
      <c r="I445" s="574">
        <v>5.64</v>
      </c>
      <c r="J445" s="31">
        <v>104</v>
      </c>
      <c r="K445" s="31" t="s">
        <v>107</v>
      </c>
      <c r="L445" s="31"/>
      <c r="M445" s="32" t="s">
        <v>79</v>
      </c>
      <c r="N445" s="32"/>
      <c r="O445" s="31">
        <v>60</v>
      </c>
      <c r="P445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3"/>
      <c r="V445" s="33"/>
      <c r="W445" s="34" t="s">
        <v>71</v>
      </c>
      <c r="X445" s="575">
        <v>0</v>
      </c>
      <c r="Y445" s="576">
        <f t="shared" si="69"/>
        <v>0</v>
      </c>
      <c r="Z445" s="35" t="str">
        <f t="shared" si="70"/>
        <v/>
      </c>
      <c r="AA445" s="55"/>
      <c r="AB445" s="56"/>
      <c r="AC445" s="491" t="s">
        <v>690</v>
      </c>
      <c r="AG445" s="63"/>
      <c r="AJ445" s="66"/>
      <c r="AK445" s="66">
        <v>0</v>
      </c>
      <c r="BB445" s="492" t="s">
        <v>1</v>
      </c>
      <c r="BM445" s="63">
        <f t="shared" si="71"/>
        <v>0</v>
      </c>
      <c r="BN445" s="63">
        <f t="shared" si="72"/>
        <v>0</v>
      </c>
      <c r="BO445" s="63">
        <f t="shared" si="73"/>
        <v>0</v>
      </c>
      <c r="BP445" s="63">
        <f t="shared" si="74"/>
        <v>0</v>
      </c>
    </row>
    <row r="446" spans="1:68" ht="27" hidden="1" customHeight="1" x14ac:dyDescent="0.25">
      <c r="A446" s="53" t="s">
        <v>691</v>
      </c>
      <c r="B446" s="53" t="s">
        <v>692</v>
      </c>
      <c r="C446" s="30">
        <v>4301012125</v>
      </c>
      <c r="D446" s="594">
        <v>4680115886391</v>
      </c>
      <c r="E446" s="595"/>
      <c r="F446" s="574">
        <v>0.4</v>
      </c>
      <c r="G446" s="31">
        <v>6</v>
      </c>
      <c r="H446" s="574">
        <v>2.4</v>
      </c>
      <c r="I446" s="574">
        <v>2.58</v>
      </c>
      <c r="J446" s="31">
        <v>182</v>
      </c>
      <c r="K446" s="31" t="s">
        <v>78</v>
      </c>
      <c r="L446" s="31"/>
      <c r="M446" s="32" t="s">
        <v>79</v>
      </c>
      <c r="N446" s="32"/>
      <c r="O446" s="31">
        <v>60</v>
      </c>
      <c r="P446" s="78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3"/>
      <c r="V446" s="33"/>
      <c r="W446" s="34" t="s">
        <v>71</v>
      </c>
      <c r="X446" s="575">
        <v>0</v>
      </c>
      <c r="Y446" s="576">
        <f t="shared" si="69"/>
        <v>0</v>
      </c>
      <c r="Z446" s="35" t="str">
        <f>IFERROR(IF(Y446=0,"",ROUNDUP(Y446/H446,0)*0.00651),"")</f>
        <v/>
      </c>
      <c r="AA446" s="55"/>
      <c r="AB446" s="56"/>
      <c r="AC446" s="493" t="s">
        <v>675</v>
      </c>
      <c r="AG446" s="63"/>
      <c r="AJ446" s="66"/>
      <c r="AK446" s="66">
        <v>0</v>
      </c>
      <c r="BB446" s="494" t="s">
        <v>1</v>
      </c>
      <c r="BM446" s="63">
        <f t="shared" si="71"/>
        <v>0</v>
      </c>
      <c r="BN446" s="63">
        <f t="shared" si="72"/>
        <v>0</v>
      </c>
      <c r="BO446" s="63">
        <f t="shared" si="73"/>
        <v>0</v>
      </c>
      <c r="BP446" s="63">
        <f t="shared" si="74"/>
        <v>0</v>
      </c>
    </row>
    <row r="447" spans="1:68" ht="27" hidden="1" customHeight="1" x14ac:dyDescent="0.25">
      <c r="A447" s="53" t="s">
        <v>693</v>
      </c>
      <c r="B447" s="53" t="s">
        <v>694</v>
      </c>
      <c r="C447" s="30">
        <v>4301011778</v>
      </c>
      <c r="D447" s="594">
        <v>4680115880603</v>
      </c>
      <c r="E447" s="595"/>
      <c r="F447" s="574">
        <v>0.6</v>
      </c>
      <c r="G447" s="31">
        <v>6</v>
      </c>
      <c r="H447" s="574">
        <v>3.6</v>
      </c>
      <c r="I447" s="574">
        <v>3.81</v>
      </c>
      <c r="J447" s="31">
        <v>132</v>
      </c>
      <c r="K447" s="31" t="s">
        <v>112</v>
      </c>
      <c r="L447" s="31"/>
      <c r="M447" s="32" t="s">
        <v>108</v>
      </c>
      <c r="N447" s="32"/>
      <c r="O447" s="31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3"/>
      <c r="V447" s="33"/>
      <c r="W447" s="34" t="s">
        <v>71</v>
      </c>
      <c r="X447" s="575">
        <v>0</v>
      </c>
      <c r="Y447" s="576">
        <f t="shared" si="69"/>
        <v>0</v>
      </c>
      <c r="Z447" s="35" t="str">
        <f>IFERROR(IF(Y447=0,"",ROUNDUP(Y447/H447,0)*0.00902),"")</f>
        <v/>
      </c>
      <c r="AA447" s="55"/>
      <c r="AB447" s="56"/>
      <c r="AC447" s="495" t="s">
        <v>675</v>
      </c>
      <c r="AG447" s="63"/>
      <c r="AJ447" s="66"/>
      <c r="AK447" s="66">
        <v>0</v>
      </c>
      <c r="BB447" s="496" t="s">
        <v>1</v>
      </c>
      <c r="BM447" s="63">
        <f t="shared" si="71"/>
        <v>0</v>
      </c>
      <c r="BN447" s="63">
        <f t="shared" si="72"/>
        <v>0</v>
      </c>
      <c r="BO447" s="63">
        <f t="shared" si="73"/>
        <v>0</v>
      </c>
      <c r="BP447" s="63">
        <f t="shared" si="74"/>
        <v>0</v>
      </c>
    </row>
    <row r="448" spans="1:68" ht="27" hidden="1" customHeight="1" x14ac:dyDescent="0.25">
      <c r="A448" s="53" t="s">
        <v>693</v>
      </c>
      <c r="B448" s="53" t="s">
        <v>695</v>
      </c>
      <c r="C448" s="30">
        <v>4301012035</v>
      </c>
      <c r="D448" s="594">
        <v>4680115880603</v>
      </c>
      <c r="E448" s="595"/>
      <c r="F448" s="574">
        <v>0.6</v>
      </c>
      <c r="G448" s="31">
        <v>8</v>
      </c>
      <c r="H448" s="574">
        <v>4.8</v>
      </c>
      <c r="I448" s="574">
        <v>6.93</v>
      </c>
      <c r="J448" s="31">
        <v>132</v>
      </c>
      <c r="K448" s="31" t="s">
        <v>112</v>
      </c>
      <c r="L448" s="31"/>
      <c r="M448" s="32" t="s">
        <v>108</v>
      </c>
      <c r="N448" s="32"/>
      <c r="O448" s="31">
        <v>60</v>
      </c>
      <c r="P448" s="7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3"/>
      <c r="V448" s="33"/>
      <c r="W448" s="34" t="s">
        <v>71</v>
      </c>
      <c r="X448" s="575">
        <v>0</v>
      </c>
      <c r="Y448" s="576">
        <f t="shared" si="69"/>
        <v>0</v>
      </c>
      <c r="Z448" s="35" t="str">
        <f>IFERROR(IF(Y448=0,"",ROUNDUP(Y448/H448,0)*0.00902),"")</f>
        <v/>
      </c>
      <c r="AA448" s="55"/>
      <c r="AB448" s="56"/>
      <c r="AC448" s="497" t="s">
        <v>675</v>
      </c>
      <c r="AG448" s="63"/>
      <c r="AJ448" s="66"/>
      <c r="AK448" s="66">
        <v>0</v>
      </c>
      <c r="BB448" s="498" t="s">
        <v>1</v>
      </c>
      <c r="BM448" s="63">
        <f t="shared" si="71"/>
        <v>0</v>
      </c>
      <c r="BN448" s="63">
        <f t="shared" si="72"/>
        <v>0</v>
      </c>
      <c r="BO448" s="63">
        <f t="shared" si="73"/>
        <v>0</v>
      </c>
      <c r="BP448" s="63">
        <f t="shared" si="74"/>
        <v>0</v>
      </c>
    </row>
    <row r="449" spans="1:68" ht="27" hidden="1" customHeight="1" x14ac:dyDescent="0.25">
      <c r="A449" s="53" t="s">
        <v>696</v>
      </c>
      <c r="B449" s="53" t="s">
        <v>697</v>
      </c>
      <c r="C449" s="30">
        <v>4301012036</v>
      </c>
      <c r="D449" s="594">
        <v>4680115882782</v>
      </c>
      <c r="E449" s="595"/>
      <c r="F449" s="574">
        <v>0.6</v>
      </c>
      <c r="G449" s="31">
        <v>8</v>
      </c>
      <c r="H449" s="574">
        <v>4.8</v>
      </c>
      <c r="I449" s="574">
        <v>6.96</v>
      </c>
      <c r="J449" s="31">
        <v>120</v>
      </c>
      <c r="K449" s="31" t="s">
        <v>112</v>
      </c>
      <c r="L449" s="31"/>
      <c r="M449" s="32" t="s">
        <v>108</v>
      </c>
      <c r="N449" s="32"/>
      <c r="O449" s="31">
        <v>60</v>
      </c>
      <c r="P449" s="90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3"/>
      <c r="V449" s="33"/>
      <c r="W449" s="34" t="s">
        <v>71</v>
      </c>
      <c r="X449" s="575">
        <v>0</v>
      </c>
      <c r="Y449" s="576">
        <f t="shared" si="69"/>
        <v>0</v>
      </c>
      <c r="Z449" s="35" t="str">
        <f>IFERROR(IF(Y449=0,"",ROUNDUP(Y449/H449,0)*0.00937),"")</f>
        <v/>
      </c>
      <c r="AA449" s="55"/>
      <c r="AB449" s="56"/>
      <c r="AC449" s="499" t="s">
        <v>678</v>
      </c>
      <c r="AG449" s="63"/>
      <c r="AJ449" s="66"/>
      <c r="AK449" s="66">
        <v>0</v>
      </c>
      <c r="BB449" s="500" t="s">
        <v>1</v>
      </c>
      <c r="BM449" s="63">
        <f t="shared" si="71"/>
        <v>0</v>
      </c>
      <c r="BN449" s="63">
        <f t="shared" si="72"/>
        <v>0</v>
      </c>
      <c r="BO449" s="63">
        <f t="shared" si="73"/>
        <v>0</v>
      </c>
      <c r="BP449" s="63">
        <f t="shared" si="74"/>
        <v>0</v>
      </c>
    </row>
    <row r="450" spans="1:68" ht="27" customHeight="1" x14ac:dyDescent="0.25">
      <c r="A450" s="53" t="s">
        <v>698</v>
      </c>
      <c r="B450" s="53" t="s">
        <v>699</v>
      </c>
      <c r="C450" s="30">
        <v>4301012050</v>
      </c>
      <c r="D450" s="594">
        <v>4680115885479</v>
      </c>
      <c r="E450" s="595"/>
      <c r="F450" s="574">
        <v>0.4</v>
      </c>
      <c r="G450" s="31">
        <v>6</v>
      </c>
      <c r="H450" s="574">
        <v>2.4</v>
      </c>
      <c r="I450" s="574">
        <v>2.58</v>
      </c>
      <c r="J450" s="31">
        <v>182</v>
      </c>
      <c r="K450" s="31" t="s">
        <v>78</v>
      </c>
      <c r="L450" s="31"/>
      <c r="M450" s="32" t="s">
        <v>108</v>
      </c>
      <c r="N450" s="32"/>
      <c r="O450" s="31">
        <v>60</v>
      </c>
      <c r="P450" s="72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3"/>
      <c r="V450" s="33"/>
      <c r="W450" s="34" t="s">
        <v>71</v>
      </c>
      <c r="X450" s="575">
        <v>2</v>
      </c>
      <c r="Y450" s="576">
        <f t="shared" si="69"/>
        <v>2.4</v>
      </c>
      <c r="Z450" s="35">
        <f>IFERROR(IF(Y450=0,"",ROUNDUP(Y450/H450,0)*0.00651),"")</f>
        <v>6.5100000000000002E-3</v>
      </c>
      <c r="AA450" s="55"/>
      <c r="AB450" s="56"/>
      <c r="AC450" s="501" t="s">
        <v>687</v>
      </c>
      <c r="AG450" s="63"/>
      <c r="AJ450" s="66"/>
      <c r="AK450" s="66">
        <v>0</v>
      </c>
      <c r="BB450" s="502" t="s">
        <v>1</v>
      </c>
      <c r="BM450" s="63">
        <f t="shared" si="71"/>
        <v>2.1500000000000004</v>
      </c>
      <c r="BN450" s="63">
        <f t="shared" si="72"/>
        <v>2.58</v>
      </c>
      <c r="BO450" s="63">
        <f t="shared" si="73"/>
        <v>4.578754578754579E-3</v>
      </c>
      <c r="BP450" s="63">
        <f t="shared" si="74"/>
        <v>5.4945054945054949E-3</v>
      </c>
    </row>
    <row r="451" spans="1:68" ht="27" hidden="1" customHeight="1" x14ac:dyDescent="0.25">
      <c r="A451" s="53" t="s">
        <v>700</v>
      </c>
      <c r="B451" s="53" t="s">
        <v>701</v>
      </c>
      <c r="C451" s="30">
        <v>4301011784</v>
      </c>
      <c r="D451" s="594">
        <v>4607091389982</v>
      </c>
      <c r="E451" s="595"/>
      <c r="F451" s="574">
        <v>0.6</v>
      </c>
      <c r="G451" s="31">
        <v>6</v>
      </c>
      <c r="H451" s="574">
        <v>3.6</v>
      </c>
      <c r="I451" s="574">
        <v>3.81</v>
      </c>
      <c r="J451" s="31">
        <v>132</v>
      </c>
      <c r="K451" s="31" t="s">
        <v>112</v>
      </c>
      <c r="L451" s="31"/>
      <c r="M451" s="32" t="s">
        <v>108</v>
      </c>
      <c r="N451" s="32"/>
      <c r="O451" s="31">
        <v>60</v>
      </c>
      <c r="P451" s="7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3"/>
      <c r="V451" s="33"/>
      <c r="W451" s="34" t="s">
        <v>71</v>
      </c>
      <c r="X451" s="575">
        <v>0</v>
      </c>
      <c r="Y451" s="576">
        <f t="shared" si="69"/>
        <v>0</v>
      </c>
      <c r="Z451" s="35" t="str">
        <f>IFERROR(IF(Y451=0,"",ROUNDUP(Y451/H451,0)*0.00902),"")</f>
        <v/>
      </c>
      <c r="AA451" s="55"/>
      <c r="AB451" s="56"/>
      <c r="AC451" s="503" t="s">
        <v>687</v>
      </c>
      <c r="AG451" s="63"/>
      <c r="AJ451" s="66"/>
      <c r="AK451" s="66">
        <v>0</v>
      </c>
      <c r="BB451" s="504" t="s">
        <v>1</v>
      </c>
      <c r="BM451" s="63">
        <f t="shared" si="71"/>
        <v>0</v>
      </c>
      <c r="BN451" s="63">
        <f t="shared" si="72"/>
        <v>0</v>
      </c>
      <c r="BO451" s="63">
        <f t="shared" si="73"/>
        <v>0</v>
      </c>
      <c r="BP451" s="63">
        <f t="shared" si="74"/>
        <v>0</v>
      </c>
    </row>
    <row r="452" spans="1:68" ht="27" hidden="1" customHeight="1" x14ac:dyDescent="0.25">
      <c r="A452" s="53" t="s">
        <v>700</v>
      </c>
      <c r="B452" s="53" t="s">
        <v>702</v>
      </c>
      <c r="C452" s="30">
        <v>4301012034</v>
      </c>
      <c r="D452" s="594">
        <v>4607091389982</v>
      </c>
      <c r="E452" s="595"/>
      <c r="F452" s="574">
        <v>0.6</v>
      </c>
      <c r="G452" s="31">
        <v>8</v>
      </c>
      <c r="H452" s="574">
        <v>4.8</v>
      </c>
      <c r="I452" s="574">
        <v>6.96</v>
      </c>
      <c r="J452" s="31">
        <v>120</v>
      </c>
      <c r="K452" s="31" t="s">
        <v>112</v>
      </c>
      <c r="L452" s="31"/>
      <c r="M452" s="32" t="s">
        <v>108</v>
      </c>
      <c r="N452" s="32"/>
      <c r="O452" s="31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3"/>
      <c r="V452" s="33"/>
      <c r="W452" s="34" t="s">
        <v>71</v>
      </c>
      <c r="X452" s="575">
        <v>0</v>
      </c>
      <c r="Y452" s="576">
        <f t="shared" si="69"/>
        <v>0</v>
      </c>
      <c r="Z452" s="35" t="str">
        <f>IFERROR(IF(Y452=0,"",ROUNDUP(Y452/H452,0)*0.00937),"")</f>
        <v/>
      </c>
      <c r="AA452" s="55"/>
      <c r="AB452" s="56"/>
      <c r="AC452" s="505" t="s">
        <v>687</v>
      </c>
      <c r="AG452" s="63"/>
      <c r="AJ452" s="66"/>
      <c r="AK452" s="66">
        <v>0</v>
      </c>
      <c r="BB452" s="506" t="s">
        <v>1</v>
      </c>
      <c r="BM452" s="63">
        <f t="shared" si="71"/>
        <v>0</v>
      </c>
      <c r="BN452" s="63">
        <f t="shared" si="72"/>
        <v>0</v>
      </c>
      <c r="BO452" s="63">
        <f t="shared" si="73"/>
        <v>0</v>
      </c>
      <c r="BP452" s="63">
        <f t="shared" si="74"/>
        <v>0</v>
      </c>
    </row>
    <row r="453" spans="1:68" x14ac:dyDescent="0.2">
      <c r="A453" s="592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3"/>
      <c r="P453" s="584" t="s">
        <v>73</v>
      </c>
      <c r="Q453" s="585"/>
      <c r="R453" s="585"/>
      <c r="S453" s="585"/>
      <c r="T453" s="585"/>
      <c r="U453" s="585"/>
      <c r="V453" s="586"/>
      <c r="W453" s="36" t="s">
        <v>74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0.83333333333333337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6.5100000000000002E-3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3"/>
      <c r="P454" s="584" t="s">
        <v>73</v>
      </c>
      <c r="Q454" s="585"/>
      <c r="R454" s="585"/>
      <c r="S454" s="585"/>
      <c r="T454" s="585"/>
      <c r="U454" s="585"/>
      <c r="V454" s="586"/>
      <c r="W454" s="36" t="s">
        <v>71</v>
      </c>
      <c r="X454" s="577">
        <f>IFERROR(SUM(X440:X452),"0")</f>
        <v>2</v>
      </c>
      <c r="Y454" s="577">
        <f>IFERROR(SUM(Y440:Y452),"0")</f>
        <v>2.4</v>
      </c>
      <c r="Z454" s="36"/>
      <c r="AA454" s="578"/>
      <c r="AB454" s="578"/>
      <c r="AC454" s="578"/>
    </row>
    <row r="455" spans="1:68" ht="14.25" hidden="1" customHeight="1" x14ac:dyDescent="0.25">
      <c r="A455" s="587" t="s">
        <v>140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65"/>
      <c r="AB455" s="565"/>
      <c r="AC455" s="565"/>
    </row>
    <row r="456" spans="1:68" ht="16.5" hidden="1" customHeight="1" x14ac:dyDescent="0.25">
      <c r="A456" s="53" t="s">
        <v>703</v>
      </c>
      <c r="B456" s="53" t="s">
        <v>704</v>
      </c>
      <c r="C456" s="30">
        <v>4301020334</v>
      </c>
      <c r="D456" s="594">
        <v>4607091388930</v>
      </c>
      <c r="E456" s="595"/>
      <c r="F456" s="574">
        <v>0.88</v>
      </c>
      <c r="G456" s="31">
        <v>6</v>
      </c>
      <c r="H456" s="574">
        <v>5.28</v>
      </c>
      <c r="I456" s="574">
        <v>5.64</v>
      </c>
      <c r="J456" s="31">
        <v>104</v>
      </c>
      <c r="K456" s="31" t="s">
        <v>107</v>
      </c>
      <c r="L456" s="31"/>
      <c r="M456" s="32" t="s">
        <v>79</v>
      </c>
      <c r="N456" s="32"/>
      <c r="O456" s="31">
        <v>70</v>
      </c>
      <c r="P456" s="7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3"/>
      <c r="V456" s="33"/>
      <c r="W456" s="34" t="s">
        <v>71</v>
      </c>
      <c r="X456" s="575">
        <v>0</v>
      </c>
      <c r="Y456" s="576">
        <f>IFERROR(IF(X456="",0,CEILING((X456/$H456),1)*$H456),"")</f>
        <v>0</v>
      </c>
      <c r="Z456" s="35" t="str">
        <f>IFERROR(IF(Y456=0,"",ROUNDUP(Y456/H456,0)*0.01196),"")</f>
        <v/>
      </c>
      <c r="AA456" s="55"/>
      <c r="AB456" s="56"/>
      <c r="AC456" s="507" t="s">
        <v>705</v>
      </c>
      <c r="AG456" s="63"/>
      <c r="AJ456" s="66"/>
      <c r="AK456" s="66">
        <v>0</v>
      </c>
      <c r="BB456" s="508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16.5" hidden="1" customHeight="1" x14ac:dyDescent="0.25">
      <c r="A457" s="53" t="s">
        <v>706</v>
      </c>
      <c r="B457" s="53" t="s">
        <v>707</v>
      </c>
      <c r="C457" s="30">
        <v>4301020384</v>
      </c>
      <c r="D457" s="594">
        <v>4680115886407</v>
      </c>
      <c r="E457" s="595"/>
      <c r="F457" s="574">
        <v>0.4</v>
      </c>
      <c r="G457" s="31">
        <v>6</v>
      </c>
      <c r="H457" s="574">
        <v>2.4</v>
      </c>
      <c r="I457" s="574">
        <v>2.58</v>
      </c>
      <c r="J457" s="31">
        <v>182</v>
      </c>
      <c r="K457" s="31" t="s">
        <v>78</v>
      </c>
      <c r="L457" s="31"/>
      <c r="M457" s="32" t="s">
        <v>79</v>
      </c>
      <c r="N457" s="32"/>
      <c r="O457" s="31">
        <v>70</v>
      </c>
      <c r="P457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3"/>
      <c r="V457" s="33"/>
      <c r="W457" s="34" t="s">
        <v>71</v>
      </c>
      <c r="X457" s="575">
        <v>0</v>
      </c>
      <c r="Y457" s="576">
        <f>IFERROR(IF(X457="",0,CEILING((X457/$H457),1)*$H457),"")</f>
        <v>0</v>
      </c>
      <c r="Z457" s="35" t="str">
        <f>IFERROR(IF(Y457=0,"",ROUNDUP(Y457/H457,0)*0.00651),"")</f>
        <v/>
      </c>
      <c r="AA457" s="55"/>
      <c r="AB457" s="56"/>
      <c r="AC457" s="509" t="s">
        <v>705</v>
      </c>
      <c r="AG457" s="63"/>
      <c r="AJ457" s="66"/>
      <c r="AK457" s="66">
        <v>0</v>
      </c>
      <c r="BB457" s="510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16.5" hidden="1" customHeight="1" x14ac:dyDescent="0.25">
      <c r="A458" s="53" t="s">
        <v>708</v>
      </c>
      <c r="B458" s="53" t="s">
        <v>709</v>
      </c>
      <c r="C458" s="30">
        <v>4301020385</v>
      </c>
      <c r="D458" s="594">
        <v>4680115880054</v>
      </c>
      <c r="E458" s="595"/>
      <c r="F458" s="574">
        <v>0.6</v>
      </c>
      <c r="G458" s="31">
        <v>8</v>
      </c>
      <c r="H458" s="574">
        <v>4.8</v>
      </c>
      <c r="I458" s="574">
        <v>6.93</v>
      </c>
      <c r="J458" s="31">
        <v>132</v>
      </c>
      <c r="K458" s="31" t="s">
        <v>112</v>
      </c>
      <c r="L458" s="31"/>
      <c r="M458" s="32" t="s">
        <v>108</v>
      </c>
      <c r="N458" s="32"/>
      <c r="O458" s="31">
        <v>70</v>
      </c>
      <c r="P458" s="73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3"/>
      <c r="V458" s="33"/>
      <c r="W458" s="34" t="s">
        <v>71</v>
      </c>
      <c r="X458" s="575">
        <v>0</v>
      </c>
      <c r="Y458" s="576">
        <f>IFERROR(IF(X458="",0,CEILING((X458/$H458),1)*$H458),"")</f>
        <v>0</v>
      </c>
      <c r="Z458" s="35" t="str">
        <f>IFERROR(IF(Y458=0,"",ROUNDUP(Y458/H458,0)*0.00902),"")</f>
        <v/>
      </c>
      <c r="AA458" s="55"/>
      <c r="AB458" s="56"/>
      <c r="AC458" s="511" t="s">
        <v>705</v>
      </c>
      <c r="AG458" s="63"/>
      <c r="AJ458" s="66"/>
      <c r="AK458" s="66">
        <v>0</v>
      </c>
      <c r="BB458" s="512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592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3"/>
      <c r="P459" s="584" t="s">
        <v>73</v>
      </c>
      <c r="Q459" s="585"/>
      <c r="R459" s="585"/>
      <c r="S459" s="585"/>
      <c r="T459" s="585"/>
      <c r="U459" s="585"/>
      <c r="V459" s="586"/>
      <c r="W459" s="36" t="s">
        <v>74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3"/>
      <c r="P460" s="584" t="s">
        <v>73</v>
      </c>
      <c r="Q460" s="585"/>
      <c r="R460" s="585"/>
      <c r="S460" s="585"/>
      <c r="T460" s="585"/>
      <c r="U460" s="585"/>
      <c r="V460" s="586"/>
      <c r="W460" s="36" t="s">
        <v>71</v>
      </c>
      <c r="X460" s="577">
        <f>IFERROR(SUM(X456:X458),"0")</f>
        <v>0</v>
      </c>
      <c r="Y460" s="577">
        <f>IFERROR(SUM(Y456:Y458),"0")</f>
        <v>0</v>
      </c>
      <c r="Z460" s="36"/>
      <c r="AA460" s="578"/>
      <c r="AB460" s="578"/>
      <c r="AC460" s="578"/>
    </row>
    <row r="461" spans="1:68" ht="14.25" hidden="1" customHeight="1" x14ac:dyDescent="0.25">
      <c r="A461" s="587" t="s">
        <v>65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65"/>
      <c r="AB461" s="565"/>
      <c r="AC461" s="565"/>
    </row>
    <row r="462" spans="1:68" ht="27" hidden="1" customHeight="1" x14ac:dyDescent="0.25">
      <c r="A462" s="53" t="s">
        <v>710</v>
      </c>
      <c r="B462" s="53" t="s">
        <v>711</v>
      </c>
      <c r="C462" s="30">
        <v>4301031349</v>
      </c>
      <c r="D462" s="594">
        <v>4680115883116</v>
      </c>
      <c r="E462" s="595"/>
      <c r="F462" s="574">
        <v>0.88</v>
      </c>
      <c r="G462" s="31">
        <v>6</v>
      </c>
      <c r="H462" s="574">
        <v>5.28</v>
      </c>
      <c r="I462" s="574">
        <v>5.64</v>
      </c>
      <c r="J462" s="31">
        <v>104</v>
      </c>
      <c r="K462" s="31" t="s">
        <v>107</v>
      </c>
      <c r="L462" s="31"/>
      <c r="M462" s="32" t="s">
        <v>108</v>
      </c>
      <c r="N462" s="32"/>
      <c r="O462" s="31">
        <v>70</v>
      </c>
      <c r="P462" s="8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3"/>
      <c r="V462" s="33"/>
      <c r="W462" s="34" t="s">
        <v>71</v>
      </c>
      <c r="X462" s="575">
        <v>0</v>
      </c>
      <c r="Y462" s="576">
        <f t="shared" ref="Y462:Y468" si="75">IFERROR(IF(X462="",0,CEILING((X462/$H462),1)*$H462),"")</f>
        <v>0</v>
      </c>
      <c r="Z462" s="35" t="str">
        <f>IFERROR(IF(Y462=0,"",ROUNDUP(Y462/H462,0)*0.01196),"")</f>
        <v/>
      </c>
      <c r="AA462" s="55"/>
      <c r="AB462" s="56"/>
      <c r="AC462" s="513" t="s">
        <v>712</v>
      </c>
      <c r="AG462" s="63"/>
      <c r="AJ462" s="66"/>
      <c r="AK462" s="66">
        <v>0</v>
      </c>
      <c r="BB462" s="514" t="s">
        <v>1</v>
      </c>
      <c r="BM462" s="63">
        <f t="shared" ref="BM462:BM468" si="76">IFERROR(X462*I462/H462,"0")</f>
        <v>0</v>
      </c>
      <c r="BN462" s="63">
        <f t="shared" ref="BN462:BN468" si="77">IFERROR(Y462*I462/H462,"0")</f>
        <v>0</v>
      </c>
      <c r="BO462" s="63">
        <f t="shared" ref="BO462:BO468" si="78">IFERROR(1/J462*(X462/H462),"0")</f>
        <v>0</v>
      </c>
      <c r="BP462" s="63">
        <f t="shared" ref="BP462:BP468" si="79">IFERROR(1/J462*(Y462/H462),"0")</f>
        <v>0</v>
      </c>
    </row>
    <row r="463" spans="1:68" ht="27" hidden="1" customHeight="1" x14ac:dyDescent="0.25">
      <c r="A463" s="53" t="s">
        <v>713</v>
      </c>
      <c r="B463" s="53" t="s">
        <v>714</v>
      </c>
      <c r="C463" s="30">
        <v>4301031350</v>
      </c>
      <c r="D463" s="594">
        <v>4680115883093</v>
      </c>
      <c r="E463" s="595"/>
      <c r="F463" s="574">
        <v>0.88</v>
      </c>
      <c r="G463" s="31">
        <v>6</v>
      </c>
      <c r="H463" s="574">
        <v>5.28</v>
      </c>
      <c r="I463" s="574">
        <v>5.64</v>
      </c>
      <c r="J463" s="31">
        <v>104</v>
      </c>
      <c r="K463" s="31" t="s">
        <v>107</v>
      </c>
      <c r="L463" s="31"/>
      <c r="M463" s="32" t="s">
        <v>69</v>
      </c>
      <c r="N463" s="32"/>
      <c r="O463" s="31">
        <v>70</v>
      </c>
      <c r="P463" s="80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3"/>
      <c r="V463" s="33"/>
      <c r="W463" s="34" t="s">
        <v>71</v>
      </c>
      <c r="X463" s="575">
        <v>0</v>
      </c>
      <c r="Y463" s="576">
        <f t="shared" si="75"/>
        <v>0</v>
      </c>
      <c r="Z463" s="35" t="str">
        <f>IFERROR(IF(Y463=0,"",ROUNDUP(Y463/H463,0)*0.01196),"")</f>
        <v/>
      </c>
      <c r="AA463" s="55"/>
      <c r="AB463" s="56"/>
      <c r="AC463" s="515" t="s">
        <v>715</v>
      </c>
      <c r="AG463" s="63"/>
      <c r="AJ463" s="66"/>
      <c r="AK463" s="66">
        <v>0</v>
      </c>
      <c r="BB463" s="516" t="s">
        <v>1</v>
      </c>
      <c r="BM463" s="63">
        <f t="shared" si="76"/>
        <v>0</v>
      </c>
      <c r="BN463" s="63">
        <f t="shared" si="77"/>
        <v>0</v>
      </c>
      <c r="BO463" s="63">
        <f t="shared" si="78"/>
        <v>0</v>
      </c>
      <c r="BP463" s="63">
        <f t="shared" si="79"/>
        <v>0</v>
      </c>
    </row>
    <row r="464" spans="1:68" ht="27" hidden="1" customHeight="1" x14ac:dyDescent="0.25">
      <c r="A464" s="53" t="s">
        <v>716</v>
      </c>
      <c r="B464" s="53" t="s">
        <v>717</v>
      </c>
      <c r="C464" s="30">
        <v>4301031353</v>
      </c>
      <c r="D464" s="594">
        <v>4680115883109</v>
      </c>
      <c r="E464" s="595"/>
      <c r="F464" s="574">
        <v>0.88</v>
      </c>
      <c r="G464" s="31">
        <v>6</v>
      </c>
      <c r="H464" s="574">
        <v>5.28</v>
      </c>
      <c r="I464" s="574">
        <v>5.64</v>
      </c>
      <c r="J464" s="31">
        <v>104</v>
      </c>
      <c r="K464" s="31" t="s">
        <v>107</v>
      </c>
      <c r="L464" s="31"/>
      <c r="M464" s="32" t="s">
        <v>69</v>
      </c>
      <c r="N464" s="32"/>
      <c r="O464" s="31">
        <v>70</v>
      </c>
      <c r="P464" s="6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3"/>
      <c r="V464" s="33"/>
      <c r="W464" s="34" t="s">
        <v>71</v>
      </c>
      <c r="X464" s="575">
        <v>0</v>
      </c>
      <c r="Y464" s="576">
        <f t="shared" si="75"/>
        <v>0</v>
      </c>
      <c r="Z464" s="35" t="str">
        <f>IFERROR(IF(Y464=0,"",ROUNDUP(Y464/H464,0)*0.01196),"")</f>
        <v/>
      </c>
      <c r="AA464" s="55"/>
      <c r="AB464" s="56"/>
      <c r="AC464" s="517" t="s">
        <v>718</v>
      </c>
      <c r="AG464" s="63"/>
      <c r="AJ464" s="66"/>
      <c r="AK464" s="66">
        <v>0</v>
      </c>
      <c r="BB464" s="518" t="s">
        <v>1</v>
      </c>
      <c r="BM464" s="63">
        <f t="shared" si="76"/>
        <v>0</v>
      </c>
      <c r="BN464" s="63">
        <f t="shared" si="77"/>
        <v>0</v>
      </c>
      <c r="BO464" s="63">
        <f t="shared" si="78"/>
        <v>0</v>
      </c>
      <c r="BP464" s="63">
        <f t="shared" si="79"/>
        <v>0</v>
      </c>
    </row>
    <row r="465" spans="1:68" ht="27" hidden="1" customHeight="1" x14ac:dyDescent="0.25">
      <c r="A465" s="53" t="s">
        <v>719</v>
      </c>
      <c r="B465" s="53" t="s">
        <v>720</v>
      </c>
      <c r="C465" s="30">
        <v>4301031351</v>
      </c>
      <c r="D465" s="594">
        <v>4680115882072</v>
      </c>
      <c r="E465" s="595"/>
      <c r="F465" s="574">
        <v>0.6</v>
      </c>
      <c r="G465" s="31">
        <v>6</v>
      </c>
      <c r="H465" s="574">
        <v>3.6</v>
      </c>
      <c r="I465" s="574">
        <v>3.81</v>
      </c>
      <c r="J465" s="31">
        <v>132</v>
      </c>
      <c r="K465" s="31" t="s">
        <v>112</v>
      </c>
      <c r="L465" s="31"/>
      <c r="M465" s="32" t="s">
        <v>108</v>
      </c>
      <c r="N465" s="32"/>
      <c r="O465" s="31">
        <v>70</v>
      </c>
      <c r="P465" s="80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3"/>
      <c r="V465" s="33"/>
      <c r="W465" s="34" t="s">
        <v>71</v>
      </c>
      <c r="X465" s="575">
        <v>0</v>
      </c>
      <c r="Y465" s="576">
        <f t="shared" si="75"/>
        <v>0</v>
      </c>
      <c r="Z465" s="35" t="str">
        <f>IFERROR(IF(Y465=0,"",ROUNDUP(Y465/H465,0)*0.00902),"")</f>
        <v/>
      </c>
      <c r="AA465" s="55"/>
      <c r="AB465" s="56"/>
      <c r="AC465" s="519" t="s">
        <v>712</v>
      </c>
      <c r="AG465" s="63"/>
      <c r="AJ465" s="66"/>
      <c r="AK465" s="66">
        <v>0</v>
      </c>
      <c r="BB465" s="520" t="s">
        <v>1</v>
      </c>
      <c r="BM465" s="63">
        <f t="shared" si="76"/>
        <v>0</v>
      </c>
      <c r="BN465" s="63">
        <f t="shared" si="77"/>
        <v>0</v>
      </c>
      <c r="BO465" s="63">
        <f t="shared" si="78"/>
        <v>0</v>
      </c>
      <c r="BP465" s="63">
        <f t="shared" si="79"/>
        <v>0</v>
      </c>
    </row>
    <row r="466" spans="1:68" ht="27" hidden="1" customHeight="1" x14ac:dyDescent="0.25">
      <c r="A466" s="53" t="s">
        <v>719</v>
      </c>
      <c r="B466" s="53" t="s">
        <v>721</v>
      </c>
      <c r="C466" s="30">
        <v>4301031419</v>
      </c>
      <c r="D466" s="594">
        <v>4680115882072</v>
      </c>
      <c r="E466" s="595"/>
      <c r="F466" s="574">
        <v>0.6</v>
      </c>
      <c r="G466" s="31">
        <v>8</v>
      </c>
      <c r="H466" s="574">
        <v>4.8</v>
      </c>
      <c r="I466" s="574">
        <v>6.93</v>
      </c>
      <c r="J466" s="31">
        <v>132</v>
      </c>
      <c r="K466" s="31" t="s">
        <v>112</v>
      </c>
      <c r="L466" s="31"/>
      <c r="M466" s="32" t="s">
        <v>108</v>
      </c>
      <c r="N466" s="32"/>
      <c r="O466" s="31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3"/>
      <c r="V466" s="33"/>
      <c r="W466" s="34" t="s">
        <v>71</v>
      </c>
      <c r="X466" s="575">
        <v>0</v>
      </c>
      <c r="Y466" s="576">
        <f t="shared" si="75"/>
        <v>0</v>
      </c>
      <c r="Z466" s="35" t="str">
        <f>IFERROR(IF(Y466=0,"",ROUNDUP(Y466/H466,0)*0.00902),"")</f>
        <v/>
      </c>
      <c r="AA466" s="55"/>
      <c r="AB466" s="56"/>
      <c r="AC466" s="521" t="s">
        <v>712</v>
      </c>
      <c r="AG466" s="63"/>
      <c r="AJ466" s="66"/>
      <c r="AK466" s="66">
        <v>0</v>
      </c>
      <c r="BB466" s="522" t="s">
        <v>1</v>
      </c>
      <c r="BM466" s="63">
        <f t="shared" si="76"/>
        <v>0</v>
      </c>
      <c r="BN466" s="63">
        <f t="shared" si="77"/>
        <v>0</v>
      </c>
      <c r="BO466" s="63">
        <f t="shared" si="78"/>
        <v>0</v>
      </c>
      <c r="BP466" s="63">
        <f t="shared" si="79"/>
        <v>0</v>
      </c>
    </row>
    <row r="467" spans="1:68" ht="27" customHeight="1" x14ac:dyDescent="0.25">
      <c r="A467" s="53" t="s">
        <v>722</v>
      </c>
      <c r="B467" s="53" t="s">
        <v>723</v>
      </c>
      <c r="C467" s="30">
        <v>4301031418</v>
      </c>
      <c r="D467" s="594">
        <v>4680115882102</v>
      </c>
      <c r="E467" s="595"/>
      <c r="F467" s="574">
        <v>0.6</v>
      </c>
      <c r="G467" s="31">
        <v>8</v>
      </c>
      <c r="H467" s="574">
        <v>4.8</v>
      </c>
      <c r="I467" s="574">
        <v>6.69</v>
      </c>
      <c r="J467" s="31">
        <v>132</v>
      </c>
      <c r="K467" s="31" t="s">
        <v>112</v>
      </c>
      <c r="L467" s="31"/>
      <c r="M467" s="32" t="s">
        <v>69</v>
      </c>
      <c r="N467" s="32"/>
      <c r="O467" s="31">
        <v>70</v>
      </c>
      <c r="P467" s="7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3"/>
      <c r="V467" s="33"/>
      <c r="W467" s="34" t="s">
        <v>71</v>
      </c>
      <c r="X467" s="575">
        <v>10</v>
      </c>
      <c r="Y467" s="576">
        <f t="shared" si="75"/>
        <v>14.399999999999999</v>
      </c>
      <c r="Z467" s="35">
        <f>IFERROR(IF(Y467=0,"",ROUNDUP(Y467/H467,0)*0.00902),"")</f>
        <v>2.7060000000000001E-2</v>
      </c>
      <c r="AA467" s="55"/>
      <c r="AB467" s="56"/>
      <c r="AC467" s="523" t="s">
        <v>715</v>
      </c>
      <c r="AG467" s="63"/>
      <c r="AJ467" s="66"/>
      <c r="AK467" s="66">
        <v>0</v>
      </c>
      <c r="BB467" s="524" t="s">
        <v>1</v>
      </c>
      <c r="BM467" s="63">
        <f t="shared" si="76"/>
        <v>13.937500000000002</v>
      </c>
      <c r="BN467" s="63">
        <f t="shared" si="77"/>
        <v>20.07</v>
      </c>
      <c r="BO467" s="63">
        <f t="shared" si="78"/>
        <v>1.5782828282828284E-2</v>
      </c>
      <c r="BP467" s="63">
        <f t="shared" si="79"/>
        <v>2.2727272727272728E-2</v>
      </c>
    </row>
    <row r="468" spans="1:68" ht="27" hidden="1" customHeight="1" x14ac:dyDescent="0.25">
      <c r="A468" s="53" t="s">
        <v>724</v>
      </c>
      <c r="B468" s="53" t="s">
        <v>725</v>
      </c>
      <c r="C468" s="30">
        <v>4301031417</v>
      </c>
      <c r="D468" s="594">
        <v>4680115882096</v>
      </c>
      <c r="E468" s="595"/>
      <c r="F468" s="574">
        <v>0.6</v>
      </c>
      <c r="G468" s="31">
        <v>8</v>
      </c>
      <c r="H468" s="574">
        <v>4.8</v>
      </c>
      <c r="I468" s="574">
        <v>6.69</v>
      </c>
      <c r="J468" s="31">
        <v>132</v>
      </c>
      <c r="K468" s="31" t="s">
        <v>112</v>
      </c>
      <c r="L468" s="31"/>
      <c r="M468" s="32" t="s">
        <v>69</v>
      </c>
      <c r="N468" s="32"/>
      <c r="O468" s="31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3"/>
      <c r="V468" s="33"/>
      <c r="W468" s="34" t="s">
        <v>71</v>
      </c>
      <c r="X468" s="575">
        <v>0</v>
      </c>
      <c r="Y468" s="576">
        <f t="shared" si="75"/>
        <v>0</v>
      </c>
      <c r="Z468" s="35" t="str">
        <f>IFERROR(IF(Y468=0,"",ROUNDUP(Y468/H468,0)*0.00902),"")</f>
        <v/>
      </c>
      <c r="AA468" s="55"/>
      <c r="AB468" s="56"/>
      <c r="AC468" s="525" t="s">
        <v>718</v>
      </c>
      <c r="AG468" s="63"/>
      <c r="AJ468" s="66"/>
      <c r="AK468" s="66">
        <v>0</v>
      </c>
      <c r="BB468" s="526" t="s">
        <v>1</v>
      </c>
      <c r="BM468" s="63">
        <f t="shared" si="76"/>
        <v>0</v>
      </c>
      <c r="BN468" s="63">
        <f t="shared" si="77"/>
        <v>0</v>
      </c>
      <c r="BO468" s="63">
        <f t="shared" si="78"/>
        <v>0</v>
      </c>
      <c r="BP468" s="63">
        <f t="shared" si="79"/>
        <v>0</v>
      </c>
    </row>
    <row r="469" spans="1:68" x14ac:dyDescent="0.2">
      <c r="A469" s="592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3"/>
      <c r="P469" s="584" t="s">
        <v>73</v>
      </c>
      <c r="Q469" s="585"/>
      <c r="R469" s="585"/>
      <c r="S469" s="585"/>
      <c r="T469" s="585"/>
      <c r="U469" s="585"/>
      <c r="V469" s="586"/>
      <c r="W469" s="36" t="s">
        <v>74</v>
      </c>
      <c r="X469" s="577">
        <f>IFERROR(X462/H462,"0")+IFERROR(X463/H463,"0")+IFERROR(X464/H464,"0")+IFERROR(X465/H465,"0")+IFERROR(X466/H466,"0")+IFERROR(X467/H467,"0")+IFERROR(X468/H468,"0")</f>
        <v>2.0833333333333335</v>
      </c>
      <c r="Y469" s="577">
        <f>IFERROR(Y462/H462,"0")+IFERROR(Y463/H463,"0")+IFERROR(Y464/H464,"0")+IFERROR(Y465/H465,"0")+IFERROR(Y466/H466,"0")+IFERROR(Y467/H467,"0")+IFERROR(Y468/H468,"0")</f>
        <v>3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2.7060000000000001E-2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3"/>
      <c r="P470" s="584" t="s">
        <v>73</v>
      </c>
      <c r="Q470" s="585"/>
      <c r="R470" s="585"/>
      <c r="S470" s="585"/>
      <c r="T470" s="585"/>
      <c r="U470" s="585"/>
      <c r="V470" s="586"/>
      <c r="W470" s="36" t="s">
        <v>71</v>
      </c>
      <c r="X470" s="577">
        <f>IFERROR(SUM(X462:X468),"0")</f>
        <v>10</v>
      </c>
      <c r="Y470" s="577">
        <f>IFERROR(SUM(Y462:Y468),"0")</f>
        <v>14.399999999999999</v>
      </c>
      <c r="Z470" s="36"/>
      <c r="AA470" s="578"/>
      <c r="AB470" s="578"/>
      <c r="AC470" s="578"/>
    </row>
    <row r="471" spans="1:68" ht="14.25" hidden="1" customHeight="1" x14ac:dyDescent="0.25">
      <c r="A471" s="587" t="s">
        <v>75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65"/>
      <c r="AB471" s="565"/>
      <c r="AC471" s="565"/>
    </row>
    <row r="472" spans="1:68" ht="16.5" hidden="1" customHeight="1" x14ac:dyDescent="0.25">
      <c r="A472" s="53" t="s">
        <v>726</v>
      </c>
      <c r="B472" s="53" t="s">
        <v>727</v>
      </c>
      <c r="C472" s="30">
        <v>4301051232</v>
      </c>
      <c r="D472" s="594">
        <v>4607091383409</v>
      </c>
      <c r="E472" s="595"/>
      <c r="F472" s="574">
        <v>1.3</v>
      </c>
      <c r="G472" s="31">
        <v>6</v>
      </c>
      <c r="H472" s="574">
        <v>7.8</v>
      </c>
      <c r="I472" s="574">
        <v>8.3010000000000002</v>
      </c>
      <c r="J472" s="31">
        <v>64</v>
      </c>
      <c r="K472" s="31" t="s">
        <v>107</v>
      </c>
      <c r="L472" s="31"/>
      <c r="M472" s="32" t="s">
        <v>79</v>
      </c>
      <c r="N472" s="32"/>
      <c r="O472" s="31">
        <v>45</v>
      </c>
      <c r="P472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3"/>
      <c r="V472" s="33"/>
      <c r="W472" s="34" t="s">
        <v>71</v>
      </c>
      <c r="X472" s="575">
        <v>0</v>
      </c>
      <c r="Y472" s="576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27" t="s">
        <v>728</v>
      </c>
      <c r="AG472" s="63"/>
      <c r="AJ472" s="66"/>
      <c r="AK472" s="66">
        <v>0</v>
      </c>
      <c r="BB472" s="528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16.5" hidden="1" customHeight="1" x14ac:dyDescent="0.25">
      <c r="A473" s="53" t="s">
        <v>729</v>
      </c>
      <c r="B473" s="53" t="s">
        <v>730</v>
      </c>
      <c r="C473" s="30">
        <v>4301051233</v>
      </c>
      <c r="D473" s="594">
        <v>4607091383416</v>
      </c>
      <c r="E473" s="595"/>
      <c r="F473" s="574">
        <v>1.3</v>
      </c>
      <c r="G473" s="31">
        <v>6</v>
      </c>
      <c r="H473" s="574">
        <v>7.8</v>
      </c>
      <c r="I473" s="574">
        <v>8.3010000000000002</v>
      </c>
      <c r="J473" s="31">
        <v>64</v>
      </c>
      <c r="K473" s="31" t="s">
        <v>107</v>
      </c>
      <c r="L473" s="31"/>
      <c r="M473" s="32" t="s">
        <v>79</v>
      </c>
      <c r="N473" s="32"/>
      <c r="O473" s="31">
        <v>45</v>
      </c>
      <c r="P473" s="6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3"/>
      <c r="V473" s="33"/>
      <c r="W473" s="34" t="s">
        <v>71</v>
      </c>
      <c r="X473" s="575">
        <v>0</v>
      </c>
      <c r="Y473" s="576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29" t="s">
        <v>731</v>
      </c>
      <c r="AG473" s="63"/>
      <c r="AJ473" s="66"/>
      <c r="AK473" s="66">
        <v>0</v>
      </c>
      <c r="BB473" s="530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t="27" hidden="1" customHeight="1" x14ac:dyDescent="0.25">
      <c r="A474" s="53" t="s">
        <v>732</v>
      </c>
      <c r="B474" s="53" t="s">
        <v>733</v>
      </c>
      <c r="C474" s="30">
        <v>4301051064</v>
      </c>
      <c r="D474" s="594">
        <v>4680115883536</v>
      </c>
      <c r="E474" s="595"/>
      <c r="F474" s="574">
        <v>0.3</v>
      </c>
      <c r="G474" s="31">
        <v>6</v>
      </c>
      <c r="H474" s="574">
        <v>1.8</v>
      </c>
      <c r="I474" s="574">
        <v>2.0459999999999998</v>
      </c>
      <c r="J474" s="31">
        <v>182</v>
      </c>
      <c r="K474" s="31" t="s">
        <v>78</v>
      </c>
      <c r="L474" s="31"/>
      <c r="M474" s="32" t="s">
        <v>79</v>
      </c>
      <c r="N474" s="32"/>
      <c r="O474" s="31">
        <v>45</v>
      </c>
      <c r="P474" s="6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3"/>
      <c r="V474" s="33"/>
      <c r="W474" s="34" t="s">
        <v>71</v>
      </c>
      <c r="X474" s="575">
        <v>0</v>
      </c>
      <c r="Y474" s="576">
        <f>IFERROR(IF(X474="",0,CEILING((X474/$H474),1)*$H474),"")</f>
        <v>0</v>
      </c>
      <c r="Z474" s="35" t="str">
        <f>IFERROR(IF(Y474=0,"",ROUNDUP(Y474/H474,0)*0.00651),"")</f>
        <v/>
      </c>
      <c r="AA474" s="55"/>
      <c r="AB474" s="56"/>
      <c r="AC474" s="531" t="s">
        <v>734</v>
      </c>
      <c r="AG474" s="63"/>
      <c r="AJ474" s="66"/>
      <c r="AK474" s="66">
        <v>0</v>
      </c>
      <c r="BB474" s="532" t="s">
        <v>1</v>
      </c>
      <c r="BM474" s="63">
        <f>IFERROR(X474*I474/H474,"0")</f>
        <v>0</v>
      </c>
      <c r="BN474" s="63">
        <f>IFERROR(Y474*I474/H474,"0")</f>
        <v>0</v>
      </c>
      <c r="BO474" s="63">
        <f>IFERROR(1/J474*(X474/H474),"0")</f>
        <v>0</v>
      </c>
      <c r="BP474" s="63">
        <f>IFERROR(1/J474*(Y474/H474),"0")</f>
        <v>0</v>
      </c>
    </row>
    <row r="475" spans="1:68" hidden="1" x14ac:dyDescent="0.2">
      <c r="A475" s="592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3"/>
      <c r="P475" s="584" t="s">
        <v>73</v>
      </c>
      <c r="Q475" s="585"/>
      <c r="R475" s="585"/>
      <c r="S475" s="585"/>
      <c r="T475" s="585"/>
      <c r="U475" s="585"/>
      <c r="V475" s="586"/>
      <c r="W475" s="36" t="s">
        <v>74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3"/>
      <c r="P476" s="584" t="s">
        <v>73</v>
      </c>
      <c r="Q476" s="585"/>
      <c r="R476" s="585"/>
      <c r="S476" s="585"/>
      <c r="T476" s="585"/>
      <c r="U476" s="585"/>
      <c r="V476" s="586"/>
      <c r="W476" s="36" t="s">
        <v>71</v>
      </c>
      <c r="X476" s="577">
        <f>IFERROR(SUM(X472:X474),"0")</f>
        <v>0</v>
      </c>
      <c r="Y476" s="577">
        <f>IFERROR(SUM(Y472:Y474),"0")</f>
        <v>0</v>
      </c>
      <c r="Z476" s="36"/>
      <c r="AA476" s="578"/>
      <c r="AB476" s="578"/>
      <c r="AC476" s="578"/>
    </row>
    <row r="477" spans="1:68" ht="27.75" hidden="1" customHeight="1" x14ac:dyDescent="0.2">
      <c r="A477" s="601" t="s">
        <v>735</v>
      </c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2"/>
      <c r="P477" s="602"/>
      <c r="Q477" s="602"/>
      <c r="R477" s="602"/>
      <c r="S477" s="602"/>
      <c r="T477" s="602"/>
      <c r="U477" s="602"/>
      <c r="V477" s="602"/>
      <c r="W477" s="602"/>
      <c r="X477" s="602"/>
      <c r="Y477" s="602"/>
      <c r="Z477" s="602"/>
      <c r="AA477" s="47"/>
      <c r="AB477" s="47"/>
      <c r="AC477" s="47"/>
    </row>
    <row r="478" spans="1:68" ht="16.5" hidden="1" customHeight="1" x14ac:dyDescent="0.25">
      <c r="A478" s="648" t="s">
        <v>735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1"/>
      <c r="AB478" s="571"/>
      <c r="AC478" s="571"/>
    </row>
    <row r="479" spans="1:68" ht="14.25" hidden="1" customHeight="1" x14ac:dyDescent="0.25">
      <c r="A479" s="587" t="s">
        <v>104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65"/>
      <c r="AB479" s="565"/>
      <c r="AC479" s="565"/>
    </row>
    <row r="480" spans="1:68" ht="27" hidden="1" customHeight="1" x14ac:dyDescent="0.25">
      <c r="A480" s="53" t="s">
        <v>736</v>
      </c>
      <c r="B480" s="53" t="s">
        <v>737</v>
      </c>
      <c r="C480" s="30">
        <v>4301011763</v>
      </c>
      <c r="D480" s="594">
        <v>4640242181011</v>
      </c>
      <c r="E480" s="595"/>
      <c r="F480" s="574">
        <v>1.35</v>
      </c>
      <c r="G480" s="31">
        <v>8</v>
      </c>
      <c r="H480" s="574">
        <v>10.8</v>
      </c>
      <c r="I480" s="574">
        <v>11.234999999999999</v>
      </c>
      <c r="J480" s="31">
        <v>64</v>
      </c>
      <c r="K480" s="31" t="s">
        <v>107</v>
      </c>
      <c r="L480" s="31"/>
      <c r="M480" s="32" t="s">
        <v>79</v>
      </c>
      <c r="N480" s="32"/>
      <c r="O480" s="31">
        <v>55</v>
      </c>
      <c r="P480" s="719" t="s">
        <v>738</v>
      </c>
      <c r="Q480" s="580"/>
      <c r="R480" s="580"/>
      <c r="S480" s="580"/>
      <c r="T480" s="581"/>
      <c r="U480" s="33"/>
      <c r="V480" s="33"/>
      <c r="W480" s="34" t="s">
        <v>71</v>
      </c>
      <c r="X480" s="575">
        <v>0</v>
      </c>
      <c r="Y480" s="576">
        <f>IFERROR(IF(X480="",0,CEILING((X480/$H480),1)*$H480),"")</f>
        <v>0</v>
      </c>
      <c r="Z480" s="35" t="str">
        <f>IFERROR(IF(Y480=0,"",ROUNDUP(Y480/H480,0)*0.01898),"")</f>
        <v/>
      </c>
      <c r="AA480" s="55"/>
      <c r="AB480" s="56"/>
      <c r="AC480" s="533" t="s">
        <v>739</v>
      </c>
      <c r="AG480" s="63"/>
      <c r="AJ480" s="66"/>
      <c r="AK480" s="66">
        <v>0</v>
      </c>
      <c r="BB480" s="534" t="s">
        <v>1</v>
      </c>
      <c r="BM480" s="63">
        <f>IFERROR(X480*I480/H480,"0")</f>
        <v>0</v>
      </c>
      <c r="BN480" s="63">
        <f>IFERROR(Y480*I480/H480,"0")</f>
        <v>0</v>
      </c>
      <c r="BO480" s="63">
        <f>IFERROR(1/J480*(X480/H480),"0")</f>
        <v>0</v>
      </c>
      <c r="BP480" s="63">
        <f>IFERROR(1/J480*(Y480/H480),"0")</f>
        <v>0</v>
      </c>
    </row>
    <row r="481" spans="1:68" ht="27" hidden="1" customHeight="1" x14ac:dyDescent="0.25">
      <c r="A481" s="53" t="s">
        <v>740</v>
      </c>
      <c r="B481" s="53" t="s">
        <v>741</v>
      </c>
      <c r="C481" s="30">
        <v>4301011585</v>
      </c>
      <c r="D481" s="594">
        <v>4640242180441</v>
      </c>
      <c r="E481" s="595"/>
      <c r="F481" s="574">
        <v>1.5</v>
      </c>
      <c r="G481" s="31">
        <v>8</v>
      </c>
      <c r="H481" s="574">
        <v>12</v>
      </c>
      <c r="I481" s="574">
        <v>12.435</v>
      </c>
      <c r="J481" s="31">
        <v>64</v>
      </c>
      <c r="K481" s="31" t="s">
        <v>107</v>
      </c>
      <c r="L481" s="31"/>
      <c r="M481" s="32" t="s">
        <v>108</v>
      </c>
      <c r="N481" s="32"/>
      <c r="O481" s="31">
        <v>50</v>
      </c>
      <c r="P481" s="582" t="s">
        <v>742</v>
      </c>
      <c r="Q481" s="580"/>
      <c r="R481" s="580"/>
      <c r="S481" s="580"/>
      <c r="T481" s="581"/>
      <c r="U481" s="33"/>
      <c r="V481" s="33"/>
      <c r="W481" s="34" t="s">
        <v>71</v>
      </c>
      <c r="X481" s="575">
        <v>0</v>
      </c>
      <c r="Y481" s="576">
        <f>IFERROR(IF(X481="",0,CEILING((X481/$H481),1)*$H481),"")</f>
        <v>0</v>
      </c>
      <c r="Z481" s="35" t="str">
        <f>IFERROR(IF(Y481=0,"",ROUNDUP(Y481/H481,0)*0.01898),"")</f>
        <v/>
      </c>
      <c r="AA481" s="55"/>
      <c r="AB481" s="56"/>
      <c r="AC481" s="535" t="s">
        <v>743</v>
      </c>
      <c r="AG481" s="63"/>
      <c r="AJ481" s="66"/>
      <c r="AK481" s="66">
        <v>0</v>
      </c>
      <c r="BB481" s="536" t="s">
        <v>1</v>
      </c>
      <c r="BM481" s="63">
        <f>IFERROR(X481*I481/H481,"0")</f>
        <v>0</v>
      </c>
      <c r="BN481" s="63">
        <f>IFERROR(Y481*I481/H481,"0")</f>
        <v>0</v>
      </c>
      <c r="BO481" s="63">
        <f>IFERROR(1/J481*(X481/H481),"0")</f>
        <v>0</v>
      </c>
      <c r="BP481" s="63">
        <f>IFERROR(1/J481*(Y481/H481),"0")</f>
        <v>0</v>
      </c>
    </row>
    <row r="482" spans="1:68" ht="27" hidden="1" customHeight="1" x14ac:dyDescent="0.25">
      <c r="A482" s="53" t="s">
        <v>744</v>
      </c>
      <c r="B482" s="53" t="s">
        <v>745</v>
      </c>
      <c r="C482" s="30">
        <v>4301011584</v>
      </c>
      <c r="D482" s="594">
        <v>4640242180564</v>
      </c>
      <c r="E482" s="595"/>
      <c r="F482" s="574">
        <v>1.5</v>
      </c>
      <c r="G482" s="31">
        <v>8</v>
      </c>
      <c r="H482" s="574">
        <v>12</v>
      </c>
      <c r="I482" s="574">
        <v>12.435</v>
      </c>
      <c r="J482" s="31">
        <v>64</v>
      </c>
      <c r="K482" s="31" t="s">
        <v>107</v>
      </c>
      <c r="L482" s="31"/>
      <c r="M482" s="32" t="s">
        <v>108</v>
      </c>
      <c r="N482" s="32"/>
      <c r="O482" s="31">
        <v>50</v>
      </c>
      <c r="P482" s="644" t="s">
        <v>746</v>
      </c>
      <c r="Q482" s="580"/>
      <c r="R482" s="580"/>
      <c r="S482" s="580"/>
      <c r="T482" s="581"/>
      <c r="U482" s="33"/>
      <c r="V482" s="33"/>
      <c r="W482" s="34" t="s">
        <v>71</v>
      </c>
      <c r="X482" s="575">
        <v>0</v>
      </c>
      <c r="Y482" s="576">
        <f>IFERROR(IF(X482="",0,CEILING((X482/$H482),1)*$H482),"")</f>
        <v>0</v>
      </c>
      <c r="Z482" s="35" t="str">
        <f>IFERROR(IF(Y482=0,"",ROUNDUP(Y482/H482,0)*0.01898),"")</f>
        <v/>
      </c>
      <c r="AA482" s="55"/>
      <c r="AB482" s="56"/>
      <c r="AC482" s="537" t="s">
        <v>747</v>
      </c>
      <c r="AG482" s="63"/>
      <c r="AJ482" s="66"/>
      <c r="AK482" s="66">
        <v>0</v>
      </c>
      <c r="BB482" s="538" t="s">
        <v>1</v>
      </c>
      <c r="BM482" s="63">
        <f>IFERROR(X482*I482/H482,"0")</f>
        <v>0</v>
      </c>
      <c r="BN482" s="63">
        <f>IFERROR(Y482*I482/H482,"0")</f>
        <v>0</v>
      </c>
      <c r="BO482" s="63">
        <f>IFERROR(1/J482*(X482/H482),"0")</f>
        <v>0</v>
      </c>
      <c r="BP482" s="63">
        <f>IFERROR(1/J482*(Y482/H482),"0")</f>
        <v>0</v>
      </c>
    </row>
    <row r="483" spans="1:68" hidden="1" x14ac:dyDescent="0.2">
      <c r="A483" s="592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3"/>
      <c r="P483" s="584" t="s">
        <v>73</v>
      </c>
      <c r="Q483" s="585"/>
      <c r="R483" s="585"/>
      <c r="S483" s="585"/>
      <c r="T483" s="585"/>
      <c r="U483" s="585"/>
      <c r="V483" s="586"/>
      <c r="W483" s="36" t="s">
        <v>74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3"/>
      <c r="P484" s="584" t="s">
        <v>73</v>
      </c>
      <c r="Q484" s="585"/>
      <c r="R484" s="585"/>
      <c r="S484" s="585"/>
      <c r="T484" s="585"/>
      <c r="U484" s="585"/>
      <c r="V484" s="586"/>
      <c r="W484" s="36" t="s">
        <v>71</v>
      </c>
      <c r="X484" s="577">
        <f>IFERROR(SUM(X480:X482),"0")</f>
        <v>0</v>
      </c>
      <c r="Y484" s="577">
        <f>IFERROR(SUM(Y480:Y482),"0")</f>
        <v>0</v>
      </c>
      <c r="Z484" s="36"/>
      <c r="AA484" s="578"/>
      <c r="AB484" s="578"/>
      <c r="AC484" s="578"/>
    </row>
    <row r="485" spans="1:68" ht="14.25" hidden="1" customHeight="1" x14ac:dyDescent="0.25">
      <c r="A485" s="587" t="s">
        <v>140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65"/>
      <c r="AB485" s="565"/>
      <c r="AC485" s="565"/>
    </row>
    <row r="486" spans="1:68" ht="27" hidden="1" customHeight="1" x14ac:dyDescent="0.25">
      <c r="A486" s="53" t="s">
        <v>748</v>
      </c>
      <c r="B486" s="53" t="s">
        <v>749</v>
      </c>
      <c r="C486" s="30">
        <v>4301020269</v>
      </c>
      <c r="D486" s="594">
        <v>4640242180519</v>
      </c>
      <c r="E486" s="595"/>
      <c r="F486" s="574">
        <v>1.35</v>
      </c>
      <c r="G486" s="31">
        <v>8</v>
      </c>
      <c r="H486" s="574">
        <v>10.8</v>
      </c>
      <c r="I486" s="574">
        <v>11.234999999999999</v>
      </c>
      <c r="J486" s="31">
        <v>64</v>
      </c>
      <c r="K486" s="31" t="s">
        <v>107</v>
      </c>
      <c r="L486" s="31"/>
      <c r="M486" s="32" t="s">
        <v>79</v>
      </c>
      <c r="N486" s="32"/>
      <c r="O486" s="31">
        <v>50</v>
      </c>
      <c r="P486" s="867" t="s">
        <v>750</v>
      </c>
      <c r="Q486" s="580"/>
      <c r="R486" s="580"/>
      <c r="S486" s="580"/>
      <c r="T486" s="581"/>
      <c r="U486" s="33"/>
      <c r="V486" s="33"/>
      <c r="W486" s="34" t="s">
        <v>71</v>
      </c>
      <c r="X486" s="575">
        <v>0</v>
      </c>
      <c r="Y486" s="576">
        <f>IFERROR(IF(X486="",0,CEILING((X486/$H486),1)*$H486),"")</f>
        <v>0</v>
      </c>
      <c r="Z486" s="35" t="str">
        <f>IFERROR(IF(Y486=0,"",ROUNDUP(Y486/H486,0)*0.01898),"")</f>
        <v/>
      </c>
      <c r="AA486" s="55"/>
      <c r="AB486" s="56"/>
      <c r="AC486" s="539" t="s">
        <v>751</v>
      </c>
      <c r="AG486" s="63"/>
      <c r="AJ486" s="66"/>
      <c r="AK486" s="66">
        <v>0</v>
      </c>
      <c r="BB486" s="540" t="s">
        <v>1</v>
      </c>
      <c r="BM486" s="63">
        <f>IFERROR(X486*I486/H486,"0")</f>
        <v>0</v>
      </c>
      <c r="BN486" s="63">
        <f>IFERROR(Y486*I486/H486,"0")</f>
        <v>0</v>
      </c>
      <c r="BO486" s="63">
        <f>IFERROR(1/J486*(X486/H486),"0")</f>
        <v>0</v>
      </c>
      <c r="BP486" s="63">
        <f>IFERROR(1/J486*(Y486/H486),"0")</f>
        <v>0</v>
      </c>
    </row>
    <row r="487" spans="1:68" ht="27" hidden="1" customHeight="1" x14ac:dyDescent="0.25">
      <c r="A487" s="53" t="s">
        <v>748</v>
      </c>
      <c r="B487" s="53" t="s">
        <v>752</v>
      </c>
      <c r="C487" s="30">
        <v>4301020400</v>
      </c>
      <c r="D487" s="594">
        <v>4640242180519</v>
      </c>
      <c r="E487" s="595"/>
      <c r="F487" s="574">
        <v>1.5</v>
      </c>
      <c r="G487" s="31">
        <v>8</v>
      </c>
      <c r="H487" s="574">
        <v>12</v>
      </c>
      <c r="I487" s="574">
        <v>12.435</v>
      </c>
      <c r="J487" s="31">
        <v>64</v>
      </c>
      <c r="K487" s="31" t="s">
        <v>107</v>
      </c>
      <c r="L487" s="31"/>
      <c r="M487" s="32" t="s">
        <v>108</v>
      </c>
      <c r="N487" s="32"/>
      <c r="O487" s="31">
        <v>50</v>
      </c>
      <c r="P487" s="805" t="s">
        <v>753</v>
      </c>
      <c r="Q487" s="580"/>
      <c r="R487" s="580"/>
      <c r="S487" s="580"/>
      <c r="T487" s="581"/>
      <c r="U487" s="33"/>
      <c r="V487" s="33"/>
      <c r="W487" s="34" t="s">
        <v>71</v>
      </c>
      <c r="X487" s="575">
        <v>0</v>
      </c>
      <c r="Y487" s="576">
        <f>IFERROR(IF(X487="",0,CEILING((X487/$H487),1)*$H487),"")</f>
        <v>0</v>
      </c>
      <c r="Z487" s="35" t="str">
        <f>IFERROR(IF(Y487=0,"",ROUNDUP(Y487/H487,0)*0.01898),"")</f>
        <v/>
      </c>
      <c r="AA487" s="55"/>
      <c r="AB487" s="56"/>
      <c r="AC487" s="541" t="s">
        <v>754</v>
      </c>
      <c r="AG487" s="63"/>
      <c r="AJ487" s="66"/>
      <c r="AK487" s="66">
        <v>0</v>
      </c>
      <c r="BB487" s="542" t="s">
        <v>1</v>
      </c>
      <c r="BM487" s="63">
        <f>IFERROR(X487*I487/H487,"0")</f>
        <v>0</v>
      </c>
      <c r="BN487" s="63">
        <f>IFERROR(Y487*I487/H487,"0")</f>
        <v>0</v>
      </c>
      <c r="BO487" s="63">
        <f>IFERROR(1/J487*(X487/H487),"0")</f>
        <v>0</v>
      </c>
      <c r="BP487" s="63">
        <f>IFERROR(1/J487*(Y487/H487),"0")</f>
        <v>0</v>
      </c>
    </row>
    <row r="488" spans="1:68" ht="27" hidden="1" customHeight="1" x14ac:dyDescent="0.25">
      <c r="A488" s="53" t="s">
        <v>755</v>
      </c>
      <c r="B488" s="53" t="s">
        <v>756</v>
      </c>
      <c r="C488" s="30">
        <v>4301020260</v>
      </c>
      <c r="D488" s="594">
        <v>4640242180526</v>
      </c>
      <c r="E488" s="595"/>
      <c r="F488" s="574">
        <v>1.8</v>
      </c>
      <c r="G488" s="31">
        <v>6</v>
      </c>
      <c r="H488" s="574">
        <v>10.8</v>
      </c>
      <c r="I488" s="574">
        <v>11.234999999999999</v>
      </c>
      <c r="J488" s="31">
        <v>64</v>
      </c>
      <c r="K488" s="31" t="s">
        <v>107</v>
      </c>
      <c r="L488" s="31"/>
      <c r="M488" s="32" t="s">
        <v>108</v>
      </c>
      <c r="N488" s="32"/>
      <c r="O488" s="31">
        <v>50</v>
      </c>
      <c r="P488" s="806" t="s">
        <v>757</v>
      </c>
      <c r="Q488" s="580"/>
      <c r="R488" s="580"/>
      <c r="S488" s="580"/>
      <c r="T488" s="581"/>
      <c r="U488" s="33"/>
      <c r="V488" s="33"/>
      <c r="W488" s="34" t="s">
        <v>71</v>
      </c>
      <c r="X488" s="575">
        <v>0</v>
      </c>
      <c r="Y488" s="576">
        <f>IFERROR(IF(X488="",0,CEILING((X488/$H488),1)*$H488),"")</f>
        <v>0</v>
      </c>
      <c r="Z488" s="35" t="str">
        <f>IFERROR(IF(Y488=0,"",ROUNDUP(Y488/H488,0)*0.01898),"")</f>
        <v/>
      </c>
      <c r="AA488" s="55"/>
      <c r="AB488" s="56"/>
      <c r="AC488" s="543" t="s">
        <v>751</v>
      </c>
      <c r="AG488" s="63"/>
      <c r="AJ488" s="66"/>
      <c r="AK488" s="66">
        <v>0</v>
      </c>
      <c r="BB488" s="544" t="s">
        <v>1</v>
      </c>
      <c r="BM488" s="63">
        <f>IFERROR(X488*I488/H488,"0")</f>
        <v>0</v>
      </c>
      <c r="BN488" s="63">
        <f>IFERROR(Y488*I488/H488,"0")</f>
        <v>0</v>
      </c>
      <c r="BO488" s="63">
        <f>IFERROR(1/J488*(X488/H488),"0")</f>
        <v>0</v>
      </c>
      <c r="BP488" s="63">
        <f>IFERROR(1/J488*(Y488/H488),"0")</f>
        <v>0</v>
      </c>
    </row>
    <row r="489" spans="1:68" ht="27" hidden="1" customHeight="1" x14ac:dyDescent="0.25">
      <c r="A489" s="53" t="s">
        <v>758</v>
      </c>
      <c r="B489" s="53" t="s">
        <v>759</v>
      </c>
      <c r="C489" s="30">
        <v>4301020295</v>
      </c>
      <c r="D489" s="594">
        <v>4640242181363</v>
      </c>
      <c r="E489" s="595"/>
      <c r="F489" s="574">
        <v>0.4</v>
      </c>
      <c r="G489" s="31">
        <v>10</v>
      </c>
      <c r="H489" s="574">
        <v>4</v>
      </c>
      <c r="I489" s="574">
        <v>4.21</v>
      </c>
      <c r="J489" s="31">
        <v>132</v>
      </c>
      <c r="K489" s="31" t="s">
        <v>112</v>
      </c>
      <c r="L489" s="31"/>
      <c r="M489" s="32" t="s">
        <v>108</v>
      </c>
      <c r="N489" s="32"/>
      <c r="O489" s="31">
        <v>50</v>
      </c>
      <c r="P489" s="725" t="s">
        <v>760</v>
      </c>
      <c r="Q489" s="580"/>
      <c r="R489" s="580"/>
      <c r="S489" s="580"/>
      <c r="T489" s="581"/>
      <c r="U489" s="33"/>
      <c r="V489" s="33"/>
      <c r="W489" s="34" t="s">
        <v>71</v>
      </c>
      <c r="X489" s="575">
        <v>0</v>
      </c>
      <c r="Y489" s="576">
        <f>IFERROR(IF(X489="",0,CEILING((X489/$H489),1)*$H489),"")</f>
        <v>0</v>
      </c>
      <c r="Z489" s="35" t="str">
        <f>IFERROR(IF(Y489=0,"",ROUNDUP(Y489/H489,0)*0.00902),"")</f>
        <v/>
      </c>
      <c r="AA489" s="55"/>
      <c r="AB489" s="56"/>
      <c r="AC489" s="545" t="s">
        <v>761</v>
      </c>
      <c r="AG489" s="63"/>
      <c r="AJ489" s="66"/>
      <c r="AK489" s="66">
        <v>0</v>
      </c>
      <c r="BB489" s="546" t="s">
        <v>1</v>
      </c>
      <c r="BM489" s="63">
        <f>IFERROR(X489*I489/H489,"0")</f>
        <v>0</v>
      </c>
      <c r="BN489" s="63">
        <f>IFERROR(Y489*I489/H489,"0")</f>
        <v>0</v>
      </c>
      <c r="BO489" s="63">
        <f>IFERROR(1/J489*(X489/H489),"0")</f>
        <v>0</v>
      </c>
      <c r="BP489" s="63">
        <f>IFERROR(1/J489*(Y489/H489),"0")</f>
        <v>0</v>
      </c>
    </row>
    <row r="490" spans="1:68" hidden="1" x14ac:dyDescent="0.2">
      <c r="A490" s="592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3"/>
      <c r="P490" s="584" t="s">
        <v>73</v>
      </c>
      <c r="Q490" s="585"/>
      <c r="R490" s="585"/>
      <c r="S490" s="585"/>
      <c r="T490" s="585"/>
      <c r="U490" s="585"/>
      <c r="V490" s="586"/>
      <c r="W490" s="36" t="s">
        <v>74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3"/>
      <c r="P491" s="584" t="s">
        <v>73</v>
      </c>
      <c r="Q491" s="585"/>
      <c r="R491" s="585"/>
      <c r="S491" s="585"/>
      <c r="T491" s="585"/>
      <c r="U491" s="585"/>
      <c r="V491" s="586"/>
      <c r="W491" s="36" t="s">
        <v>71</v>
      </c>
      <c r="X491" s="577">
        <f>IFERROR(SUM(X486:X489),"0")</f>
        <v>0</v>
      </c>
      <c r="Y491" s="577">
        <f>IFERROR(SUM(Y486:Y489),"0")</f>
        <v>0</v>
      </c>
      <c r="Z491" s="36"/>
      <c r="AA491" s="578"/>
      <c r="AB491" s="578"/>
      <c r="AC491" s="578"/>
    </row>
    <row r="492" spans="1:68" ht="14.25" hidden="1" customHeight="1" x14ac:dyDescent="0.25">
      <c r="A492" s="587" t="s">
        <v>65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65"/>
      <c r="AB492" s="565"/>
      <c r="AC492" s="565"/>
    </row>
    <row r="493" spans="1:68" ht="27" hidden="1" customHeight="1" x14ac:dyDescent="0.25">
      <c r="A493" s="53" t="s">
        <v>762</v>
      </c>
      <c r="B493" s="53" t="s">
        <v>763</v>
      </c>
      <c r="C493" s="30">
        <v>4301031280</v>
      </c>
      <c r="D493" s="594">
        <v>4640242180816</v>
      </c>
      <c r="E493" s="595"/>
      <c r="F493" s="574">
        <v>0.7</v>
      </c>
      <c r="G493" s="31">
        <v>6</v>
      </c>
      <c r="H493" s="574">
        <v>4.2</v>
      </c>
      <c r="I493" s="574">
        <v>4.47</v>
      </c>
      <c r="J493" s="31">
        <v>132</v>
      </c>
      <c r="K493" s="31" t="s">
        <v>112</v>
      </c>
      <c r="L493" s="31"/>
      <c r="M493" s="32" t="s">
        <v>69</v>
      </c>
      <c r="N493" s="32"/>
      <c r="O493" s="31">
        <v>40</v>
      </c>
      <c r="P493" s="739" t="s">
        <v>764</v>
      </c>
      <c r="Q493" s="580"/>
      <c r="R493" s="580"/>
      <c r="S493" s="580"/>
      <c r="T493" s="581"/>
      <c r="U493" s="33"/>
      <c r="V493" s="33"/>
      <c r="W493" s="34" t="s">
        <v>71</v>
      </c>
      <c r="X493" s="575">
        <v>0</v>
      </c>
      <c r="Y493" s="576">
        <f>IFERROR(IF(X493="",0,CEILING((X493/$H493),1)*$H493),"")</f>
        <v>0</v>
      </c>
      <c r="Z493" s="35" t="str">
        <f>IFERROR(IF(Y493=0,"",ROUNDUP(Y493/H493,0)*0.00902),"")</f>
        <v/>
      </c>
      <c r="AA493" s="55"/>
      <c r="AB493" s="56"/>
      <c r="AC493" s="547" t="s">
        <v>765</v>
      </c>
      <c r="AG493" s="63"/>
      <c r="AJ493" s="66"/>
      <c r="AK493" s="66">
        <v>0</v>
      </c>
      <c r="BB493" s="548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t="27" hidden="1" customHeight="1" x14ac:dyDescent="0.25">
      <c r="A494" s="53" t="s">
        <v>766</v>
      </c>
      <c r="B494" s="53" t="s">
        <v>767</v>
      </c>
      <c r="C494" s="30">
        <v>4301031244</v>
      </c>
      <c r="D494" s="594">
        <v>4640242180595</v>
      </c>
      <c r="E494" s="595"/>
      <c r="F494" s="574">
        <v>0.7</v>
      </c>
      <c r="G494" s="31">
        <v>6</v>
      </c>
      <c r="H494" s="574">
        <v>4.2</v>
      </c>
      <c r="I494" s="574">
        <v>4.47</v>
      </c>
      <c r="J494" s="31">
        <v>132</v>
      </c>
      <c r="K494" s="31" t="s">
        <v>112</v>
      </c>
      <c r="L494" s="31"/>
      <c r="M494" s="32" t="s">
        <v>69</v>
      </c>
      <c r="N494" s="32"/>
      <c r="O494" s="31">
        <v>40</v>
      </c>
      <c r="P494" s="579" t="s">
        <v>768</v>
      </c>
      <c r="Q494" s="580"/>
      <c r="R494" s="580"/>
      <c r="S494" s="580"/>
      <c r="T494" s="581"/>
      <c r="U494" s="33"/>
      <c r="V494" s="33"/>
      <c r="W494" s="34" t="s">
        <v>71</v>
      </c>
      <c r="X494" s="575">
        <v>0</v>
      </c>
      <c r="Y494" s="576">
        <f>IFERROR(IF(X494="",0,CEILING((X494/$H494),1)*$H494),"")</f>
        <v>0</v>
      </c>
      <c r="Z494" s="35" t="str">
        <f>IFERROR(IF(Y494=0,"",ROUNDUP(Y494/H494,0)*0.00902),"")</f>
        <v/>
      </c>
      <c r="AA494" s="55"/>
      <c r="AB494" s="56"/>
      <c r="AC494" s="549" t="s">
        <v>769</v>
      </c>
      <c r="AG494" s="63"/>
      <c r="AJ494" s="66"/>
      <c r="AK494" s="66">
        <v>0</v>
      </c>
      <c r="BB494" s="550" t="s">
        <v>1</v>
      </c>
      <c r="BM494" s="63">
        <f>IFERROR(X494*I494/H494,"0")</f>
        <v>0</v>
      </c>
      <c r="BN494" s="63">
        <f>IFERROR(Y494*I494/H494,"0")</f>
        <v>0</v>
      </c>
      <c r="BO494" s="63">
        <f>IFERROR(1/J494*(X494/H494),"0")</f>
        <v>0</v>
      </c>
      <c r="BP494" s="63">
        <f>IFERROR(1/J494*(Y494/H494),"0")</f>
        <v>0</v>
      </c>
    </row>
    <row r="495" spans="1:68" hidden="1" x14ac:dyDescent="0.2">
      <c r="A495" s="592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3"/>
      <c r="P495" s="584" t="s">
        <v>73</v>
      </c>
      <c r="Q495" s="585"/>
      <c r="R495" s="585"/>
      <c r="S495" s="585"/>
      <c r="T495" s="585"/>
      <c r="U495" s="585"/>
      <c r="V495" s="586"/>
      <c r="W495" s="36" t="s">
        <v>74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3"/>
      <c r="P496" s="584" t="s">
        <v>73</v>
      </c>
      <c r="Q496" s="585"/>
      <c r="R496" s="585"/>
      <c r="S496" s="585"/>
      <c r="T496" s="585"/>
      <c r="U496" s="585"/>
      <c r="V496" s="586"/>
      <c r="W496" s="36" t="s">
        <v>71</v>
      </c>
      <c r="X496" s="577">
        <f>IFERROR(SUM(X493:X494),"0")</f>
        <v>0</v>
      </c>
      <c r="Y496" s="577">
        <f>IFERROR(SUM(Y493:Y494),"0")</f>
        <v>0</v>
      </c>
      <c r="Z496" s="36"/>
      <c r="AA496" s="578"/>
      <c r="AB496" s="578"/>
      <c r="AC496" s="578"/>
    </row>
    <row r="497" spans="1:68" ht="14.25" hidden="1" customHeight="1" x14ac:dyDescent="0.25">
      <c r="A497" s="587" t="s">
        <v>75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65"/>
      <c r="AB497" s="565"/>
      <c r="AC497" s="565"/>
    </row>
    <row r="498" spans="1:68" ht="27" hidden="1" customHeight="1" x14ac:dyDescent="0.25">
      <c r="A498" s="53" t="s">
        <v>770</v>
      </c>
      <c r="B498" s="53" t="s">
        <v>771</v>
      </c>
      <c r="C498" s="30">
        <v>4301052046</v>
      </c>
      <c r="D498" s="594">
        <v>4640242180533</v>
      </c>
      <c r="E498" s="595"/>
      <c r="F498" s="574">
        <v>1.5</v>
      </c>
      <c r="G498" s="31">
        <v>6</v>
      </c>
      <c r="H498" s="574">
        <v>9</v>
      </c>
      <c r="I498" s="574">
        <v>9.5190000000000001</v>
      </c>
      <c r="J498" s="31">
        <v>64</v>
      </c>
      <c r="K498" s="31" t="s">
        <v>107</v>
      </c>
      <c r="L498" s="31"/>
      <c r="M498" s="32" t="s">
        <v>94</v>
      </c>
      <c r="N498" s="32"/>
      <c r="O498" s="31">
        <v>45</v>
      </c>
      <c r="P498" s="589" t="s">
        <v>772</v>
      </c>
      <c r="Q498" s="580"/>
      <c r="R498" s="580"/>
      <c r="S498" s="580"/>
      <c r="T498" s="581"/>
      <c r="U498" s="33"/>
      <c r="V498" s="33"/>
      <c r="W498" s="34" t="s">
        <v>71</v>
      </c>
      <c r="X498" s="575">
        <v>0</v>
      </c>
      <c r="Y498" s="576">
        <f>IFERROR(IF(X498="",0,CEILING((X498/$H498),1)*$H498),"")</f>
        <v>0</v>
      </c>
      <c r="Z498" s="35" t="str">
        <f>IFERROR(IF(Y498=0,"",ROUNDUP(Y498/H498,0)*0.01898),"")</f>
        <v/>
      </c>
      <c r="AA498" s="55"/>
      <c r="AB498" s="56"/>
      <c r="AC498" s="551" t="s">
        <v>773</v>
      </c>
      <c r="AG498" s="63"/>
      <c r="AJ498" s="66"/>
      <c r="AK498" s="66">
        <v>0</v>
      </c>
      <c r="BB498" s="552" t="s">
        <v>1</v>
      </c>
      <c r="BM498" s="63">
        <f>IFERROR(X498*I498/H498,"0")</f>
        <v>0</v>
      </c>
      <c r="BN498" s="63">
        <f>IFERROR(Y498*I498/H498,"0")</f>
        <v>0</v>
      </c>
      <c r="BO498" s="63">
        <f>IFERROR(1/J498*(X498/H498),"0")</f>
        <v>0</v>
      </c>
      <c r="BP498" s="63">
        <f>IFERROR(1/J498*(Y498/H498),"0")</f>
        <v>0</v>
      </c>
    </row>
    <row r="499" spans="1:68" ht="27" hidden="1" customHeight="1" x14ac:dyDescent="0.25">
      <c r="A499" s="53" t="s">
        <v>770</v>
      </c>
      <c r="B499" s="53" t="s">
        <v>774</v>
      </c>
      <c r="C499" s="30">
        <v>4301051887</v>
      </c>
      <c r="D499" s="594">
        <v>4640242180533</v>
      </c>
      <c r="E499" s="595"/>
      <c r="F499" s="574">
        <v>1.3</v>
      </c>
      <c r="G499" s="31">
        <v>6</v>
      </c>
      <c r="H499" s="574">
        <v>7.8</v>
      </c>
      <c r="I499" s="574">
        <v>8.3190000000000008</v>
      </c>
      <c r="J499" s="31">
        <v>64</v>
      </c>
      <c r="K499" s="31" t="s">
        <v>107</v>
      </c>
      <c r="L499" s="31"/>
      <c r="M499" s="32" t="s">
        <v>79</v>
      </c>
      <c r="N499" s="32"/>
      <c r="O499" s="31">
        <v>45</v>
      </c>
      <c r="P499" s="889" t="s">
        <v>772</v>
      </c>
      <c r="Q499" s="580"/>
      <c r="R499" s="580"/>
      <c r="S499" s="580"/>
      <c r="T499" s="581"/>
      <c r="U499" s="33"/>
      <c r="V499" s="33"/>
      <c r="W499" s="34" t="s">
        <v>71</v>
      </c>
      <c r="X499" s="575">
        <v>0</v>
      </c>
      <c r="Y499" s="576">
        <f>IFERROR(IF(X499="",0,CEILING((X499/$H499),1)*$H499),"")</f>
        <v>0</v>
      </c>
      <c r="Z499" s="35" t="str">
        <f>IFERROR(IF(Y499=0,"",ROUNDUP(Y499/H499,0)*0.01898),"")</f>
        <v/>
      </c>
      <c r="AA499" s="55"/>
      <c r="AB499" s="56"/>
      <c r="AC499" s="553" t="s">
        <v>773</v>
      </c>
      <c r="AG499" s="63"/>
      <c r="AJ499" s="66"/>
      <c r="AK499" s="66">
        <v>0</v>
      </c>
      <c r="BB499" s="554" t="s">
        <v>1</v>
      </c>
      <c r="BM499" s="63">
        <f>IFERROR(X499*I499/H499,"0")</f>
        <v>0</v>
      </c>
      <c r="BN499" s="63">
        <f>IFERROR(Y499*I499/H499,"0")</f>
        <v>0</v>
      </c>
      <c r="BO499" s="63">
        <f>IFERROR(1/J499*(X499/H499),"0")</f>
        <v>0</v>
      </c>
      <c r="BP499" s="63">
        <f>IFERROR(1/J499*(Y499/H499),"0")</f>
        <v>0</v>
      </c>
    </row>
    <row r="500" spans="1:68" hidden="1" x14ac:dyDescent="0.2">
      <c r="A500" s="592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3"/>
      <c r="P500" s="584" t="s">
        <v>73</v>
      </c>
      <c r="Q500" s="585"/>
      <c r="R500" s="585"/>
      <c r="S500" s="585"/>
      <c r="T500" s="585"/>
      <c r="U500" s="585"/>
      <c r="V500" s="586"/>
      <c r="W500" s="36" t="s">
        <v>74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3"/>
      <c r="P501" s="584" t="s">
        <v>73</v>
      </c>
      <c r="Q501" s="585"/>
      <c r="R501" s="585"/>
      <c r="S501" s="585"/>
      <c r="T501" s="585"/>
      <c r="U501" s="585"/>
      <c r="V501" s="586"/>
      <c r="W501" s="36" t="s">
        <v>71</v>
      </c>
      <c r="X501" s="577">
        <f>IFERROR(SUM(X498:X499),"0")</f>
        <v>0</v>
      </c>
      <c r="Y501" s="577">
        <f>IFERROR(SUM(Y498:Y499),"0")</f>
        <v>0</v>
      </c>
      <c r="Z501" s="36"/>
      <c r="AA501" s="578"/>
      <c r="AB501" s="578"/>
      <c r="AC501" s="578"/>
    </row>
    <row r="502" spans="1:68" ht="14.25" hidden="1" customHeight="1" x14ac:dyDescent="0.25">
      <c r="A502" s="587" t="s">
        <v>175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65"/>
      <c r="AB502" s="565"/>
      <c r="AC502" s="565"/>
    </row>
    <row r="503" spans="1:68" ht="27" hidden="1" customHeight="1" x14ac:dyDescent="0.25">
      <c r="A503" s="53" t="s">
        <v>775</v>
      </c>
      <c r="B503" s="53" t="s">
        <v>776</v>
      </c>
      <c r="C503" s="30">
        <v>4301060485</v>
      </c>
      <c r="D503" s="594">
        <v>4640242180120</v>
      </c>
      <c r="E503" s="595"/>
      <c r="F503" s="574">
        <v>1.3</v>
      </c>
      <c r="G503" s="31">
        <v>6</v>
      </c>
      <c r="H503" s="574">
        <v>7.8</v>
      </c>
      <c r="I503" s="574">
        <v>8.2349999999999994</v>
      </c>
      <c r="J503" s="31">
        <v>64</v>
      </c>
      <c r="K503" s="31" t="s">
        <v>107</v>
      </c>
      <c r="L503" s="31"/>
      <c r="M503" s="32" t="s">
        <v>79</v>
      </c>
      <c r="N503" s="32"/>
      <c r="O503" s="31">
        <v>40</v>
      </c>
      <c r="P503" s="797" t="s">
        <v>777</v>
      </c>
      <c r="Q503" s="580"/>
      <c r="R503" s="580"/>
      <c r="S503" s="580"/>
      <c r="T503" s="581"/>
      <c r="U503" s="33"/>
      <c r="V503" s="33"/>
      <c r="W503" s="34" t="s">
        <v>71</v>
      </c>
      <c r="X503" s="575">
        <v>0</v>
      </c>
      <c r="Y503" s="576">
        <f>IFERROR(IF(X503="",0,CEILING((X503/$H503),1)*$H503),"")</f>
        <v>0</v>
      </c>
      <c r="Z503" s="35" t="str">
        <f>IFERROR(IF(Y503=0,"",ROUNDUP(Y503/H503,0)*0.01898),"")</f>
        <v/>
      </c>
      <c r="AA503" s="55"/>
      <c r="AB503" s="56"/>
      <c r="AC503" s="555" t="s">
        <v>778</v>
      </c>
      <c r="AG503" s="63"/>
      <c r="AJ503" s="66"/>
      <c r="AK503" s="66">
        <v>0</v>
      </c>
      <c r="BB503" s="556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775</v>
      </c>
      <c r="B504" s="53" t="s">
        <v>779</v>
      </c>
      <c r="C504" s="30">
        <v>4301060496</v>
      </c>
      <c r="D504" s="594">
        <v>4640242180120</v>
      </c>
      <c r="E504" s="595"/>
      <c r="F504" s="574">
        <v>1.5</v>
      </c>
      <c r="G504" s="31">
        <v>6</v>
      </c>
      <c r="H504" s="574">
        <v>9</v>
      </c>
      <c r="I504" s="574">
        <v>9.4350000000000005</v>
      </c>
      <c r="J504" s="31">
        <v>64</v>
      </c>
      <c r="K504" s="31" t="s">
        <v>107</v>
      </c>
      <c r="L504" s="31"/>
      <c r="M504" s="32" t="s">
        <v>94</v>
      </c>
      <c r="N504" s="32"/>
      <c r="O504" s="31">
        <v>40</v>
      </c>
      <c r="P504" s="727" t="s">
        <v>780</v>
      </c>
      <c r="Q504" s="580"/>
      <c r="R504" s="580"/>
      <c r="S504" s="580"/>
      <c r="T504" s="581"/>
      <c r="U504" s="33"/>
      <c r="V504" s="33"/>
      <c r="W504" s="34" t="s">
        <v>71</v>
      </c>
      <c r="X504" s="575">
        <v>0</v>
      </c>
      <c r="Y504" s="576">
        <f>IFERROR(IF(X504="",0,CEILING((X504/$H504),1)*$H504),"")</f>
        <v>0</v>
      </c>
      <c r="Z504" s="35" t="str">
        <f>IFERROR(IF(Y504=0,"",ROUNDUP(Y504/H504,0)*0.01898),"")</f>
        <v/>
      </c>
      <c r="AA504" s="55"/>
      <c r="AB504" s="56"/>
      <c r="AC504" s="557" t="s">
        <v>778</v>
      </c>
      <c r="AG504" s="63"/>
      <c r="AJ504" s="66"/>
      <c r="AK504" s="66">
        <v>0</v>
      </c>
      <c r="BB504" s="558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hidden="1" customHeight="1" x14ac:dyDescent="0.25">
      <c r="A505" s="53" t="s">
        <v>781</v>
      </c>
      <c r="B505" s="53" t="s">
        <v>782</v>
      </c>
      <c r="C505" s="30">
        <v>4301060486</v>
      </c>
      <c r="D505" s="594">
        <v>4640242180137</v>
      </c>
      <c r="E505" s="595"/>
      <c r="F505" s="574">
        <v>1.3</v>
      </c>
      <c r="G505" s="31">
        <v>6</v>
      </c>
      <c r="H505" s="574">
        <v>7.8</v>
      </c>
      <c r="I505" s="574">
        <v>8.2349999999999994</v>
      </c>
      <c r="J505" s="31">
        <v>64</v>
      </c>
      <c r="K505" s="31" t="s">
        <v>107</v>
      </c>
      <c r="L505" s="31"/>
      <c r="M505" s="32" t="s">
        <v>79</v>
      </c>
      <c r="N505" s="32"/>
      <c r="O505" s="31">
        <v>40</v>
      </c>
      <c r="P505" s="910" t="s">
        <v>783</v>
      </c>
      <c r="Q505" s="580"/>
      <c r="R505" s="580"/>
      <c r="S505" s="580"/>
      <c r="T505" s="581"/>
      <c r="U505" s="33"/>
      <c r="V505" s="33"/>
      <c r="W505" s="34" t="s">
        <v>71</v>
      </c>
      <c r="X505" s="575">
        <v>0</v>
      </c>
      <c r="Y505" s="576">
        <f>IFERROR(IF(X505="",0,CEILING((X505/$H505),1)*$H505),"")</f>
        <v>0</v>
      </c>
      <c r="Z505" s="35" t="str">
        <f>IFERROR(IF(Y505=0,"",ROUNDUP(Y505/H505,0)*0.01898),"")</f>
        <v/>
      </c>
      <c r="AA505" s="55"/>
      <c r="AB505" s="56"/>
      <c r="AC505" s="559" t="s">
        <v>784</v>
      </c>
      <c r="AG505" s="63"/>
      <c r="AJ505" s="66"/>
      <c r="AK505" s="66">
        <v>0</v>
      </c>
      <c r="BB505" s="560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t="27" hidden="1" customHeight="1" x14ac:dyDescent="0.25">
      <c r="A506" s="53" t="s">
        <v>781</v>
      </c>
      <c r="B506" s="53" t="s">
        <v>785</v>
      </c>
      <c r="C506" s="30">
        <v>4301060498</v>
      </c>
      <c r="D506" s="594">
        <v>4640242180137</v>
      </c>
      <c r="E506" s="595"/>
      <c r="F506" s="574">
        <v>1.5</v>
      </c>
      <c r="G506" s="31">
        <v>6</v>
      </c>
      <c r="H506" s="574">
        <v>9</v>
      </c>
      <c r="I506" s="574">
        <v>9.4350000000000005</v>
      </c>
      <c r="J506" s="31">
        <v>64</v>
      </c>
      <c r="K506" s="31" t="s">
        <v>107</v>
      </c>
      <c r="L506" s="31"/>
      <c r="M506" s="32" t="s">
        <v>94</v>
      </c>
      <c r="N506" s="32"/>
      <c r="O506" s="31">
        <v>40</v>
      </c>
      <c r="P506" s="792" t="s">
        <v>786</v>
      </c>
      <c r="Q506" s="580"/>
      <c r="R506" s="580"/>
      <c r="S506" s="580"/>
      <c r="T506" s="581"/>
      <c r="U506" s="33"/>
      <c r="V506" s="33"/>
      <c r="W506" s="34" t="s">
        <v>71</v>
      </c>
      <c r="X506" s="575">
        <v>0</v>
      </c>
      <c r="Y506" s="576">
        <f>IFERROR(IF(X506="",0,CEILING((X506/$H506),1)*$H506),"")</f>
        <v>0</v>
      </c>
      <c r="Z506" s="35" t="str">
        <f>IFERROR(IF(Y506=0,"",ROUNDUP(Y506/H506,0)*0.01898),"")</f>
        <v/>
      </c>
      <c r="AA506" s="55"/>
      <c r="AB506" s="56"/>
      <c r="AC506" s="561" t="s">
        <v>784</v>
      </c>
      <c r="AG506" s="63"/>
      <c r="AJ506" s="66"/>
      <c r="AK506" s="66">
        <v>0</v>
      </c>
      <c r="BB506" s="562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idden="1" x14ac:dyDescent="0.2">
      <c r="A507" s="592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3"/>
      <c r="P507" s="584" t="s">
        <v>73</v>
      </c>
      <c r="Q507" s="585"/>
      <c r="R507" s="585"/>
      <c r="S507" s="585"/>
      <c r="T507" s="585"/>
      <c r="U507" s="585"/>
      <c r="V507" s="586"/>
      <c r="W507" s="36" t="s">
        <v>74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3"/>
      <c r="P508" s="584" t="s">
        <v>73</v>
      </c>
      <c r="Q508" s="585"/>
      <c r="R508" s="585"/>
      <c r="S508" s="585"/>
      <c r="T508" s="585"/>
      <c r="U508" s="585"/>
      <c r="V508" s="586"/>
      <c r="W508" s="36" t="s">
        <v>71</v>
      </c>
      <c r="X508" s="577">
        <f>IFERROR(SUM(X503:X506),"0")</f>
        <v>0</v>
      </c>
      <c r="Y508" s="577">
        <f>IFERROR(SUM(Y503:Y506),"0")</f>
        <v>0</v>
      </c>
      <c r="Z508" s="36"/>
      <c r="AA508" s="578"/>
      <c r="AB508" s="578"/>
      <c r="AC508" s="578"/>
    </row>
    <row r="509" spans="1:68" ht="16.5" hidden="1" customHeight="1" x14ac:dyDescent="0.25">
      <c r="A509" s="648" t="s">
        <v>787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1"/>
      <c r="AB509" s="571"/>
      <c r="AC509" s="571"/>
    </row>
    <row r="510" spans="1:68" ht="14.25" hidden="1" customHeight="1" x14ac:dyDescent="0.25">
      <c r="A510" s="587" t="s">
        <v>140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65"/>
      <c r="AB510" s="565"/>
      <c r="AC510" s="565"/>
    </row>
    <row r="511" spans="1:68" ht="27" hidden="1" customHeight="1" x14ac:dyDescent="0.25">
      <c r="A511" s="53" t="s">
        <v>788</v>
      </c>
      <c r="B511" s="53" t="s">
        <v>789</v>
      </c>
      <c r="C511" s="30">
        <v>4301020314</v>
      </c>
      <c r="D511" s="594">
        <v>4640242180090</v>
      </c>
      <c r="E511" s="595"/>
      <c r="F511" s="574">
        <v>1.5</v>
      </c>
      <c r="G511" s="31">
        <v>8</v>
      </c>
      <c r="H511" s="574">
        <v>12</v>
      </c>
      <c r="I511" s="574">
        <v>12.435</v>
      </c>
      <c r="J511" s="31">
        <v>64</v>
      </c>
      <c r="K511" s="31" t="s">
        <v>107</v>
      </c>
      <c r="L511" s="31"/>
      <c r="M511" s="32" t="s">
        <v>108</v>
      </c>
      <c r="N511" s="32"/>
      <c r="O511" s="31">
        <v>50</v>
      </c>
      <c r="P511" s="726" t="s">
        <v>790</v>
      </c>
      <c r="Q511" s="580"/>
      <c r="R511" s="580"/>
      <c r="S511" s="580"/>
      <c r="T511" s="581"/>
      <c r="U511" s="33"/>
      <c r="V511" s="33"/>
      <c r="W511" s="34" t="s">
        <v>71</v>
      </c>
      <c r="X511" s="575">
        <v>0</v>
      </c>
      <c r="Y511" s="576">
        <f>IFERROR(IF(X511="",0,CEILING((X511/$H511),1)*$H511),"")</f>
        <v>0</v>
      </c>
      <c r="Z511" s="35" t="str">
        <f>IFERROR(IF(Y511=0,"",ROUNDUP(Y511/H511,0)*0.01898),"")</f>
        <v/>
      </c>
      <c r="AA511" s="55"/>
      <c r="AB511" s="56"/>
      <c r="AC511" s="563" t="s">
        <v>791</v>
      </c>
      <c r="AG511" s="63"/>
      <c r="AJ511" s="66"/>
      <c r="AK511" s="66">
        <v>0</v>
      </c>
      <c r="BB511" s="56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idden="1" x14ac:dyDescent="0.2">
      <c r="A512" s="592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3"/>
      <c r="P512" s="584" t="s">
        <v>73</v>
      </c>
      <c r="Q512" s="585"/>
      <c r="R512" s="585"/>
      <c r="S512" s="585"/>
      <c r="T512" s="585"/>
      <c r="U512" s="585"/>
      <c r="V512" s="586"/>
      <c r="W512" s="36" t="s">
        <v>74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3"/>
      <c r="P513" s="584" t="s">
        <v>73</v>
      </c>
      <c r="Q513" s="585"/>
      <c r="R513" s="585"/>
      <c r="S513" s="585"/>
      <c r="T513" s="585"/>
      <c r="U513" s="585"/>
      <c r="V513" s="586"/>
      <c r="W513" s="36" t="s">
        <v>71</v>
      </c>
      <c r="X513" s="577">
        <f>IFERROR(SUM(X511:X511),"0")</f>
        <v>0</v>
      </c>
      <c r="Y513" s="577">
        <f>IFERROR(SUM(Y511:Y511),"0")</f>
        <v>0</v>
      </c>
      <c r="Z513" s="36"/>
      <c r="AA513" s="578"/>
      <c r="AB513" s="578"/>
      <c r="AC513" s="578"/>
    </row>
    <row r="514" spans="1:32" ht="15" customHeight="1" x14ac:dyDescent="0.2">
      <c r="A514" s="887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62"/>
      <c r="P514" s="634" t="s">
        <v>792</v>
      </c>
      <c r="Q514" s="635"/>
      <c r="R514" s="635"/>
      <c r="S514" s="635"/>
      <c r="T514" s="635"/>
      <c r="U514" s="635"/>
      <c r="V514" s="636"/>
      <c r="W514" s="36" t="s">
        <v>71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3499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3592.7100000000009</v>
      </c>
      <c r="Z514" s="36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62"/>
      <c r="P515" s="634" t="s">
        <v>793</v>
      </c>
      <c r="Q515" s="635"/>
      <c r="R515" s="635"/>
      <c r="S515" s="635"/>
      <c r="T515" s="635"/>
      <c r="U515" s="635"/>
      <c r="V515" s="636"/>
      <c r="W515" s="36" t="s">
        <v>71</v>
      </c>
      <c r="X515" s="577">
        <f>IFERROR(SUM(BM22:BM511),"0")</f>
        <v>3704.3938570152477</v>
      </c>
      <c r="Y515" s="577">
        <f>IFERROR(SUM(BN22:BN511),"0")</f>
        <v>3805.6010000000006</v>
      </c>
      <c r="Z515" s="36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62"/>
      <c r="P516" s="634" t="s">
        <v>794</v>
      </c>
      <c r="Q516" s="635"/>
      <c r="R516" s="635"/>
      <c r="S516" s="635"/>
      <c r="T516" s="635"/>
      <c r="U516" s="635"/>
      <c r="V516" s="636"/>
      <c r="W516" s="36" t="s">
        <v>795</v>
      </c>
      <c r="X516" s="37">
        <f>ROUNDUP(SUM(BO22:BO511),0)</f>
        <v>7</v>
      </c>
      <c r="Y516" s="37">
        <f>ROUNDUP(SUM(BP22:BP511),0)</f>
        <v>7</v>
      </c>
      <c r="Z516" s="36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62"/>
      <c r="P517" s="634" t="s">
        <v>796</v>
      </c>
      <c r="Q517" s="635"/>
      <c r="R517" s="635"/>
      <c r="S517" s="635"/>
      <c r="T517" s="635"/>
      <c r="U517" s="635"/>
      <c r="V517" s="636"/>
      <c r="W517" s="36" t="s">
        <v>71</v>
      </c>
      <c r="X517" s="577">
        <f>GrossWeightTotal+PalletQtyTotal*25</f>
        <v>3879.3938570152477</v>
      </c>
      <c r="Y517" s="577">
        <f>GrossWeightTotalR+PalletQtyTotalR*25</f>
        <v>3980.6010000000006</v>
      </c>
      <c r="Z517" s="36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62"/>
      <c r="P518" s="634" t="s">
        <v>797</v>
      </c>
      <c r="Q518" s="635"/>
      <c r="R518" s="635"/>
      <c r="S518" s="635"/>
      <c r="T518" s="635"/>
      <c r="U518" s="635"/>
      <c r="V518" s="636"/>
      <c r="W518" s="36" t="s">
        <v>795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737.97331284986103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762</v>
      </c>
      <c r="Z518" s="36"/>
      <c r="AA518" s="578"/>
      <c r="AB518" s="578"/>
      <c r="AC518" s="578"/>
    </row>
    <row r="519" spans="1:32" ht="14.25" hidden="1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62"/>
      <c r="P519" s="634" t="s">
        <v>798</v>
      </c>
      <c r="Q519" s="635"/>
      <c r="R519" s="635"/>
      <c r="S519" s="635"/>
      <c r="T519" s="635"/>
      <c r="U519" s="635"/>
      <c r="V519" s="636"/>
      <c r="W519" s="38" t="s">
        <v>799</v>
      </c>
      <c r="X519" s="36"/>
      <c r="Y519" s="36"/>
      <c r="Z519" s="36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7.3142699999999987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39" t="s">
        <v>800</v>
      </c>
      <c r="B521" s="570" t="s">
        <v>64</v>
      </c>
      <c r="C521" s="630" t="s">
        <v>102</v>
      </c>
      <c r="D521" s="721"/>
      <c r="E521" s="721"/>
      <c r="F521" s="721"/>
      <c r="G521" s="721"/>
      <c r="H521" s="722"/>
      <c r="I521" s="630" t="s">
        <v>264</v>
      </c>
      <c r="J521" s="721"/>
      <c r="K521" s="721"/>
      <c r="L521" s="721"/>
      <c r="M521" s="721"/>
      <c r="N521" s="721"/>
      <c r="O521" s="721"/>
      <c r="P521" s="721"/>
      <c r="Q521" s="721"/>
      <c r="R521" s="721"/>
      <c r="S521" s="722"/>
      <c r="T521" s="630" t="s">
        <v>556</v>
      </c>
      <c r="U521" s="722"/>
      <c r="V521" s="630" t="s">
        <v>613</v>
      </c>
      <c r="W521" s="721"/>
      <c r="X521" s="721"/>
      <c r="Y521" s="722"/>
      <c r="Z521" s="570" t="s">
        <v>672</v>
      </c>
      <c r="AA521" s="630" t="s">
        <v>735</v>
      </c>
      <c r="AB521" s="722"/>
      <c r="AC521" s="51"/>
      <c r="AF521" s="566"/>
    </row>
    <row r="522" spans="1:32" ht="14.25" customHeight="1" thickTop="1" x14ac:dyDescent="0.2">
      <c r="A522" s="865" t="s">
        <v>801</v>
      </c>
      <c r="B522" s="630" t="s">
        <v>64</v>
      </c>
      <c r="C522" s="630" t="s">
        <v>103</v>
      </c>
      <c r="D522" s="630" t="s">
        <v>120</v>
      </c>
      <c r="E522" s="630" t="s">
        <v>182</v>
      </c>
      <c r="F522" s="630" t="s">
        <v>205</v>
      </c>
      <c r="G522" s="630" t="s">
        <v>240</v>
      </c>
      <c r="H522" s="630" t="s">
        <v>102</v>
      </c>
      <c r="I522" s="630" t="s">
        <v>265</v>
      </c>
      <c r="J522" s="630" t="s">
        <v>305</v>
      </c>
      <c r="K522" s="630" t="s">
        <v>366</v>
      </c>
      <c r="L522" s="630" t="s">
        <v>409</v>
      </c>
      <c r="M522" s="630" t="s">
        <v>425</v>
      </c>
      <c r="N522" s="566"/>
      <c r="O522" s="630" t="s">
        <v>438</v>
      </c>
      <c r="P522" s="630" t="s">
        <v>448</v>
      </c>
      <c r="Q522" s="630" t="s">
        <v>455</v>
      </c>
      <c r="R522" s="630" t="s">
        <v>460</v>
      </c>
      <c r="S522" s="630" t="s">
        <v>546</v>
      </c>
      <c r="T522" s="630" t="s">
        <v>557</v>
      </c>
      <c r="U522" s="630" t="s">
        <v>591</v>
      </c>
      <c r="V522" s="630" t="s">
        <v>614</v>
      </c>
      <c r="W522" s="630" t="s">
        <v>646</v>
      </c>
      <c r="X522" s="630" t="s">
        <v>664</v>
      </c>
      <c r="Y522" s="630" t="s">
        <v>668</v>
      </c>
      <c r="Z522" s="630" t="s">
        <v>672</v>
      </c>
      <c r="AA522" s="630" t="s">
        <v>735</v>
      </c>
      <c r="AB522" s="630" t="s">
        <v>787</v>
      </c>
      <c r="AC522" s="51"/>
      <c r="AF522" s="566"/>
    </row>
    <row r="523" spans="1:32" ht="13.5" customHeight="1" thickBot="1" x14ac:dyDescent="0.25">
      <c r="A523" s="86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66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1"/>
      <c r="AF523" s="566"/>
    </row>
    <row r="524" spans="1:32" ht="18" customHeight="1" thickTop="1" thickBot="1" x14ac:dyDescent="0.25">
      <c r="A524" s="39" t="s">
        <v>802</v>
      </c>
      <c r="B524" s="45">
        <f>IFERROR(Y22*1,"0")+IFERROR(Y26*1,"0")+IFERROR(Y27*1,"0")+IFERROR(Y28*1,"0")+IFERROR(Y29*1,"0")+IFERROR(Y30*1,"0")+IFERROR(Y31*1,"0")+IFERROR(Y35*1,"0")</f>
        <v>0</v>
      </c>
      <c r="C524" s="45">
        <f>IFERROR(Y41*1,"0")+IFERROR(Y42*1,"0")+IFERROR(Y43*1,"0")+IFERROR(Y47*1,"0")</f>
        <v>80</v>
      </c>
      <c r="D524" s="45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567</v>
      </c>
      <c r="E524" s="45">
        <f>IFERROR(Y89*1,"0")+IFERROR(Y90*1,"0")+IFERROR(Y91*1,"0")+IFERROR(Y95*1,"0")+IFERROR(Y96*1,"0")+IFERROR(Y97*1,"0")+IFERROR(Y98*1,"0")+IFERROR(Y99*1,"0")+IFERROR(Y100*1,"0")</f>
        <v>261.90000000000003</v>
      </c>
      <c r="F524" s="45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192.60000000000002</v>
      </c>
      <c r="G524" s="45">
        <f>IFERROR(Y132*1,"0")+IFERROR(Y133*1,"0")+IFERROR(Y137*1,"0")+IFERROR(Y138*1,"0")+IFERROR(Y142*1,"0")+IFERROR(Y143*1,"0")</f>
        <v>109.76</v>
      </c>
      <c r="H524" s="45">
        <f>IFERROR(Y148*1,"0")+IFERROR(Y152*1,"0")+IFERROR(Y153*1,"0")+IFERROR(Y154*1,"0")</f>
        <v>76</v>
      </c>
      <c r="I524" s="45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82.32</v>
      </c>
      <c r="J524" s="45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272.39999999999998</v>
      </c>
      <c r="K524" s="45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30.150000000000002</v>
      </c>
      <c r="L524" s="45">
        <f>IFERROR(Y256*1,"0")+IFERROR(Y257*1,"0")+IFERROR(Y258*1,"0")+IFERROR(Y259*1,"0")+IFERROR(Y260*1,"0")</f>
        <v>0</v>
      </c>
      <c r="M524" s="45">
        <f>IFERROR(Y265*1,"0")+IFERROR(Y266*1,"0")+IFERROR(Y267*1,"0")+IFERROR(Y268*1,"0")</f>
        <v>0</v>
      </c>
      <c r="N524" s="566"/>
      <c r="O524" s="45">
        <f>IFERROR(Y273*1,"0")+IFERROR(Y274*1,"0")+IFERROR(Y275*1,"0")</f>
        <v>19.2</v>
      </c>
      <c r="P524" s="45">
        <f>IFERROR(Y280*1,"0")+IFERROR(Y284*1,"0")</f>
        <v>0</v>
      </c>
      <c r="Q524" s="45">
        <f>IFERROR(Y289*1,"0")</f>
        <v>0</v>
      </c>
      <c r="R524" s="45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661.38</v>
      </c>
      <c r="S524" s="45">
        <f>IFERROR(Y342*1,"0")+IFERROR(Y343*1,"0")+IFERROR(Y344*1,"0")</f>
        <v>100.80000000000001</v>
      </c>
      <c r="T524" s="45">
        <f>IFERROR(Y350*1,"0")+IFERROR(Y351*1,"0")+IFERROR(Y352*1,"0")+IFERROR(Y353*1,"0")+IFERROR(Y354*1,"0")+IFERROR(Y355*1,"0")+IFERROR(Y356*1,"0")+IFERROR(Y360*1,"0")+IFERROR(Y361*1,"0")+IFERROR(Y365*1,"0")+IFERROR(Y366*1,"0")+IFERROR(Y370*1,"0")</f>
        <v>1114</v>
      </c>
      <c r="U524" s="45">
        <f>IFERROR(Y375*1,"0")+IFERROR(Y376*1,"0")+IFERROR(Y377*1,"0")+IFERROR(Y378*1,"0")+IFERROR(Y382*1,"0")+IFERROR(Y386*1,"0")+IFERROR(Y387*1,"0")+IFERROR(Y391*1,"0")</f>
        <v>0</v>
      </c>
      <c r="V524" s="45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4" s="45">
        <f>IFERROR(Y416*1,"0")+IFERROR(Y417*1,"0")+IFERROR(Y421*1,"0")+IFERROR(Y422*1,"0")+IFERROR(Y423*1,"0")+IFERROR(Y424*1,"0")</f>
        <v>0</v>
      </c>
      <c r="X524" s="45">
        <f>IFERROR(Y429*1,"0")</f>
        <v>0</v>
      </c>
      <c r="Y524" s="45">
        <f>IFERROR(Y434*1,"0")</f>
        <v>0</v>
      </c>
      <c r="Z524" s="45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16.799999999999997</v>
      </c>
      <c r="AA524" s="45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5">
        <f>IFERROR(Y511*1,"0")</f>
        <v>0</v>
      </c>
      <c r="AC524" s="51"/>
      <c r="AF524" s="566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00"/>
        <filter val="10,00"/>
        <filter val="10,50"/>
        <filter val="100,00"/>
        <filter val="101,00"/>
        <filter val="108,00"/>
        <filter val="11,00"/>
        <filter val="116,00"/>
        <filter val="12,96"/>
        <filter val="125,00"/>
        <filter val="13,00"/>
        <filter val="131,00"/>
        <filter val="135,00"/>
        <filter val="14,00"/>
        <filter val="16,00"/>
        <filter val="17,00"/>
        <filter val="18,00"/>
        <filter val="18,13"/>
        <filter val="18,75"/>
        <filter val="19,84"/>
        <filter val="2,00"/>
        <filter val="2,08"/>
        <filter val="2,69"/>
        <filter val="2,92"/>
        <filter val="20,00"/>
        <filter val="200,00"/>
        <filter val="21,00"/>
        <filter val="22,00"/>
        <filter val="224,00"/>
        <filter val="23,00"/>
        <filter val="24,00"/>
        <filter val="246,00"/>
        <filter val="25,00"/>
        <filter val="25,24"/>
        <filter val="26,08"/>
        <filter val="29,11"/>
        <filter val="290,00"/>
        <filter val="3 499,00"/>
        <filter val="3 704,39"/>
        <filter val="3 879,39"/>
        <filter val="3,00"/>
        <filter val="3,33"/>
        <filter val="30,00"/>
        <filter val="32,00"/>
        <filter val="324,00"/>
        <filter val="34,00"/>
        <filter val="37,41"/>
        <filter val="380,00"/>
        <filter val="383,00"/>
        <filter val="390,00"/>
        <filter val="40,00"/>
        <filter val="40,37"/>
        <filter val="40,97"/>
        <filter val="422,00"/>
        <filter val="46,00"/>
        <filter val="47,00"/>
        <filter val="47,62"/>
        <filter val="47,96"/>
        <filter val="5,00"/>
        <filter val="5,09"/>
        <filter val="5,11"/>
        <filter val="50,00"/>
        <filter val="53,00"/>
        <filter val="55,00"/>
        <filter val="58,00"/>
        <filter val="6,00"/>
        <filter val="600,00"/>
        <filter val="7"/>
        <filter val="7,00"/>
        <filter val="7,50"/>
        <filter val="705,00"/>
        <filter val="737,97"/>
        <filter val="75,00"/>
        <filter val="8,00"/>
        <filter val="8,21"/>
        <filter val="8,33"/>
        <filter val="80,00"/>
        <filter val="86,59"/>
        <filter val="9,00"/>
        <filter val="90,00"/>
        <filter val="93,33"/>
      </filters>
    </filterColumn>
    <filterColumn colId="29" showButton="0"/>
    <filterColumn colId="30" showButton="0"/>
  </autoFilter>
  <mergeCells count="920">
    <mergeCell ref="N17:N18"/>
    <mergeCell ref="A58:O59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A8:C8"/>
    <mergeCell ref="P372:V372"/>
    <mergeCell ref="D331:E331"/>
    <mergeCell ref="U522:U523"/>
    <mergeCell ref="P310:V310"/>
    <mergeCell ref="D355:E355"/>
    <mergeCell ref="P360:T360"/>
    <mergeCell ref="D57:E57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A497:Z497"/>
    <mergeCell ref="P311:V311"/>
    <mergeCell ref="P140:V140"/>
    <mergeCell ref="A136:Z136"/>
    <mergeCell ref="A21:Z21"/>
    <mergeCell ref="P505:T505"/>
    <mergeCell ref="A428:Z428"/>
    <mergeCell ref="P425:V425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U17:V17"/>
    <mergeCell ref="Y17:Y18"/>
    <mergeCell ref="P447:T447"/>
    <mergeCell ref="P410:T410"/>
    <mergeCell ref="A415:Z415"/>
    <mergeCell ref="D121:E121"/>
    <mergeCell ref="D322:E322"/>
    <mergeCell ref="Q5:R5"/>
    <mergeCell ref="P199:T199"/>
    <mergeCell ref="P370:T370"/>
    <mergeCell ref="D242:E242"/>
    <mergeCell ref="P290:V290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23:V23"/>
    <mergeCell ref="A9:C9"/>
    <mergeCell ref="A71:O72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P145:V145"/>
    <mergeCell ref="D192:E192"/>
    <mergeCell ref="A181:Z181"/>
    <mergeCell ref="A479:Z479"/>
    <mergeCell ref="D344:E344"/>
    <mergeCell ref="D202:E20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P195:V195"/>
    <mergeCell ref="A20:Z20"/>
    <mergeCell ref="A194:O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A19:Z19"/>
    <mergeCell ref="D182:E182"/>
    <mergeCell ref="A117:Z117"/>
    <mergeCell ref="P119:T119"/>
    <mergeCell ref="P183:V183"/>
    <mergeCell ref="P246:T246"/>
    <mergeCell ref="P208:T208"/>
    <mergeCell ref="P243:V243"/>
    <mergeCell ref="P270:V270"/>
    <mergeCell ref="P63:T63"/>
    <mergeCell ref="P250:T250"/>
    <mergeCell ref="D31:E31"/>
    <mergeCell ref="D229:E229"/>
    <mergeCell ref="D77:E77"/>
    <mergeCell ref="D108:E108"/>
    <mergeCell ref="D17:E18"/>
    <mergeCell ref="A131:Z131"/>
    <mergeCell ref="P313:T313"/>
    <mergeCell ref="P202:T202"/>
    <mergeCell ref="P307:T307"/>
    <mergeCell ref="A101:O102"/>
    <mergeCell ref="X17:X18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22:D523"/>
    <mergeCell ref="P188:T188"/>
    <mergeCell ref="P357:V357"/>
    <mergeCell ref="A207:Z207"/>
    <mergeCell ref="A225:Z225"/>
    <mergeCell ref="V6:W9"/>
    <mergeCell ref="P256:T256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88:Z88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H10:M10"/>
    <mergeCell ref="A439:Z439"/>
    <mergeCell ref="A433:Z433"/>
    <mergeCell ref="AC17:AC18"/>
    <mergeCell ref="P212:T212"/>
    <mergeCell ref="P101:V101"/>
    <mergeCell ref="P108:T108"/>
    <mergeCell ref="A420:Z420"/>
    <mergeCell ref="A224:Z224"/>
    <mergeCell ref="D89:E89"/>
    <mergeCell ref="P251:T251"/>
    <mergeCell ref="P343:T343"/>
    <mergeCell ref="A288:Z288"/>
    <mergeCell ref="D153:E153"/>
    <mergeCell ref="P430:V430"/>
    <mergeCell ref="P321:T321"/>
    <mergeCell ref="O17:O18"/>
    <mergeCell ref="P336:T336"/>
    <mergeCell ref="P223:V223"/>
    <mergeCell ref="P174:V174"/>
    <mergeCell ref="A104:Z104"/>
    <mergeCell ref="A175:Z175"/>
    <mergeCell ref="A235:Z235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P472:T472"/>
    <mergeCell ref="P487:T487"/>
    <mergeCell ref="P488:T488"/>
    <mergeCell ref="P508:V508"/>
    <mergeCell ref="P463:T463"/>
    <mergeCell ref="D449:E449"/>
    <mergeCell ref="P465:T465"/>
    <mergeCell ref="A453:O454"/>
    <mergeCell ref="D164:E164"/>
    <mergeCell ref="P300:V300"/>
    <mergeCell ref="D452:E452"/>
    <mergeCell ref="P371:V371"/>
    <mergeCell ref="P431:V431"/>
    <mergeCell ref="P503:T503"/>
    <mergeCell ref="D198:E198"/>
    <mergeCell ref="D465:E465"/>
    <mergeCell ref="D440:E440"/>
    <mergeCell ref="D296:E296"/>
    <mergeCell ref="D489:E489"/>
    <mergeCell ref="P27:T27"/>
    <mergeCell ref="P154:T154"/>
    <mergeCell ref="A222:O223"/>
    <mergeCell ref="D75:E75"/>
    <mergeCell ref="A80:O81"/>
    <mergeCell ref="P62:T62"/>
    <mergeCell ref="A134:O135"/>
    <mergeCell ref="A125:Z125"/>
    <mergeCell ref="P358:V358"/>
    <mergeCell ref="P421:T421"/>
    <mergeCell ref="A348:Z348"/>
    <mergeCell ref="P66:V66"/>
    <mergeCell ref="D247:E247"/>
    <mergeCell ref="P495:V495"/>
    <mergeCell ref="A320:Z320"/>
    <mergeCell ref="A347:Z347"/>
    <mergeCell ref="D42:E42"/>
    <mergeCell ref="P436:V436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D56:E56"/>
    <mergeCell ref="D193:E193"/>
    <mergeCell ref="P377:T377"/>
    <mergeCell ref="A65:O66"/>
    <mergeCell ref="P448:T448"/>
    <mergeCell ref="D127:E127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D295:E295"/>
    <mergeCell ref="D178:E178"/>
    <mergeCell ref="D172:E172"/>
    <mergeCell ref="P26:T26"/>
    <mergeCell ref="P153:T153"/>
    <mergeCell ref="P467:T467"/>
    <mergeCell ref="P442:T442"/>
    <mergeCell ref="D448:E448"/>
    <mergeCell ref="A261:O262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D251:E251"/>
    <mergeCell ref="D487:E487"/>
    <mergeCell ref="A240:Z240"/>
    <mergeCell ref="D343:E343"/>
    <mergeCell ref="P397:T397"/>
    <mergeCell ref="Y522:Y523"/>
    <mergeCell ref="D402:E402"/>
    <mergeCell ref="P128:V128"/>
    <mergeCell ref="A17:A18"/>
    <mergeCell ref="K17:K18"/>
    <mergeCell ref="C17:C18"/>
    <mergeCell ref="P493:T493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A425:O426"/>
    <mergeCell ref="D167:E167"/>
    <mergeCell ref="D118:E118"/>
    <mergeCell ref="P351:T351"/>
    <mergeCell ref="P53:T53"/>
    <mergeCell ref="P422:T422"/>
    <mergeCell ref="D232:E232"/>
    <mergeCell ref="P289:T289"/>
    <mergeCell ref="D403:E403"/>
    <mergeCell ref="P475:V475"/>
    <mergeCell ref="P458:T458"/>
    <mergeCell ref="A459:O46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464:E464"/>
    <mergeCell ref="D9:E9"/>
    <mergeCell ref="F9:G9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A6:C6"/>
    <mergeCell ref="D260:E260"/>
    <mergeCell ref="D309:E309"/>
    <mergeCell ref="K522:K523"/>
    <mergeCell ref="D113:E113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A495:O496"/>
    <mergeCell ref="P182:T182"/>
    <mergeCell ref="P102:V102"/>
    <mergeCell ref="P480:T480"/>
    <mergeCell ref="P280:T280"/>
    <mergeCell ref="C521:H521"/>
    <mergeCell ref="P491:V491"/>
    <mergeCell ref="T521:U521"/>
    <mergeCell ref="D330:E330"/>
    <mergeCell ref="P43:T43"/>
    <mergeCell ref="P65:V65"/>
    <mergeCell ref="A12:M12"/>
    <mergeCell ref="P74:T74"/>
    <mergeCell ref="P17:T18"/>
    <mergeCell ref="Q522:Q523"/>
    <mergeCell ref="A395:Z395"/>
    <mergeCell ref="P376:T376"/>
    <mergeCell ref="S522:S523"/>
    <mergeCell ref="P305:T305"/>
    <mergeCell ref="P515:V515"/>
    <mergeCell ref="A396:Z396"/>
    <mergeCell ref="D350:E350"/>
    <mergeCell ref="P408:V408"/>
    <mergeCell ref="A338:O339"/>
    <mergeCell ref="P450:T450"/>
    <mergeCell ref="P489:T489"/>
    <mergeCell ref="D463:E463"/>
    <mergeCell ref="P511:T511"/>
    <mergeCell ref="P504:T504"/>
    <mergeCell ref="A471:Z471"/>
    <mergeCell ref="D329:E329"/>
    <mergeCell ref="D400:E400"/>
    <mergeCell ref="D375:E375"/>
    <mergeCell ref="A46:Z46"/>
    <mergeCell ref="A50:Z50"/>
    <mergeCell ref="W17:W18"/>
    <mergeCell ref="P325:V325"/>
    <mergeCell ref="D142:E142"/>
    <mergeCell ref="D378:E378"/>
    <mergeCell ref="P266:T266"/>
    <mergeCell ref="P331:T331"/>
    <mergeCell ref="Q9:R9"/>
    <mergeCell ref="P49:V49"/>
    <mergeCell ref="P36:V36"/>
    <mergeCell ref="A159:Z159"/>
    <mergeCell ref="P78:T78"/>
    <mergeCell ref="A219:Z219"/>
    <mergeCell ref="Q11:R11"/>
    <mergeCell ref="Q12:R12"/>
    <mergeCell ref="P169:T169"/>
    <mergeCell ref="D90:E90"/>
    <mergeCell ref="D63:E63"/>
    <mergeCell ref="D96:E96"/>
    <mergeCell ref="D52:E52"/>
    <mergeCell ref="P110:V110"/>
    <mergeCell ref="D27:E27"/>
    <mergeCell ref="P15:T16"/>
    <mergeCell ref="P139:V139"/>
    <mergeCell ref="A48:O49"/>
    <mergeCell ref="D306:E306"/>
    <mergeCell ref="D377:E377"/>
    <mergeCell ref="P59:V59"/>
    <mergeCell ref="P97:T97"/>
    <mergeCell ref="D211:E211"/>
    <mergeCell ref="P168:T168"/>
    <mergeCell ref="P401:T401"/>
    <mergeCell ref="P72:V72"/>
    <mergeCell ref="P303:T303"/>
    <mergeCell ref="P132:T132"/>
    <mergeCell ref="P367:V367"/>
    <mergeCell ref="P107:T107"/>
    <mergeCell ref="P129:V129"/>
    <mergeCell ref="A128:O129"/>
    <mergeCell ref="D386:E386"/>
    <mergeCell ref="D215:E215"/>
    <mergeCell ref="P194:V194"/>
    <mergeCell ref="P286:V286"/>
    <mergeCell ref="P365:T365"/>
    <mergeCell ref="D1:F1"/>
    <mergeCell ref="A469:O470"/>
    <mergeCell ref="D382:E382"/>
    <mergeCell ref="P268:T268"/>
    <mergeCell ref="P230:T230"/>
    <mergeCell ref="P47:T47"/>
    <mergeCell ref="P466:T466"/>
    <mergeCell ref="P282:V282"/>
    <mergeCell ref="P190:V190"/>
    <mergeCell ref="J17:J18"/>
    <mergeCell ref="L17:L18"/>
    <mergeCell ref="A85:O86"/>
    <mergeCell ref="P48:V48"/>
    <mergeCell ref="P346:V346"/>
    <mergeCell ref="P192:T192"/>
    <mergeCell ref="P277:V277"/>
    <mergeCell ref="D100:E100"/>
    <mergeCell ref="P284:T284"/>
    <mergeCell ref="P113:T113"/>
    <mergeCell ref="P33:V33"/>
    <mergeCell ref="P93:V93"/>
    <mergeCell ref="D356:E356"/>
    <mergeCell ref="P269:V269"/>
    <mergeCell ref="A287:Z287"/>
    <mergeCell ref="P464:T464"/>
    <mergeCell ref="D445:E445"/>
    <mergeCell ref="P402:T402"/>
    <mergeCell ref="P261:V261"/>
    <mergeCell ref="P161:V161"/>
    <mergeCell ref="P217:V217"/>
    <mergeCell ref="P332:V332"/>
    <mergeCell ref="P459:V459"/>
    <mergeCell ref="A151:Z151"/>
    <mergeCell ref="P388:V388"/>
    <mergeCell ref="P258:T258"/>
    <mergeCell ref="P187:T187"/>
    <mergeCell ref="P423:T423"/>
    <mergeCell ref="P350:T350"/>
    <mergeCell ref="D160:E160"/>
    <mergeCell ref="D451:E451"/>
    <mergeCell ref="P411:T411"/>
    <mergeCell ref="P429:T429"/>
    <mergeCell ref="P456:T456"/>
    <mergeCell ref="P444:T444"/>
    <mergeCell ref="D421:E421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95:T95"/>
    <mergeCell ref="H522:H523"/>
    <mergeCell ref="D411:E411"/>
    <mergeCell ref="D289:E289"/>
    <mergeCell ref="J522:J523"/>
    <mergeCell ref="D482:E482"/>
    <mergeCell ref="P160:T160"/>
    <mergeCell ref="P517:V517"/>
    <mergeCell ref="D351:E351"/>
    <mergeCell ref="P209:T209"/>
    <mergeCell ref="A385:Z385"/>
    <mergeCell ref="P445:T445"/>
    <mergeCell ref="I522:I523"/>
    <mergeCell ref="P473:T473"/>
    <mergeCell ref="D498:E498"/>
    <mergeCell ref="P482:T482"/>
    <mergeCell ref="D354:E354"/>
    <mergeCell ref="C522:C523"/>
    <mergeCell ref="P333:V333"/>
    <mergeCell ref="D316:E316"/>
    <mergeCell ref="P273:T273"/>
    <mergeCell ref="D387:E387"/>
    <mergeCell ref="D443:E443"/>
    <mergeCell ref="P400:T400"/>
    <mergeCell ref="D210:E210"/>
    <mergeCell ref="R522:R523"/>
    <mergeCell ref="P460:V460"/>
    <mergeCell ref="A332:O333"/>
    <mergeCell ref="A279:Z279"/>
    <mergeCell ref="D274:E274"/>
    <mergeCell ref="P474:T474"/>
    <mergeCell ref="A233:O234"/>
    <mergeCell ref="A60:Z60"/>
    <mergeCell ref="A502:Z502"/>
    <mergeCell ref="A407:O408"/>
    <mergeCell ref="D494:E494"/>
    <mergeCell ref="A92:O93"/>
    <mergeCell ref="P404:T404"/>
    <mergeCell ref="P516:V516"/>
    <mergeCell ref="D505:E505"/>
    <mergeCell ref="D499:E499"/>
    <mergeCell ref="A510:Z510"/>
    <mergeCell ref="P514:V514"/>
    <mergeCell ref="D122:E122"/>
    <mergeCell ref="D250:E250"/>
    <mergeCell ref="A512:O513"/>
    <mergeCell ref="D511:E511"/>
    <mergeCell ref="P490:V490"/>
    <mergeCell ref="P405:T405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47:E47"/>
    <mergeCell ref="A34:Z34"/>
    <mergeCell ref="D410:E410"/>
    <mergeCell ref="D423:E423"/>
    <mergeCell ref="D472:E472"/>
    <mergeCell ref="D258:E258"/>
    <mergeCell ref="A109:O110"/>
    <mergeCell ref="P162:V162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P56:T56"/>
    <mergeCell ref="A374:Z374"/>
    <mergeCell ref="D353:E353"/>
    <mergeCell ref="P382:T382"/>
    <mergeCell ref="D361:E361"/>
    <mergeCell ref="D417:E417"/>
    <mergeCell ref="D69:E69"/>
    <mergeCell ref="P148:T148"/>
    <mergeCell ref="A87:Z87"/>
    <mergeCell ref="A123:O124"/>
    <mergeCell ref="D308:E308"/>
    <mergeCell ref="P337:T337"/>
    <mergeCell ref="D209:E209"/>
    <mergeCell ref="P166:T166"/>
    <mergeCell ref="P52:T52"/>
    <mergeCell ref="I17:I18"/>
    <mergeCell ref="A379:O380"/>
    <mergeCell ref="P249:T249"/>
    <mergeCell ref="A437:Z437"/>
    <mergeCell ref="P79:T79"/>
    <mergeCell ref="D473:E473"/>
    <mergeCell ref="P315:T315"/>
    <mergeCell ref="D187:E187"/>
    <mergeCell ref="P231:T231"/>
    <mergeCell ref="R1:T1"/>
    <mergeCell ref="P172:T172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94:T494"/>
    <mergeCell ref="P481:T481"/>
    <mergeCell ref="P352:T352"/>
    <mergeCell ref="P470:V470"/>
    <mergeCell ref="A326:Z326"/>
    <mergeCell ref="P301:V301"/>
    <mergeCell ref="P498:T498"/>
    <mergeCell ref="P276:V27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486:E486"/>
    <mergeCell ref="P328:T328"/>
    <mergeCell ref="P213:T213"/>
    <mergeCell ref="A281:O282"/>
    <mergeCell ref="D376:E376"/>
    <mergeCell ref="D78:E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1"/>
    </row>
    <row r="3" spans="2:8" x14ac:dyDescent="0.2">
      <c r="B3" s="46" t="s">
        <v>804</v>
      </c>
      <c r="C3" s="46"/>
      <c r="D3" s="46"/>
      <c r="E3" s="46"/>
    </row>
    <row r="4" spans="2:8" x14ac:dyDescent="0.2">
      <c r="B4" s="46" t="s">
        <v>13</v>
      </c>
      <c r="C4" s="46"/>
      <c r="D4" s="46"/>
      <c r="E4" s="46"/>
    </row>
    <row r="6" spans="2:8" x14ac:dyDescent="0.2">
      <c r="B6" s="46" t="s">
        <v>15</v>
      </c>
      <c r="C6" s="46" t="s">
        <v>805</v>
      </c>
      <c r="D6" s="46" t="s">
        <v>806</v>
      </c>
      <c r="E6" s="46"/>
    </row>
    <row r="8" spans="2:8" x14ac:dyDescent="0.2">
      <c r="B8" s="46" t="s">
        <v>20</v>
      </c>
      <c r="C8" s="46" t="s">
        <v>805</v>
      </c>
      <c r="D8" s="46"/>
      <c r="E8" s="46"/>
    </row>
    <row r="10" spans="2:8" x14ac:dyDescent="0.2">
      <c r="B10" s="46" t="s">
        <v>807</v>
      </c>
      <c r="C10" s="46"/>
      <c r="D10" s="46"/>
      <c r="E10" s="46"/>
    </row>
    <row r="11" spans="2:8" x14ac:dyDescent="0.2">
      <c r="B11" s="46" t="s">
        <v>808</v>
      </c>
      <c r="C11" s="46"/>
      <c r="D11" s="46"/>
      <c r="E11" s="46"/>
    </row>
    <row r="12" spans="2:8" x14ac:dyDescent="0.2">
      <c r="B12" s="46" t="s">
        <v>809</v>
      </c>
      <c r="C12" s="46"/>
      <c r="D12" s="46"/>
      <c r="E12" s="46"/>
    </row>
    <row r="13" spans="2:8" x14ac:dyDescent="0.2">
      <c r="B13" s="46" t="s">
        <v>810</v>
      </c>
      <c r="C13" s="46"/>
      <c r="D13" s="46"/>
      <c r="E13" s="46"/>
    </row>
    <row r="14" spans="2:8" x14ac:dyDescent="0.2">
      <c r="B14" s="46" t="s">
        <v>811</v>
      </c>
      <c r="C14" s="46"/>
      <c r="D14" s="46"/>
      <c r="E14" s="46"/>
    </row>
    <row r="15" spans="2:8" x14ac:dyDescent="0.2">
      <c r="B15" s="46" t="s">
        <v>812</v>
      </c>
      <c r="C15" s="46"/>
      <c r="D15" s="46"/>
      <c r="E15" s="46"/>
    </row>
    <row r="16" spans="2:8" x14ac:dyDescent="0.2">
      <c r="B16" s="46" t="s">
        <v>813</v>
      </c>
      <c r="C16" s="46"/>
      <c r="D16" s="46"/>
      <c r="E16" s="46"/>
    </row>
    <row r="17" spans="2:5" x14ac:dyDescent="0.2">
      <c r="B17" s="46" t="s">
        <v>814</v>
      </c>
      <c r="C17" s="46"/>
      <c r="D17" s="46"/>
      <c r="E17" s="46"/>
    </row>
    <row r="18" spans="2:5" x14ac:dyDescent="0.2">
      <c r="B18" s="46" t="s">
        <v>815</v>
      </c>
      <c r="C18" s="46"/>
      <c r="D18" s="46"/>
      <c r="E18" s="46"/>
    </row>
    <row r="19" spans="2:5" x14ac:dyDescent="0.2">
      <c r="B19" s="46" t="s">
        <v>816</v>
      </c>
      <c r="C19" s="46"/>
      <c r="D19" s="46"/>
      <c r="E19" s="46"/>
    </row>
    <row r="20" spans="2:5" x14ac:dyDescent="0.2">
      <c r="B20" s="46" t="s">
        <v>817</v>
      </c>
      <c r="C20" s="46"/>
      <c r="D20" s="46"/>
      <c r="E20" s="46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2025-06-17T12:14:27Z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