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D909E8B9-6434-4C95-90F7-2EA8B01794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F10" i="1"/>
  <c r="J9" i="1"/>
  <c r="F9" i="1"/>
  <c r="A9" i="1"/>
  <c r="A10" i="1" s="1"/>
  <c r="D7" i="1"/>
  <c r="Q6" i="1"/>
  <c r="P2" i="1"/>
  <c r="Z66" i="1" l="1"/>
  <c r="Z133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Z118" i="1" s="1"/>
  <c r="BP124" i="1"/>
  <c r="BN124" i="1"/>
  <c r="Z124" i="1"/>
  <c r="Y128" i="1"/>
  <c r="BP132" i="1"/>
  <c r="BN132" i="1"/>
  <c r="Z132" i="1"/>
  <c r="Y134" i="1"/>
  <c r="G546" i="1"/>
  <c r="Y140" i="1"/>
  <c r="BP137" i="1"/>
  <c r="BN137" i="1"/>
  <c r="Z137" i="1"/>
  <c r="Z139" i="1" s="1"/>
  <c r="Z160" i="1"/>
  <c r="BP158" i="1"/>
  <c r="BN158" i="1"/>
  <c r="Z158" i="1"/>
  <c r="BP172" i="1"/>
  <c r="BN172" i="1"/>
  <c r="Z172" i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Z274" i="1"/>
  <c r="BP271" i="1"/>
  <c r="BN271" i="1"/>
  <c r="Z271" i="1"/>
  <c r="Y274" i="1"/>
  <c r="BP322" i="1"/>
  <c r="BN322" i="1"/>
  <c r="Z322" i="1"/>
  <c r="Y324" i="1"/>
  <c r="Y331" i="1"/>
  <c r="BP326" i="1"/>
  <c r="BN326" i="1"/>
  <c r="Z326" i="1"/>
  <c r="Z331" i="1" s="1"/>
  <c r="BP330" i="1"/>
  <c r="BN330" i="1"/>
  <c r="Z330" i="1"/>
  <c r="Y332" i="1"/>
  <c r="Y337" i="1"/>
  <c r="BP334" i="1"/>
  <c r="BN334" i="1"/>
  <c r="Z334" i="1"/>
  <c r="Y338" i="1"/>
  <c r="Z350" i="1"/>
  <c r="BP348" i="1"/>
  <c r="BN348" i="1"/>
  <c r="Z348" i="1"/>
  <c r="Y350" i="1"/>
  <c r="BP392" i="1"/>
  <c r="BN392" i="1"/>
  <c r="Z392" i="1"/>
  <c r="Z395" i="1" s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Z45" i="1" s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Z81" i="1" s="1"/>
  <c r="BN75" i="1"/>
  <c r="BP75" i="1"/>
  <c r="Z77" i="1"/>
  <c r="BN77" i="1"/>
  <c r="Z79" i="1"/>
  <c r="BN79" i="1"/>
  <c r="Z85" i="1"/>
  <c r="Z86" i="1" s="1"/>
  <c r="BN85" i="1"/>
  <c r="Z90" i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Z128" i="1" s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Z178" i="1" s="1"/>
  <c r="Y178" i="1"/>
  <c r="Z184" i="1"/>
  <c r="BP182" i="1"/>
  <c r="BN182" i="1"/>
  <c r="Z182" i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Z373" i="1" s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Z256" i="1" s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Z281" i="1" s="1"/>
  <c r="BP312" i="1"/>
  <c r="BN312" i="1"/>
  <c r="Z312" i="1"/>
  <c r="BP320" i="1"/>
  <c r="BN320" i="1"/>
  <c r="Z320" i="1"/>
  <c r="Z323" i="1" s="1"/>
  <c r="BP328" i="1"/>
  <c r="BN328" i="1"/>
  <c r="Z328" i="1"/>
  <c r="BP336" i="1"/>
  <c r="BN336" i="1"/>
  <c r="Z336" i="1"/>
  <c r="BP342" i="1"/>
  <c r="BN342" i="1"/>
  <c r="Z342" i="1"/>
  <c r="Z344" i="1" s="1"/>
  <c r="Y351" i="1"/>
  <c r="Z361" i="1"/>
  <c r="BP359" i="1"/>
  <c r="BN359" i="1"/>
  <c r="Z359" i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Z470" i="1" s="1"/>
  <c r="Y477" i="1"/>
  <c r="BP480" i="1"/>
  <c r="BN480" i="1"/>
  <c r="Z480" i="1"/>
  <c r="Z487" i="1" s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Y538" i="1" l="1"/>
  <c r="Z493" i="1"/>
  <c r="Z337" i="1"/>
  <c r="Z222" i="1"/>
  <c r="Z512" i="1"/>
  <c r="Z266" i="1"/>
  <c r="Z239" i="1"/>
  <c r="Z210" i="1"/>
  <c r="Z93" i="1"/>
  <c r="Z72" i="1"/>
  <c r="Z59" i="1"/>
  <c r="Z32" i="1"/>
  <c r="Z541" i="1" s="1"/>
  <c r="Y540" i="1"/>
  <c r="Y537" i="1"/>
  <c r="Y539" i="1" s="1"/>
  <c r="Z522" i="1"/>
  <c r="Z112" i="1"/>
  <c r="Z104" i="1"/>
  <c r="Y536" i="1"/>
  <c r="Z316" i="1"/>
</calcChain>
</file>

<file path=xl/sharedStrings.xml><?xml version="1.0" encoding="utf-8"?>
<sst xmlns="http://schemas.openxmlformats.org/spreadsheetml/2006/main" count="2385" uniqueCount="836">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</sst>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6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45802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Воскресенье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1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 t="s">
        <v>19</v>
      </c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20</v>
      </c>
      <c r="Q8" s="729">
        <v>0.375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21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22</v>
      </c>
      <c r="Q10" s="773"/>
      <c r="R10" s="774"/>
      <c r="U10" s="24" t="s">
        <v>23</v>
      </c>
      <c r="V10" s="639" t="s">
        <v>24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7"/>
      <c r="R11" s="718"/>
      <c r="U11" s="24" t="s">
        <v>27</v>
      </c>
      <c r="V11" s="860" t="s">
        <v>28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29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30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31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32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33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34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35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36</v>
      </c>
      <c r="B17" s="634" t="s">
        <v>37</v>
      </c>
      <c r="C17" s="735" t="s">
        <v>38</v>
      </c>
      <c r="D17" s="634" t="s">
        <v>39</v>
      </c>
      <c r="E17" s="699"/>
      <c r="F17" s="634" t="s">
        <v>40</v>
      </c>
      <c r="G17" s="634" t="s">
        <v>41</v>
      </c>
      <c r="H17" s="634" t="s">
        <v>42</v>
      </c>
      <c r="I17" s="634" t="s">
        <v>43</v>
      </c>
      <c r="J17" s="634" t="s">
        <v>44</v>
      </c>
      <c r="K17" s="634" t="s">
        <v>45</v>
      </c>
      <c r="L17" s="634" t="s">
        <v>46</v>
      </c>
      <c r="M17" s="634" t="s">
        <v>47</v>
      </c>
      <c r="N17" s="634" t="s">
        <v>48</v>
      </c>
      <c r="O17" s="634" t="s">
        <v>49</v>
      </c>
      <c r="P17" s="634" t="s">
        <v>50</v>
      </c>
      <c r="Q17" s="698"/>
      <c r="R17" s="698"/>
      <c r="S17" s="698"/>
      <c r="T17" s="699"/>
      <c r="U17" s="932" t="s">
        <v>51</v>
      </c>
      <c r="V17" s="677"/>
      <c r="W17" s="634" t="s">
        <v>52</v>
      </c>
      <c r="X17" s="634" t="s">
        <v>53</v>
      </c>
      <c r="Y17" s="933" t="s">
        <v>54</v>
      </c>
      <c r="Z17" s="834" t="s">
        <v>55</v>
      </c>
      <c r="AA17" s="814" t="s">
        <v>56</v>
      </c>
      <c r="AB17" s="814" t="s">
        <v>57</v>
      </c>
      <c r="AC17" s="814" t="s">
        <v>58</v>
      </c>
      <c r="AD17" s="814" t="s">
        <v>59</v>
      </c>
      <c r="AE17" s="890"/>
      <c r="AF17" s="891"/>
      <c r="AG17" s="66"/>
      <c r="BD17" s="65" t="s">
        <v>60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61</v>
      </c>
      <c r="V18" s="67" t="s">
        <v>62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63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63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64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0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72</v>
      </c>
      <c r="Q23" s="607"/>
      <c r="R23" s="607"/>
      <c r="S23" s="607"/>
      <c r="T23" s="607"/>
      <c r="U23" s="607"/>
      <c r="V23" s="608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72</v>
      </c>
      <c r="Q24" s="607"/>
      <c r="R24" s="607"/>
      <c r="S24" s="607"/>
      <c r="T24" s="607"/>
      <c r="U24" s="607"/>
      <c r="V24" s="608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74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75</v>
      </c>
      <c r="B26" s="54" t="s">
        <v>76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91</v>
      </c>
      <c r="B31" s="54" t="s">
        <v>92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72</v>
      </c>
      <c r="Q32" s="607"/>
      <c r="R32" s="607"/>
      <c r="S32" s="607"/>
      <c r="T32" s="607"/>
      <c r="U32" s="607"/>
      <c r="V32" s="608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72</v>
      </c>
      <c r="Q33" s="607"/>
      <c r="R33" s="607"/>
      <c r="S33" s="607"/>
      <c r="T33" s="607"/>
      <c r="U33" s="607"/>
      <c r="V33" s="608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94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72</v>
      </c>
      <c r="Q36" s="607"/>
      <c r="R36" s="607"/>
      <c r="S36" s="607"/>
      <c r="T36" s="607"/>
      <c r="U36" s="607"/>
      <c r="V36" s="608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72</v>
      </c>
      <c r="Q37" s="607"/>
      <c r="R37" s="607"/>
      <c r="S37" s="607"/>
      <c r="T37" s="607"/>
      <c r="U37" s="607"/>
      <c r="V37" s="608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101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102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150</v>
      </c>
      <c r="Y41" s="592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98">
        <v>4607091385687</v>
      </c>
      <c r="E42" s="599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6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360</v>
      </c>
      <c r="Y42" s="592">
        <f>IFERROR(IF(X42="",0,CEILING((X42/$H42),1)*$H42),"")</f>
        <v>360</v>
      </c>
      <c r="Z42" s="36">
        <f>IFERROR(IF(Y42=0,"",ROUNDUP(Y42/H42,0)*0.00902),"")</f>
        <v>0.81180000000000008</v>
      </c>
      <c r="AA42" s="56"/>
      <c r="AB42" s="57"/>
      <c r="AC42" s="87" t="s">
        <v>107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378.9</v>
      </c>
      <c r="BN42" s="64">
        <f>IFERROR(Y42*I42/H42,"0")</f>
        <v>378.9</v>
      </c>
      <c r="BO42" s="64">
        <f>IFERROR(1/J42*(X42/H42),"0")</f>
        <v>0.68181818181818188</v>
      </c>
      <c r="BP42" s="64">
        <f>IFERROR(1/J42*(Y42/H42),"0")</f>
        <v>0.68181818181818188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8">
        <v>4680115882539</v>
      </c>
      <c r="E43" s="599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72</v>
      </c>
      <c r="Q45" s="607"/>
      <c r="R45" s="607"/>
      <c r="S45" s="607"/>
      <c r="T45" s="607"/>
      <c r="U45" s="607"/>
      <c r="V45" s="608"/>
      <c r="W45" s="37" t="s">
        <v>73</v>
      </c>
      <c r="X45" s="593">
        <f>IFERROR(X41/H41,"0")+IFERROR(X42/H42,"0")+IFERROR(X43/H43,"0")+IFERROR(X44/H44,"0")</f>
        <v>103.88888888888889</v>
      </c>
      <c r="Y45" s="593">
        <f>IFERROR(Y41/H41,"0")+IFERROR(Y42/H42,"0")+IFERROR(Y43/H43,"0")+IFERROR(Y44/H44,"0")</f>
        <v>104</v>
      </c>
      <c r="Z45" s="593">
        <f>IFERROR(IF(Z41="",0,Z41),"0")+IFERROR(IF(Z42="",0,Z42),"0")+IFERROR(IF(Z43="",0,Z43),"0")+IFERROR(IF(Z44="",0,Z44),"0")</f>
        <v>1.07752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72</v>
      </c>
      <c r="Q46" s="607"/>
      <c r="R46" s="607"/>
      <c r="S46" s="607"/>
      <c r="T46" s="607"/>
      <c r="U46" s="607"/>
      <c r="V46" s="608"/>
      <c r="W46" s="37" t="s">
        <v>70</v>
      </c>
      <c r="X46" s="593">
        <f>IFERROR(SUM(X41:X44),"0")</f>
        <v>510</v>
      </c>
      <c r="Y46" s="593">
        <f>IFERROR(SUM(Y41:Y44),"0")</f>
        <v>511.20000000000005</v>
      </c>
      <c r="Z46" s="37"/>
      <c r="AA46" s="594"/>
      <c r="AB46" s="594"/>
      <c r="AC46" s="594"/>
    </row>
    <row r="47" spans="1:68" ht="14.25" customHeight="1" x14ac:dyDescent="0.25">
      <c r="A47" s="609" t="s">
        <v>74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72</v>
      </c>
      <c r="Q49" s="607"/>
      <c r="R49" s="607"/>
      <c r="S49" s="607"/>
      <c r="T49" s="607"/>
      <c r="U49" s="607"/>
      <c r="V49" s="608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72</v>
      </c>
      <c r="Q50" s="607"/>
      <c r="R50" s="607"/>
      <c r="S50" s="607"/>
      <c r="T50" s="607"/>
      <c r="U50" s="607"/>
      <c r="V50" s="608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122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102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111</v>
      </c>
      <c r="M54" s="33" t="s">
        <v>106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500</v>
      </c>
      <c r="Y54" s="592">
        <f t="shared" si="6"/>
        <v>507.6</v>
      </c>
      <c r="Z54" s="36">
        <f>IFERROR(IF(Y54=0,"",ROUNDUP(Y54/H54,0)*0.01898),"")</f>
        <v>0.89205999999999996</v>
      </c>
      <c r="AA54" s="56"/>
      <c r="AB54" s="57"/>
      <c r="AC54" s="97" t="s">
        <v>128</v>
      </c>
      <c r="AG54" s="64"/>
      <c r="AJ54" s="68" t="s">
        <v>113</v>
      </c>
      <c r="AK54" s="68">
        <v>691.2</v>
      </c>
      <c r="BB54" s="98" t="s">
        <v>1</v>
      </c>
      <c r="BM54" s="64">
        <f t="shared" si="7"/>
        <v>520.1388888888888</v>
      </c>
      <c r="BN54" s="64">
        <f t="shared" si="8"/>
        <v>528.04499999999996</v>
      </c>
      <c r="BO54" s="64">
        <f t="shared" si="9"/>
        <v>0.72337962962962954</v>
      </c>
      <c r="BP54" s="64">
        <f t="shared" si="10"/>
        <v>0.734375</v>
      </c>
    </row>
    <row r="55" spans="1:68" ht="27" customHeight="1" x14ac:dyDescent="0.25">
      <c r="A55" s="54" t="s">
        <v>129</v>
      </c>
      <c r="B55" s="54" t="s">
        <v>130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132</v>
      </c>
      <c r="B56" s="54" t="s">
        <v>133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128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136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111</v>
      </c>
      <c r="M58" s="33" t="s">
        <v>106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450</v>
      </c>
      <c r="Y58" s="592">
        <f t="shared" si="6"/>
        <v>450</v>
      </c>
      <c r="Z58" s="36">
        <f>IFERROR(IF(Y58=0,"",ROUNDUP(Y58/H58,0)*0.00902),"")</f>
        <v>0.90200000000000002</v>
      </c>
      <c r="AA58" s="56"/>
      <c r="AB58" s="57"/>
      <c r="AC58" s="105" t="s">
        <v>140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471</v>
      </c>
      <c r="BN58" s="64">
        <f t="shared" si="8"/>
        <v>471</v>
      </c>
      <c r="BO58" s="64">
        <f t="shared" si="9"/>
        <v>0.75757575757575757</v>
      </c>
      <c r="BP58" s="64">
        <f t="shared" si="10"/>
        <v>0.75757575757575757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72</v>
      </c>
      <c r="Q59" s="607"/>
      <c r="R59" s="607"/>
      <c r="S59" s="607"/>
      <c r="T59" s="607"/>
      <c r="U59" s="607"/>
      <c r="V59" s="608"/>
      <c r="W59" s="37" t="s">
        <v>73</v>
      </c>
      <c r="X59" s="593">
        <f>IFERROR(X53/H53,"0")+IFERROR(X54/H54,"0")+IFERROR(X55/H55,"0")+IFERROR(X56/H56,"0")+IFERROR(X57/H57,"0")+IFERROR(X58/H58,"0")</f>
        <v>146.2962962962963</v>
      </c>
      <c r="Y59" s="593">
        <f>IFERROR(Y53/H53,"0")+IFERROR(Y54/H54,"0")+IFERROR(Y55/H55,"0")+IFERROR(Y56/H56,"0")+IFERROR(Y57/H57,"0")+IFERROR(Y58/H58,"0")</f>
        <v>147</v>
      </c>
      <c r="Z59" s="593">
        <f>IFERROR(IF(Z53="",0,Z53),"0")+IFERROR(IF(Z54="",0,Z54),"0")+IFERROR(IF(Z55="",0,Z55),"0")+IFERROR(IF(Z56="",0,Z56),"0")+IFERROR(IF(Z57="",0,Z57),"0")+IFERROR(IF(Z58="",0,Z58),"0")</f>
        <v>1.79406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72</v>
      </c>
      <c r="Q60" s="607"/>
      <c r="R60" s="607"/>
      <c r="S60" s="607"/>
      <c r="T60" s="607"/>
      <c r="U60" s="607"/>
      <c r="V60" s="608"/>
      <c r="W60" s="37" t="s">
        <v>70</v>
      </c>
      <c r="X60" s="593">
        <f>IFERROR(SUM(X53:X58),"0")</f>
        <v>950</v>
      </c>
      <c r="Y60" s="593">
        <f>IFERROR(SUM(Y53:Y58),"0")</f>
        <v>957.6</v>
      </c>
      <c r="Z60" s="37"/>
      <c r="AA60" s="594"/>
      <c r="AB60" s="594"/>
      <c r="AC60" s="594"/>
    </row>
    <row r="61" spans="1:68" ht="14.25" customHeight="1" x14ac:dyDescent="0.25">
      <c r="A61" s="609" t="s">
        <v>141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142</v>
      </c>
      <c r="B62" s="54" t="s">
        <v>143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50</v>
      </c>
      <c r="Y62" s="592">
        <f>IFERROR(IF(X62="",0,CEILING((X62/$H62),1)*$H62),"")</f>
        <v>54</v>
      </c>
      <c r="Z62" s="36">
        <f>IFERROR(IF(Y62=0,"",ROUNDUP(Y62/H62,0)*0.01898),"")</f>
        <v>9.4899999999999998E-2</v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52.013888888888886</v>
      </c>
      <c r="BN62" s="64">
        <f>IFERROR(Y62*I62/H62,"0")</f>
        <v>56.17499999999999</v>
      </c>
      <c r="BO62" s="64">
        <f>IFERROR(1/J62*(X62/H62),"0")</f>
        <v>7.2337962962962965E-2</v>
      </c>
      <c r="BP62" s="64">
        <f>IFERROR(1/J62*(Y62/H62),"0")</f>
        <v>7.8125E-2</v>
      </c>
    </row>
    <row r="63" spans="1:68" ht="27" customHeight="1" x14ac:dyDescent="0.25">
      <c r="A63" s="54" t="s">
        <v>145</v>
      </c>
      <c r="B63" s="54" t="s">
        <v>146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148</v>
      </c>
      <c r="B64" s="54" t="s">
        <v>149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144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150</v>
      </c>
      <c r="B65" s="54" t="s">
        <v>151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111</v>
      </c>
      <c r="M65" s="33" t="s">
        <v>106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180</v>
      </c>
      <c r="Y65" s="592">
        <f>IFERROR(IF(X65="",0,CEILING((X65/$H65),1)*$H65),"")</f>
        <v>180.9</v>
      </c>
      <c r="Z65" s="36">
        <f>IFERROR(IF(Y65=0,"",ROUNDUP(Y65/H65,0)*0.00651),"")</f>
        <v>0.43617</v>
      </c>
      <c r="AA65" s="56"/>
      <c r="AB65" s="57"/>
      <c r="AC65" s="113" t="s">
        <v>144</v>
      </c>
      <c r="AG65" s="64"/>
      <c r="AJ65" s="68" t="s">
        <v>113</v>
      </c>
      <c r="AK65" s="68">
        <v>491.4</v>
      </c>
      <c r="BB65" s="114" t="s">
        <v>1</v>
      </c>
      <c r="BM65" s="64">
        <f>IFERROR(X65*I65/H65,"0")</f>
        <v>191.99999999999997</v>
      </c>
      <c r="BN65" s="64">
        <f>IFERROR(Y65*I65/H65,"0")</f>
        <v>192.95999999999998</v>
      </c>
      <c r="BO65" s="64">
        <f>IFERROR(1/J65*(X65/H65),"0")</f>
        <v>0.36630036630036628</v>
      </c>
      <c r="BP65" s="64">
        <f>IFERROR(1/J65*(Y65/H65),"0")</f>
        <v>0.36813186813186816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72</v>
      </c>
      <c r="Q66" s="607"/>
      <c r="R66" s="607"/>
      <c r="S66" s="607"/>
      <c r="T66" s="607"/>
      <c r="U66" s="607"/>
      <c r="V66" s="608"/>
      <c r="W66" s="37" t="s">
        <v>73</v>
      </c>
      <c r="X66" s="593">
        <f>IFERROR(X62/H62,"0")+IFERROR(X63/H63,"0")+IFERROR(X64/H64,"0")+IFERROR(X65/H65,"0")</f>
        <v>71.296296296296291</v>
      </c>
      <c r="Y66" s="593">
        <f>IFERROR(Y62/H62,"0")+IFERROR(Y63/H63,"0")+IFERROR(Y64/H64,"0")+IFERROR(Y65/H65,"0")</f>
        <v>72</v>
      </c>
      <c r="Z66" s="593">
        <f>IFERROR(IF(Z62="",0,Z62),"0")+IFERROR(IF(Z63="",0,Z63),"0")+IFERROR(IF(Z64="",0,Z64),"0")+IFERROR(IF(Z65="",0,Z65),"0")</f>
        <v>0.53107000000000004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72</v>
      </c>
      <c r="Q67" s="607"/>
      <c r="R67" s="607"/>
      <c r="S67" s="607"/>
      <c r="T67" s="607"/>
      <c r="U67" s="607"/>
      <c r="V67" s="608"/>
      <c r="W67" s="37" t="s">
        <v>70</v>
      </c>
      <c r="X67" s="593">
        <f>IFERROR(SUM(X62:X65),"0")</f>
        <v>230</v>
      </c>
      <c r="Y67" s="593">
        <f>IFERROR(SUM(Y62:Y65),"0")</f>
        <v>234.9</v>
      </c>
      <c r="Z67" s="37"/>
      <c r="AA67" s="594"/>
      <c r="AB67" s="594"/>
      <c r="AC67" s="594"/>
    </row>
    <row r="68" spans="1:68" ht="14.25" customHeight="1" x14ac:dyDescent="0.25">
      <c r="A68" s="609" t="s">
        <v>64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152</v>
      </c>
      <c r="B69" s="54" t="s">
        <v>153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155</v>
      </c>
      <c r="B70" s="54" t="s">
        <v>156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158</v>
      </c>
      <c r="B71" s="54" t="s">
        <v>159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160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72</v>
      </c>
      <c r="Q72" s="607"/>
      <c r="R72" s="607"/>
      <c r="S72" s="607"/>
      <c r="T72" s="607"/>
      <c r="U72" s="607"/>
      <c r="V72" s="608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72</v>
      </c>
      <c r="Q73" s="607"/>
      <c r="R73" s="607"/>
      <c r="S73" s="607"/>
      <c r="T73" s="607"/>
      <c r="U73" s="607"/>
      <c r="V73" s="608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74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161</v>
      </c>
      <c r="B75" s="54" t="s">
        <v>162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167</v>
      </c>
      <c r="B77" s="54" t="s">
        <v>168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170</v>
      </c>
      <c r="B78" s="54" t="s">
        <v>171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169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72</v>
      </c>
      <c r="Q81" s="607"/>
      <c r="R81" s="607"/>
      <c r="S81" s="607"/>
      <c r="T81" s="607"/>
      <c r="U81" s="607"/>
      <c r="V81" s="608"/>
      <c r="W81" s="37" t="s">
        <v>73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72</v>
      </c>
      <c r="Q82" s="607"/>
      <c r="R82" s="607"/>
      <c r="S82" s="607"/>
      <c r="T82" s="607"/>
      <c r="U82" s="607"/>
      <c r="V82" s="608"/>
      <c r="W82" s="37" t="s">
        <v>70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176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177</v>
      </c>
      <c r="B84" s="54" t="s">
        <v>178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136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20</v>
      </c>
      <c r="Y84" s="592">
        <f>IFERROR(IF(X84="",0,CEILING((X84/$H84),1)*$H84),"")</f>
        <v>23.4</v>
      </c>
      <c r="Z84" s="36">
        <f>IFERROR(IF(Y84=0,"",ROUNDUP(Y84/H84,0)*0.01898),"")</f>
        <v>5.6940000000000004E-2</v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21.115384615384613</v>
      </c>
      <c r="BN84" s="64">
        <f>IFERROR(Y84*I84/H84,"0")</f>
        <v>24.704999999999998</v>
      </c>
      <c r="BO84" s="64">
        <f>IFERROR(1/J84*(X84/H84),"0")</f>
        <v>4.0064102564102567E-2</v>
      </c>
      <c r="BP84" s="64">
        <f>IFERROR(1/J84*(Y84/H84),"0")</f>
        <v>4.6875E-2</v>
      </c>
    </row>
    <row r="85" spans="1:68" ht="27" customHeight="1" x14ac:dyDescent="0.25">
      <c r="A85" s="54" t="s">
        <v>180</v>
      </c>
      <c r="B85" s="54" t="s">
        <v>181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182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72</v>
      </c>
      <c r="Q86" s="607"/>
      <c r="R86" s="607"/>
      <c r="S86" s="607"/>
      <c r="T86" s="607"/>
      <c r="U86" s="607"/>
      <c r="V86" s="608"/>
      <c r="W86" s="37" t="s">
        <v>73</v>
      </c>
      <c r="X86" s="593">
        <f>IFERROR(X84/H84,"0")+IFERROR(X85/H85,"0")</f>
        <v>2.5641025641025643</v>
      </c>
      <c r="Y86" s="593">
        <f>IFERROR(Y84/H84,"0")+IFERROR(Y85/H85,"0")</f>
        <v>3</v>
      </c>
      <c r="Z86" s="593">
        <f>IFERROR(IF(Z84="",0,Z84),"0")+IFERROR(IF(Z85="",0,Z85),"0")</f>
        <v>5.6940000000000004E-2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72</v>
      </c>
      <c r="Q87" s="607"/>
      <c r="R87" s="607"/>
      <c r="S87" s="607"/>
      <c r="T87" s="607"/>
      <c r="U87" s="607"/>
      <c r="V87" s="608"/>
      <c r="W87" s="37" t="s">
        <v>70</v>
      </c>
      <c r="X87" s="593">
        <f>IFERROR(SUM(X84:X85),"0")</f>
        <v>20</v>
      </c>
      <c r="Y87" s="593">
        <f>IFERROR(SUM(Y84:Y85),"0")</f>
        <v>23.4</v>
      </c>
      <c r="Z87" s="37"/>
      <c r="AA87" s="594"/>
      <c r="AB87" s="594"/>
      <c r="AC87" s="594"/>
    </row>
    <row r="88" spans="1:68" ht="16.5" customHeight="1" x14ac:dyDescent="0.25">
      <c r="A88" s="605" t="s">
        <v>183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102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184</v>
      </c>
      <c r="B90" s="54" t="s">
        <v>185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136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180</v>
      </c>
      <c r="Y90" s="592">
        <f>IFERROR(IF(X90="",0,CEILING((X90/$H90),1)*$H90),"")</f>
        <v>183.60000000000002</v>
      </c>
      <c r="Z90" s="36">
        <f>IFERROR(IF(Y90=0,"",ROUNDUP(Y90/H90,0)*0.01898),"")</f>
        <v>0.32266</v>
      </c>
      <c r="AA90" s="56"/>
      <c r="AB90" s="57"/>
      <c r="AC90" s="137" t="s">
        <v>186</v>
      </c>
      <c r="AG90" s="64"/>
      <c r="AJ90" s="68"/>
      <c r="AK90" s="68">
        <v>0</v>
      </c>
      <c r="BB90" s="138" t="s">
        <v>1</v>
      </c>
      <c r="BM90" s="64">
        <f>IFERROR(X90*I90/H90,"0")</f>
        <v>187.24999999999997</v>
      </c>
      <c r="BN90" s="64">
        <f>IFERROR(Y90*I90/H90,"0")</f>
        <v>190.995</v>
      </c>
      <c r="BO90" s="64">
        <f>IFERROR(1/J90*(X90/H90),"0")</f>
        <v>0.26041666666666663</v>
      </c>
      <c r="BP90" s="64">
        <f>IFERROR(1/J90*(Y90/H90),"0")</f>
        <v>0.265625</v>
      </c>
    </row>
    <row r="91" spans="1:68" ht="16.5" customHeight="1" x14ac:dyDescent="0.25">
      <c r="A91" s="54" t="s">
        <v>187</v>
      </c>
      <c r="B91" s="54" t="s">
        <v>188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186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189</v>
      </c>
      <c r="B92" s="54" t="s">
        <v>190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136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540</v>
      </c>
      <c r="Y92" s="592">
        <f>IFERROR(IF(X92="",0,CEILING((X92/$H92),1)*$H92),"")</f>
        <v>540</v>
      </c>
      <c r="Z92" s="36">
        <f>IFERROR(IF(Y92=0,"",ROUNDUP(Y92/H92,0)*0.00902),"")</f>
        <v>1.0824</v>
      </c>
      <c r="AA92" s="56"/>
      <c r="AB92" s="57"/>
      <c r="AC92" s="141" t="s">
        <v>191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565.20000000000005</v>
      </c>
      <c r="BN92" s="64">
        <f>IFERROR(Y92*I92/H92,"0")</f>
        <v>565.20000000000005</v>
      </c>
      <c r="BO92" s="64">
        <f>IFERROR(1/J92*(X92/H92),"0")</f>
        <v>0.90909090909090917</v>
      </c>
      <c r="BP92" s="64">
        <f>IFERROR(1/J92*(Y92/H92),"0")</f>
        <v>0.90909090909090917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72</v>
      </c>
      <c r="Q93" s="607"/>
      <c r="R93" s="607"/>
      <c r="S93" s="607"/>
      <c r="T93" s="607"/>
      <c r="U93" s="607"/>
      <c r="V93" s="608"/>
      <c r="W93" s="37" t="s">
        <v>73</v>
      </c>
      <c r="X93" s="593">
        <f>IFERROR(X90/H90,"0")+IFERROR(X91/H91,"0")+IFERROR(X92/H92,"0")</f>
        <v>136.66666666666666</v>
      </c>
      <c r="Y93" s="593">
        <f>IFERROR(Y90/H90,"0")+IFERROR(Y91/H91,"0")+IFERROR(Y92/H92,"0")</f>
        <v>137</v>
      </c>
      <c r="Z93" s="593">
        <f>IFERROR(IF(Z90="",0,Z90),"0")+IFERROR(IF(Z91="",0,Z91),"0")+IFERROR(IF(Z92="",0,Z92),"0")</f>
        <v>1.40506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72</v>
      </c>
      <c r="Q94" s="607"/>
      <c r="R94" s="607"/>
      <c r="S94" s="607"/>
      <c r="T94" s="607"/>
      <c r="U94" s="607"/>
      <c r="V94" s="608"/>
      <c r="W94" s="37" t="s">
        <v>70</v>
      </c>
      <c r="X94" s="593">
        <f>IFERROR(SUM(X90:X92),"0")</f>
        <v>720</v>
      </c>
      <c r="Y94" s="593">
        <f>IFERROR(SUM(Y90:Y92),"0")</f>
        <v>723.6</v>
      </c>
      <c r="Z94" s="37"/>
      <c r="AA94" s="594"/>
      <c r="AB94" s="594"/>
      <c r="AC94" s="594"/>
    </row>
    <row r="95" spans="1:68" ht="14.25" customHeight="1" x14ac:dyDescent="0.25">
      <c r="A95" s="609" t="s">
        <v>74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192</v>
      </c>
      <c r="B96" s="54" t="s">
        <v>193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150</v>
      </c>
      <c r="Y96" s="592">
        <f t="shared" ref="Y96:Y103" si="16">IFERROR(IF(X96="",0,CEILING((X96/$H96),1)*$H96),"")</f>
        <v>151.20000000000002</v>
      </c>
      <c r="Z96" s="36">
        <f>IFERROR(IF(Y96=0,"",ROUNDUP(Y96/H96,0)*0.01898),"")</f>
        <v>0.34164</v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159.26785714285714</v>
      </c>
      <c r="BN96" s="64">
        <f t="shared" ref="BN96:BN103" si="18">IFERROR(Y96*I96/H96,"0")</f>
        <v>160.542</v>
      </c>
      <c r="BO96" s="64">
        <f t="shared" ref="BO96:BO103" si="19">IFERROR(1/J96*(X96/H96),"0")</f>
        <v>0.27901785714285715</v>
      </c>
      <c r="BP96" s="64">
        <f t="shared" ref="BP96:BP103" si="20">IFERROR(1/J96*(Y96/H96),"0")</f>
        <v>0.28125</v>
      </c>
    </row>
    <row r="97" spans="1:68" ht="16.5" customHeight="1" x14ac:dyDescent="0.25">
      <c r="A97" s="54" t="s">
        <v>192</v>
      </c>
      <c r="B97" s="54" t="s">
        <v>195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136</v>
      </c>
      <c r="N97" s="33"/>
      <c r="O97" s="32">
        <v>45</v>
      </c>
      <c r="P97" s="693" t="s">
        <v>196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192</v>
      </c>
      <c r="B98" s="54" t="s">
        <v>197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201</v>
      </c>
      <c r="B100" s="54" t="s">
        <v>202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136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194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201</v>
      </c>
      <c r="B101" s="54" t="s">
        <v>203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112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360</v>
      </c>
      <c r="Y101" s="592">
        <f t="shared" si="16"/>
        <v>361.8</v>
      </c>
      <c r="Z101" s="36">
        <f>IFERROR(IF(Y101=0,"",ROUNDUP(Y101/H101,0)*0.00651),"")</f>
        <v>0.87234</v>
      </c>
      <c r="AA101" s="56"/>
      <c r="AB101" s="57"/>
      <c r="AC101" s="153" t="s">
        <v>204</v>
      </c>
      <c r="AG101" s="64"/>
      <c r="AJ101" s="68"/>
      <c r="AK101" s="68">
        <v>0</v>
      </c>
      <c r="BB101" s="154" t="s">
        <v>1</v>
      </c>
      <c r="BM101" s="64">
        <f t="shared" si="17"/>
        <v>393.59999999999997</v>
      </c>
      <c r="BN101" s="64">
        <f t="shared" si="18"/>
        <v>395.56799999999998</v>
      </c>
      <c r="BO101" s="64">
        <f t="shared" si="19"/>
        <v>0.73260073260073255</v>
      </c>
      <c r="BP101" s="64">
        <f t="shared" si="20"/>
        <v>0.73626373626373631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207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208</v>
      </c>
      <c r="B103" s="54" t="s">
        <v>209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72</v>
      </c>
      <c r="Q104" s="607"/>
      <c r="R104" s="607"/>
      <c r="S104" s="607"/>
      <c r="T104" s="607"/>
      <c r="U104" s="607"/>
      <c r="V104" s="608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151.19047619047618</v>
      </c>
      <c r="Y104" s="593">
        <f>IFERROR(Y96/H96,"0")+IFERROR(Y97/H97,"0")+IFERROR(Y98/H98,"0")+IFERROR(Y99/H99,"0")+IFERROR(Y100/H100,"0")+IFERROR(Y101/H101,"0")+IFERROR(Y102/H102,"0")+IFERROR(Y103/H103,"0")</f>
        <v>152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1.2139800000000001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72</v>
      </c>
      <c r="Q105" s="607"/>
      <c r="R105" s="607"/>
      <c r="S105" s="607"/>
      <c r="T105" s="607"/>
      <c r="U105" s="607"/>
      <c r="V105" s="608"/>
      <c r="W105" s="37" t="s">
        <v>70</v>
      </c>
      <c r="X105" s="593">
        <f>IFERROR(SUM(X96:X103),"0")</f>
        <v>510</v>
      </c>
      <c r="Y105" s="593">
        <f>IFERROR(SUM(Y96:Y103),"0")</f>
        <v>513</v>
      </c>
      <c r="Z105" s="37"/>
      <c r="AA105" s="594"/>
      <c r="AB105" s="594"/>
      <c r="AC105" s="594"/>
    </row>
    <row r="106" spans="1:68" ht="16.5" customHeight="1" x14ac:dyDescent="0.25">
      <c r="A106" s="605" t="s">
        <v>210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102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211</v>
      </c>
      <c r="B108" s="54" t="s">
        <v>212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100</v>
      </c>
      <c r="Y108" s="592">
        <f>IFERROR(IF(X108="",0,CEILING((X108/$H108),1)*$H108),"")</f>
        <v>108</v>
      </c>
      <c r="Z108" s="36">
        <f>IFERROR(IF(Y108=0,"",ROUNDUP(Y108/H108,0)*0.01898),"")</f>
        <v>0.1898</v>
      </c>
      <c r="AA108" s="56"/>
      <c r="AB108" s="57"/>
      <c r="AC108" s="159" t="s">
        <v>213</v>
      </c>
      <c r="AG108" s="64"/>
      <c r="AJ108" s="68"/>
      <c r="AK108" s="68">
        <v>0</v>
      </c>
      <c r="BB108" s="160" t="s">
        <v>1</v>
      </c>
      <c r="BM108" s="64">
        <f>IFERROR(X108*I108/H108,"0")</f>
        <v>104.02777777777777</v>
      </c>
      <c r="BN108" s="64">
        <f>IFERROR(Y108*I108/H108,"0")</f>
        <v>112.34999999999998</v>
      </c>
      <c r="BO108" s="64">
        <f>IFERROR(1/J108*(X108/H108),"0")</f>
        <v>0.14467592592592593</v>
      </c>
      <c r="BP108" s="64">
        <f>IFERROR(1/J108*(Y108/H108),"0")</f>
        <v>0.15625</v>
      </c>
    </row>
    <row r="109" spans="1:68" ht="16.5" customHeight="1" x14ac:dyDescent="0.25">
      <c r="A109" s="54" t="s">
        <v>214</v>
      </c>
      <c r="B109" s="54" t="s">
        <v>215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/>
      <c r="M109" s="33" t="s">
        <v>112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213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217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315</v>
      </c>
      <c r="Y110" s="592">
        <f>IFERROR(IF(X110="",0,CEILING((X110/$H110),1)*$H110),"")</f>
        <v>315</v>
      </c>
      <c r="Z110" s="36">
        <f>IFERROR(IF(Y110=0,"",ROUNDUP(Y110/H110,0)*0.00902),"")</f>
        <v>0.63139999999999996</v>
      </c>
      <c r="AA110" s="56"/>
      <c r="AB110" s="57"/>
      <c r="AC110" s="163" t="s">
        <v>213</v>
      </c>
      <c r="AG110" s="64"/>
      <c r="AJ110" s="68"/>
      <c r="AK110" s="68">
        <v>0</v>
      </c>
      <c r="BB110" s="164" t="s">
        <v>1</v>
      </c>
      <c r="BM110" s="64">
        <f>IFERROR(X110*I110/H110,"0")</f>
        <v>329.70000000000005</v>
      </c>
      <c r="BN110" s="64">
        <f>IFERROR(Y110*I110/H110,"0")</f>
        <v>329.70000000000005</v>
      </c>
      <c r="BO110" s="64">
        <f>IFERROR(1/J110*(X110/H110),"0")</f>
        <v>0.53030303030303028</v>
      </c>
      <c r="BP110" s="64">
        <f>IFERROR(1/J110*(Y110/H110),"0")</f>
        <v>0.53030303030303028</v>
      </c>
    </row>
    <row r="111" spans="1:68" ht="16.5" customHeight="1" x14ac:dyDescent="0.25">
      <c r="A111" s="54" t="s">
        <v>218</v>
      </c>
      <c r="B111" s="54" t="s">
        <v>219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213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72</v>
      </c>
      <c r="Q112" s="607"/>
      <c r="R112" s="607"/>
      <c r="S112" s="607"/>
      <c r="T112" s="607"/>
      <c r="U112" s="607"/>
      <c r="V112" s="608"/>
      <c r="W112" s="37" t="s">
        <v>73</v>
      </c>
      <c r="X112" s="593">
        <f>IFERROR(X108/H108,"0")+IFERROR(X109/H109,"0")+IFERROR(X110/H110,"0")+IFERROR(X111/H111,"0")</f>
        <v>79.259259259259267</v>
      </c>
      <c r="Y112" s="593">
        <f>IFERROR(Y108/H108,"0")+IFERROR(Y109/H109,"0")+IFERROR(Y110/H110,"0")+IFERROR(Y111/H111,"0")</f>
        <v>80</v>
      </c>
      <c r="Z112" s="593">
        <f>IFERROR(IF(Z108="",0,Z108),"0")+IFERROR(IF(Z109="",0,Z109),"0")+IFERROR(IF(Z110="",0,Z110),"0")+IFERROR(IF(Z111="",0,Z111),"0")</f>
        <v>0.82119999999999993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72</v>
      </c>
      <c r="Q113" s="607"/>
      <c r="R113" s="607"/>
      <c r="S113" s="607"/>
      <c r="T113" s="607"/>
      <c r="U113" s="607"/>
      <c r="V113" s="608"/>
      <c r="W113" s="37" t="s">
        <v>70</v>
      </c>
      <c r="X113" s="593">
        <f>IFERROR(SUM(X108:X111),"0")</f>
        <v>415</v>
      </c>
      <c r="Y113" s="593">
        <f>IFERROR(SUM(Y108:Y111),"0")</f>
        <v>423</v>
      </c>
      <c r="Z113" s="37"/>
      <c r="AA113" s="594"/>
      <c r="AB113" s="594"/>
      <c r="AC113" s="594"/>
    </row>
    <row r="114" spans="1:68" ht="14.25" customHeight="1" x14ac:dyDescent="0.25">
      <c r="A114" s="609" t="s">
        <v>141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220</v>
      </c>
      <c r="B115" s="54" t="s">
        <v>221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222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223</v>
      </c>
      <c r="B116" s="54" t="s">
        <v>224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222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225</v>
      </c>
      <c r="B117" s="54" t="s">
        <v>226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72</v>
      </c>
      <c r="Q118" s="607"/>
      <c r="R118" s="607"/>
      <c r="S118" s="607"/>
      <c r="T118" s="607"/>
      <c r="U118" s="607"/>
      <c r="V118" s="608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72</v>
      </c>
      <c r="Q119" s="607"/>
      <c r="R119" s="607"/>
      <c r="S119" s="607"/>
      <c r="T119" s="607"/>
      <c r="U119" s="607"/>
      <c r="V119" s="608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74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27" customHeight="1" x14ac:dyDescent="0.25">
      <c r="A121" s="54" t="s">
        <v>227</v>
      </c>
      <c r="B121" s="54" t="s">
        <v>228</v>
      </c>
      <c r="C121" s="31">
        <v>4301051360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229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227</v>
      </c>
      <c r="B122" s="54" t="s">
        <v>230</v>
      </c>
      <c r="C122" s="31">
        <v>4301051724</v>
      </c>
      <c r="D122" s="598">
        <v>4607091385168</v>
      </c>
      <c r="E122" s="599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136</v>
      </c>
      <c r="N122" s="33"/>
      <c r="O122" s="32">
        <v>45</v>
      </c>
      <c r="P122" s="7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231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customHeight="1" x14ac:dyDescent="0.25">
      <c r="A123" s="54" t="s">
        <v>227</v>
      </c>
      <c r="B123" s="54" t="s">
        <v>232</v>
      </c>
      <c r="C123" s="31">
        <v>4301051625</v>
      </c>
      <c r="D123" s="598">
        <v>4607091385168</v>
      </c>
      <c r="E123" s="599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0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231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233</v>
      </c>
      <c r="B124" s="54" t="s">
        <v>234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136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231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136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405</v>
      </c>
      <c r="Y125" s="592">
        <f t="shared" si="21"/>
        <v>405</v>
      </c>
      <c r="Z125" s="36">
        <f>IFERROR(IF(Y125=0,"",ROUNDUP(Y125/H125,0)*0.00651),"")</f>
        <v>0.97650000000000003</v>
      </c>
      <c r="AA125" s="56"/>
      <c r="AB125" s="57"/>
      <c r="AC125" s="181" t="s">
        <v>231</v>
      </c>
      <c r="AG125" s="64"/>
      <c r="AJ125" s="68"/>
      <c r="AK125" s="68">
        <v>0</v>
      </c>
      <c r="BB125" s="182" t="s">
        <v>1</v>
      </c>
      <c r="BM125" s="64">
        <f t="shared" si="22"/>
        <v>442.79999999999995</v>
      </c>
      <c r="BN125" s="64">
        <f t="shared" si="23"/>
        <v>442.79999999999995</v>
      </c>
      <c r="BO125" s="64">
        <f t="shared" si="24"/>
        <v>0.82417582417582425</v>
      </c>
      <c r="BP125" s="64">
        <f t="shared" si="25"/>
        <v>0.82417582417582425</v>
      </c>
    </row>
    <row r="126" spans="1:68" ht="16.5" customHeight="1" x14ac:dyDescent="0.25">
      <c r="A126" s="54" t="s">
        <v>237</v>
      </c>
      <c r="B126" s="54" t="s">
        <v>238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45</v>
      </c>
      <c r="Y126" s="592">
        <f t="shared" si="21"/>
        <v>45</v>
      </c>
      <c r="Z126" s="36">
        <f>IFERROR(IF(Y126=0,"",ROUNDUP(Y126/H126,0)*0.00651),"")</f>
        <v>0.16275000000000001</v>
      </c>
      <c r="AA126" s="56"/>
      <c r="AB126" s="57"/>
      <c r="AC126" s="183" t="s">
        <v>239</v>
      </c>
      <c r="AG126" s="64"/>
      <c r="AJ126" s="68"/>
      <c r="AK126" s="68">
        <v>0</v>
      </c>
      <c r="BB126" s="184" t="s">
        <v>1</v>
      </c>
      <c r="BM126" s="64">
        <f t="shared" si="22"/>
        <v>49.499999999999993</v>
      </c>
      <c r="BN126" s="64">
        <f t="shared" si="23"/>
        <v>49.499999999999993</v>
      </c>
      <c r="BO126" s="64">
        <f t="shared" si="24"/>
        <v>0.13736263736263737</v>
      </c>
      <c r="BP126" s="64">
        <f t="shared" si="25"/>
        <v>0.13736263736263737</v>
      </c>
    </row>
    <row r="127" spans="1:68" ht="27" customHeight="1" x14ac:dyDescent="0.25">
      <c r="A127" s="54" t="s">
        <v>240</v>
      </c>
      <c r="B127" s="54" t="s">
        <v>241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72</v>
      </c>
      <c r="Q128" s="607"/>
      <c r="R128" s="607"/>
      <c r="S128" s="607"/>
      <c r="T128" s="607"/>
      <c r="U128" s="607"/>
      <c r="V128" s="608"/>
      <c r="W128" s="37" t="s">
        <v>73</v>
      </c>
      <c r="X128" s="593">
        <f>IFERROR(X121/H121,"0")+IFERROR(X122/H122,"0")+IFERROR(X123/H123,"0")+IFERROR(X124/H124,"0")+IFERROR(X125/H125,"0")+IFERROR(X126/H126,"0")+IFERROR(X127/H127,"0")</f>
        <v>175</v>
      </c>
      <c r="Y128" s="593">
        <f>IFERROR(Y121/H121,"0")+IFERROR(Y122/H122,"0")+IFERROR(Y123/H123,"0")+IFERROR(Y124/H124,"0")+IFERROR(Y125/H125,"0")+IFERROR(Y126/H126,"0")+IFERROR(Y127/H127,"0")</f>
        <v>175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1.1392500000000001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72</v>
      </c>
      <c r="Q129" s="607"/>
      <c r="R129" s="607"/>
      <c r="S129" s="607"/>
      <c r="T129" s="607"/>
      <c r="U129" s="607"/>
      <c r="V129" s="608"/>
      <c r="W129" s="37" t="s">
        <v>70</v>
      </c>
      <c r="X129" s="593">
        <f>IFERROR(SUM(X121:X127),"0")</f>
        <v>450</v>
      </c>
      <c r="Y129" s="593">
        <f>IFERROR(SUM(Y121:Y127),"0")</f>
        <v>450</v>
      </c>
      <c r="Z129" s="37"/>
      <c r="AA129" s="594"/>
      <c r="AB129" s="594"/>
      <c r="AC129" s="594"/>
    </row>
    <row r="130" spans="1:68" ht="14.25" customHeight="1" x14ac:dyDescent="0.25">
      <c r="A130" s="609" t="s">
        <v>176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243</v>
      </c>
      <c r="B131" s="54" t="s">
        <v>244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245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246</v>
      </c>
      <c r="B132" s="54" t="s">
        <v>247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248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72</v>
      </c>
      <c r="Q133" s="607"/>
      <c r="R133" s="607"/>
      <c r="S133" s="607"/>
      <c r="T133" s="607"/>
      <c r="U133" s="607"/>
      <c r="V133" s="608"/>
      <c r="W133" s="37" t="s">
        <v>73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72</v>
      </c>
      <c r="Q134" s="607"/>
      <c r="R134" s="607"/>
      <c r="S134" s="607"/>
      <c r="T134" s="607"/>
      <c r="U134" s="607"/>
      <c r="V134" s="608"/>
      <c r="W134" s="37" t="s">
        <v>70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249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102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250</v>
      </c>
      <c r="B137" s="54" t="s">
        <v>251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252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250</v>
      </c>
      <c r="B138" s="54" t="s">
        <v>253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60</v>
      </c>
      <c r="Y138" s="592">
        <f>IFERROR(IF(X138="",0,CEILING((X138/$H138),1)*$H138),"")</f>
        <v>60.800000000000004</v>
      </c>
      <c r="Z138" s="36">
        <f>IFERROR(IF(Y138=0,"",ROUNDUP(Y138/H138,0)*0.00651),"")</f>
        <v>0.12369000000000001</v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63.374999999999993</v>
      </c>
      <c r="BN138" s="64">
        <f>IFERROR(Y138*I138/H138,"0")</f>
        <v>64.22</v>
      </c>
      <c r="BO138" s="64">
        <f>IFERROR(1/J138*(X138/H138),"0")</f>
        <v>0.10302197802197803</v>
      </c>
      <c r="BP138" s="64">
        <f>IFERROR(1/J138*(Y138/H138),"0")</f>
        <v>0.1043956043956044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72</v>
      </c>
      <c r="Q139" s="607"/>
      <c r="R139" s="607"/>
      <c r="S139" s="607"/>
      <c r="T139" s="607"/>
      <c r="U139" s="607"/>
      <c r="V139" s="608"/>
      <c r="W139" s="37" t="s">
        <v>73</v>
      </c>
      <c r="X139" s="593">
        <f>IFERROR(X137/H137,"0")+IFERROR(X138/H138,"0")</f>
        <v>18.75</v>
      </c>
      <c r="Y139" s="593">
        <f>IFERROR(Y137/H137,"0")+IFERROR(Y138/H138,"0")</f>
        <v>19</v>
      </c>
      <c r="Z139" s="593">
        <f>IFERROR(IF(Z137="",0,Z137),"0")+IFERROR(IF(Z138="",0,Z138),"0")</f>
        <v>0.12369000000000001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72</v>
      </c>
      <c r="Q140" s="607"/>
      <c r="R140" s="607"/>
      <c r="S140" s="607"/>
      <c r="T140" s="607"/>
      <c r="U140" s="607"/>
      <c r="V140" s="608"/>
      <c r="W140" s="37" t="s">
        <v>70</v>
      </c>
      <c r="X140" s="593">
        <f>IFERROR(SUM(X137:X138),"0")</f>
        <v>60</v>
      </c>
      <c r="Y140" s="593">
        <f>IFERROR(SUM(Y137:Y138),"0")</f>
        <v>60.800000000000004</v>
      </c>
      <c r="Z140" s="37"/>
      <c r="AA140" s="594"/>
      <c r="AB140" s="594"/>
      <c r="AC140" s="594"/>
    </row>
    <row r="141" spans="1:68" ht="14.25" customHeight="1" x14ac:dyDescent="0.25">
      <c r="A141" s="609" t="s">
        <v>64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254</v>
      </c>
      <c r="B142" s="54" t="s">
        <v>255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256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254</v>
      </c>
      <c r="B143" s="54" t="s">
        <v>257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45.5</v>
      </c>
      <c r="Y143" s="592">
        <f>IFERROR(IF(X143="",0,CEILING((X143/$H143),1)*$H143),"")</f>
        <v>47.599999999999994</v>
      </c>
      <c r="Z143" s="36">
        <f>IFERROR(IF(Y143=0,"",ROUNDUP(Y143/H143,0)*0.00651),"")</f>
        <v>0.11067</v>
      </c>
      <c r="AA143" s="56"/>
      <c r="AB143" s="57"/>
      <c r="AC143" s="197" t="s">
        <v>256</v>
      </c>
      <c r="AG143" s="64"/>
      <c r="AJ143" s="68"/>
      <c r="AK143" s="68">
        <v>0</v>
      </c>
      <c r="BB143" s="198" t="s">
        <v>1</v>
      </c>
      <c r="BM143" s="64">
        <f>IFERROR(X143*I143/H143,"0")</f>
        <v>49.855000000000004</v>
      </c>
      <c r="BN143" s="64">
        <f>IFERROR(Y143*I143/H143,"0")</f>
        <v>52.156000000000006</v>
      </c>
      <c r="BO143" s="64">
        <f>IFERROR(1/J143*(X143/H143),"0")</f>
        <v>8.9285714285714288E-2</v>
      </c>
      <c r="BP143" s="64">
        <f>IFERROR(1/J143*(Y143/H143),"0")</f>
        <v>9.3406593406593408E-2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72</v>
      </c>
      <c r="Q144" s="607"/>
      <c r="R144" s="607"/>
      <c r="S144" s="607"/>
      <c r="T144" s="607"/>
      <c r="U144" s="607"/>
      <c r="V144" s="608"/>
      <c r="W144" s="37" t="s">
        <v>73</v>
      </c>
      <c r="X144" s="593">
        <f>IFERROR(X142/H142,"0")+IFERROR(X143/H143,"0")</f>
        <v>16.25</v>
      </c>
      <c r="Y144" s="593">
        <f>IFERROR(Y142/H142,"0")+IFERROR(Y143/H143,"0")</f>
        <v>17</v>
      </c>
      <c r="Z144" s="593">
        <f>IFERROR(IF(Z142="",0,Z142),"0")+IFERROR(IF(Z143="",0,Z143),"0")</f>
        <v>0.11067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72</v>
      </c>
      <c r="Q145" s="607"/>
      <c r="R145" s="607"/>
      <c r="S145" s="607"/>
      <c r="T145" s="607"/>
      <c r="U145" s="607"/>
      <c r="V145" s="608"/>
      <c r="W145" s="37" t="s">
        <v>70</v>
      </c>
      <c r="X145" s="593">
        <f>IFERROR(SUM(X142:X143),"0")</f>
        <v>45.5</v>
      </c>
      <c r="Y145" s="593">
        <f>IFERROR(SUM(Y142:Y143),"0")</f>
        <v>47.599999999999994</v>
      </c>
      <c r="Z145" s="37"/>
      <c r="AA145" s="594"/>
      <c r="AB145" s="594"/>
      <c r="AC145" s="594"/>
    </row>
    <row r="146" spans="1:68" ht="14.25" customHeight="1" x14ac:dyDescent="0.25">
      <c r="A146" s="609" t="s">
        <v>74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258</v>
      </c>
      <c r="B147" s="54" t="s">
        <v>259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252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258</v>
      </c>
      <c r="B148" s="54" t="s">
        <v>260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26.4</v>
      </c>
      <c r="Y148" s="592">
        <f>IFERROR(IF(X148="",0,CEILING((X148/$H148),1)*$H148),"")</f>
        <v>26.400000000000002</v>
      </c>
      <c r="Z148" s="36">
        <f>IFERROR(IF(Y148=0,"",ROUNDUP(Y148/H148,0)*0.00651),"")</f>
        <v>6.5100000000000005E-2</v>
      </c>
      <c r="AA148" s="56"/>
      <c r="AB148" s="57"/>
      <c r="AC148" s="201" t="s">
        <v>252</v>
      </c>
      <c r="AG148" s="64"/>
      <c r="AJ148" s="68"/>
      <c r="AK148" s="68">
        <v>0</v>
      </c>
      <c r="BB148" s="202" t="s">
        <v>1</v>
      </c>
      <c r="BM148" s="64">
        <f>IFERROR(X148*I148/H148,"0")</f>
        <v>29.079999999999995</v>
      </c>
      <c r="BN148" s="64">
        <f>IFERROR(Y148*I148/H148,"0")</f>
        <v>29.080000000000002</v>
      </c>
      <c r="BO148" s="64">
        <f>IFERROR(1/J148*(X148/H148),"0")</f>
        <v>5.4945054945054937E-2</v>
      </c>
      <c r="BP148" s="64">
        <f>IFERROR(1/J148*(Y148/H148),"0")</f>
        <v>5.4945054945054951E-2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72</v>
      </c>
      <c r="Q149" s="607"/>
      <c r="R149" s="607"/>
      <c r="S149" s="607"/>
      <c r="T149" s="607"/>
      <c r="U149" s="607"/>
      <c r="V149" s="608"/>
      <c r="W149" s="37" t="s">
        <v>73</v>
      </c>
      <c r="X149" s="593">
        <f>IFERROR(X147/H147,"0")+IFERROR(X148/H148,"0")</f>
        <v>9.9999999999999982</v>
      </c>
      <c r="Y149" s="593">
        <f>IFERROR(Y147/H147,"0")+IFERROR(Y148/H148,"0")</f>
        <v>10</v>
      </c>
      <c r="Z149" s="593">
        <f>IFERROR(IF(Z147="",0,Z147),"0")+IFERROR(IF(Z148="",0,Z148),"0")</f>
        <v>6.5100000000000005E-2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72</v>
      </c>
      <c r="Q150" s="607"/>
      <c r="R150" s="607"/>
      <c r="S150" s="607"/>
      <c r="T150" s="607"/>
      <c r="U150" s="607"/>
      <c r="V150" s="608"/>
      <c r="W150" s="37" t="s">
        <v>70</v>
      </c>
      <c r="X150" s="593">
        <f>IFERROR(SUM(X147:X148),"0")</f>
        <v>26.4</v>
      </c>
      <c r="Y150" s="593">
        <f>IFERROR(SUM(Y147:Y148),"0")</f>
        <v>26.400000000000002</v>
      </c>
      <c r="Z150" s="37"/>
      <c r="AA150" s="594"/>
      <c r="AB150" s="594"/>
      <c r="AC150" s="594"/>
    </row>
    <row r="151" spans="1:68" ht="16.5" customHeight="1" x14ac:dyDescent="0.25">
      <c r="A151" s="605" t="s">
        <v>100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102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261</v>
      </c>
      <c r="B153" s="54" t="s">
        <v>262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263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72</v>
      </c>
      <c r="Q154" s="607"/>
      <c r="R154" s="607"/>
      <c r="S154" s="607"/>
      <c r="T154" s="607"/>
      <c r="U154" s="607"/>
      <c r="V154" s="608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72</v>
      </c>
      <c r="Q155" s="607"/>
      <c r="R155" s="607"/>
      <c r="S155" s="607"/>
      <c r="T155" s="607"/>
      <c r="U155" s="607"/>
      <c r="V155" s="608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64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264</v>
      </c>
      <c r="B157" s="54" t="s">
        <v>265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266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267</v>
      </c>
      <c r="B158" s="54" t="s">
        <v>268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269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272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72</v>
      </c>
      <c r="Q160" s="607"/>
      <c r="R160" s="607"/>
      <c r="S160" s="607"/>
      <c r="T160" s="607"/>
      <c r="U160" s="607"/>
      <c r="V160" s="608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72</v>
      </c>
      <c r="Q161" s="607"/>
      <c r="R161" s="607"/>
      <c r="S161" s="607"/>
      <c r="T161" s="607"/>
      <c r="U161" s="607"/>
      <c r="V161" s="608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273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274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141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275</v>
      </c>
      <c r="B165" s="54" t="s">
        <v>276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277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72</v>
      </c>
      <c r="Q166" s="607"/>
      <c r="R166" s="607"/>
      <c r="S166" s="607"/>
      <c r="T166" s="607"/>
      <c r="U166" s="607"/>
      <c r="V166" s="608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72</v>
      </c>
      <c r="Q167" s="607"/>
      <c r="R167" s="607"/>
      <c r="S167" s="607"/>
      <c r="T167" s="607"/>
      <c r="U167" s="607"/>
      <c r="V167" s="608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64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278</v>
      </c>
      <c r="B169" s="54" t="s">
        <v>279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80</v>
      </c>
      <c r="Y169" s="592">
        <f t="shared" ref="Y169:Y177" si="26">IFERROR(IF(X169="",0,CEILING((X169/$H169),1)*$H169),"")</f>
        <v>84</v>
      </c>
      <c r="Z169" s="36">
        <f>IFERROR(IF(Y169=0,"",ROUNDUP(Y169/H169,0)*0.00902),"")</f>
        <v>0.1804</v>
      </c>
      <c r="AA169" s="56"/>
      <c r="AB169" s="57"/>
      <c r="AC169" s="213" t="s">
        <v>280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85.142857142857125</v>
      </c>
      <c r="BN169" s="64">
        <f t="shared" ref="BN169:BN177" si="28">IFERROR(Y169*I169/H169,"0")</f>
        <v>89.399999999999991</v>
      </c>
      <c r="BO169" s="64">
        <f t="shared" ref="BO169:BO177" si="29">IFERROR(1/J169*(X169/H169),"0")</f>
        <v>0.14430014430014429</v>
      </c>
      <c r="BP169" s="64">
        <f t="shared" ref="BP169:BP177" si="30">IFERROR(1/J169*(Y169/H169),"0")</f>
        <v>0.15151515151515152</v>
      </c>
    </row>
    <row r="170" spans="1:68" ht="27" customHeight="1" x14ac:dyDescent="0.25">
      <c r="A170" s="54" t="s">
        <v>281</v>
      </c>
      <c r="B170" s="54" t="s">
        <v>282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20</v>
      </c>
      <c r="Y170" s="592">
        <f t="shared" si="26"/>
        <v>21</v>
      </c>
      <c r="Z170" s="36">
        <f>IFERROR(IF(Y170=0,"",ROUNDUP(Y170/H170,0)*0.00902),"")</f>
        <v>4.5100000000000001E-2</v>
      </c>
      <c r="AA170" s="56"/>
      <c r="AB170" s="57"/>
      <c r="AC170" s="215" t="s">
        <v>283</v>
      </c>
      <c r="AG170" s="64"/>
      <c r="AJ170" s="68"/>
      <c r="AK170" s="68">
        <v>0</v>
      </c>
      <c r="BB170" s="216" t="s">
        <v>1</v>
      </c>
      <c r="BM170" s="64">
        <f t="shared" si="27"/>
        <v>21.285714285714281</v>
      </c>
      <c r="BN170" s="64">
        <f t="shared" si="28"/>
        <v>22.349999999999998</v>
      </c>
      <c r="BO170" s="64">
        <f t="shared" si="29"/>
        <v>3.6075036075036072E-2</v>
      </c>
      <c r="BP170" s="64">
        <f t="shared" si="30"/>
        <v>3.787878787878788E-2</v>
      </c>
    </row>
    <row r="171" spans="1:68" ht="27" customHeight="1" x14ac:dyDescent="0.25">
      <c r="A171" s="54" t="s">
        <v>284</v>
      </c>
      <c r="B171" s="54" t="s">
        <v>285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150</v>
      </c>
      <c r="Y171" s="592">
        <f t="shared" si="26"/>
        <v>151.20000000000002</v>
      </c>
      <c r="Z171" s="36">
        <f>IFERROR(IF(Y171=0,"",ROUNDUP(Y171/H171,0)*0.00902),"")</f>
        <v>0.32472000000000001</v>
      </c>
      <c r="AA171" s="56"/>
      <c r="AB171" s="57"/>
      <c r="AC171" s="217" t="s">
        <v>286</v>
      </c>
      <c r="AG171" s="64"/>
      <c r="AJ171" s="68"/>
      <c r="AK171" s="68">
        <v>0</v>
      </c>
      <c r="BB171" s="218" t="s">
        <v>1</v>
      </c>
      <c r="BM171" s="64">
        <f t="shared" si="27"/>
        <v>157.5</v>
      </c>
      <c r="BN171" s="64">
        <f t="shared" si="28"/>
        <v>158.76000000000002</v>
      </c>
      <c r="BO171" s="64">
        <f t="shared" si="29"/>
        <v>0.27056277056277056</v>
      </c>
      <c r="BP171" s="64">
        <f t="shared" si="30"/>
        <v>0.27272727272727271</v>
      </c>
    </row>
    <row r="172" spans="1:68" ht="27" customHeight="1" x14ac:dyDescent="0.25">
      <c r="A172" s="54" t="s">
        <v>287</v>
      </c>
      <c r="B172" s="54" t="s">
        <v>288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122.5</v>
      </c>
      <c r="Y172" s="592">
        <f t="shared" si="26"/>
        <v>123.9</v>
      </c>
      <c r="Z172" s="36">
        <f>IFERROR(IF(Y172=0,"",ROUNDUP(Y172/H172,0)*0.00502),"")</f>
        <v>0.29618</v>
      </c>
      <c r="AA172" s="56"/>
      <c r="AB172" s="57"/>
      <c r="AC172" s="219" t="s">
        <v>280</v>
      </c>
      <c r="AG172" s="64"/>
      <c r="AJ172" s="68"/>
      <c r="AK172" s="68">
        <v>0</v>
      </c>
      <c r="BB172" s="220" t="s">
        <v>1</v>
      </c>
      <c r="BM172" s="64">
        <f t="shared" si="27"/>
        <v>130.08333333333334</v>
      </c>
      <c r="BN172" s="64">
        <f t="shared" si="28"/>
        <v>131.57</v>
      </c>
      <c r="BO172" s="64">
        <f t="shared" si="29"/>
        <v>0.2492877492877493</v>
      </c>
      <c r="BP172" s="64">
        <f t="shared" si="30"/>
        <v>0.25213675213675218</v>
      </c>
    </row>
    <row r="173" spans="1:68" ht="27" customHeight="1" x14ac:dyDescent="0.25">
      <c r="A173" s="54" t="s">
        <v>289</v>
      </c>
      <c r="B173" s="54" t="s">
        <v>290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122.5</v>
      </c>
      <c r="Y173" s="592">
        <f t="shared" si="26"/>
        <v>123.9</v>
      </c>
      <c r="Z173" s="36">
        <f>IFERROR(IF(Y173=0,"",ROUNDUP(Y173/H173,0)*0.00502),"")</f>
        <v>0.29618</v>
      </c>
      <c r="AA173" s="56"/>
      <c r="AB173" s="57"/>
      <c r="AC173" s="221" t="s">
        <v>283</v>
      </c>
      <c r="AG173" s="64"/>
      <c r="AJ173" s="68"/>
      <c r="AK173" s="68">
        <v>0</v>
      </c>
      <c r="BB173" s="222" t="s">
        <v>1</v>
      </c>
      <c r="BM173" s="64">
        <f t="shared" si="27"/>
        <v>130.08333333333334</v>
      </c>
      <c r="BN173" s="64">
        <f t="shared" si="28"/>
        <v>131.57</v>
      </c>
      <c r="BO173" s="64">
        <f t="shared" si="29"/>
        <v>0.2492877492877493</v>
      </c>
      <c r="BP173" s="64">
        <f t="shared" si="30"/>
        <v>0.25213675213675218</v>
      </c>
    </row>
    <row r="174" spans="1:68" ht="27" customHeight="1" x14ac:dyDescent="0.25">
      <c r="A174" s="54" t="s">
        <v>291</v>
      </c>
      <c r="B174" s="54" t="s">
        <v>292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3</v>
      </c>
      <c r="Y174" s="592">
        <f t="shared" si="26"/>
        <v>3.6</v>
      </c>
      <c r="Z174" s="36">
        <f>IFERROR(IF(Y174=0,"",ROUNDUP(Y174/H174,0)*0.00502),"")</f>
        <v>1.004E-2</v>
      </c>
      <c r="AA174" s="56"/>
      <c r="AB174" s="57"/>
      <c r="AC174" s="223" t="s">
        <v>293</v>
      </c>
      <c r="AG174" s="64"/>
      <c r="AJ174" s="68"/>
      <c r="AK174" s="68">
        <v>0</v>
      </c>
      <c r="BB174" s="224" t="s">
        <v>1</v>
      </c>
      <c r="BM174" s="64">
        <f t="shared" si="27"/>
        <v>3.2166666666666668</v>
      </c>
      <c r="BN174" s="64">
        <f t="shared" si="28"/>
        <v>3.8599999999999994</v>
      </c>
      <c r="BO174" s="64">
        <f t="shared" si="29"/>
        <v>7.1225071225071226E-3</v>
      </c>
      <c r="BP174" s="64">
        <f t="shared" si="30"/>
        <v>8.5470085470085479E-3</v>
      </c>
    </row>
    <row r="175" spans="1:68" ht="37.5" customHeight="1" x14ac:dyDescent="0.25">
      <c r="A175" s="54" t="s">
        <v>294</v>
      </c>
      <c r="B175" s="54" t="s">
        <v>295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175</v>
      </c>
      <c r="Y175" s="592">
        <f t="shared" si="26"/>
        <v>176.4</v>
      </c>
      <c r="Z175" s="36">
        <f>IFERROR(IF(Y175=0,"",ROUNDUP(Y175/H175,0)*0.00502),"")</f>
        <v>0.42168</v>
      </c>
      <c r="AA175" s="56"/>
      <c r="AB175" s="57"/>
      <c r="AC175" s="225" t="s">
        <v>286</v>
      </c>
      <c r="AG175" s="64"/>
      <c r="AJ175" s="68"/>
      <c r="AK175" s="68">
        <v>0</v>
      </c>
      <c r="BB175" s="226" t="s">
        <v>1</v>
      </c>
      <c r="BM175" s="64">
        <f t="shared" si="27"/>
        <v>183.33333333333334</v>
      </c>
      <c r="BN175" s="64">
        <f t="shared" si="28"/>
        <v>184.8</v>
      </c>
      <c r="BO175" s="64">
        <f t="shared" si="29"/>
        <v>0.35612535612535612</v>
      </c>
      <c r="BP175" s="64">
        <f t="shared" si="30"/>
        <v>0.35897435897435903</v>
      </c>
    </row>
    <row r="176" spans="1:68" ht="27" customHeight="1" x14ac:dyDescent="0.25">
      <c r="A176" s="54" t="s">
        <v>296</v>
      </c>
      <c r="B176" s="54" t="s">
        <v>297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286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298</v>
      </c>
      <c r="B177" s="54" t="s">
        <v>299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300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72</v>
      </c>
      <c r="Q178" s="607"/>
      <c r="R178" s="607"/>
      <c r="S178" s="607"/>
      <c r="T178" s="607"/>
      <c r="U178" s="607"/>
      <c r="V178" s="608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261.1904761904762</v>
      </c>
      <c r="Y178" s="593">
        <f>IFERROR(Y169/H169,"0")+IFERROR(Y170/H170,"0")+IFERROR(Y171/H171,"0")+IFERROR(Y172/H172,"0")+IFERROR(Y173/H173,"0")+IFERROR(Y174/H174,"0")+IFERROR(Y175/H175,"0")+IFERROR(Y176/H176,"0")+IFERROR(Y177/H177,"0")</f>
        <v>265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1.5743000000000003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72</v>
      </c>
      <c r="Q179" s="607"/>
      <c r="R179" s="607"/>
      <c r="S179" s="607"/>
      <c r="T179" s="607"/>
      <c r="U179" s="607"/>
      <c r="V179" s="608"/>
      <c r="W179" s="37" t="s">
        <v>70</v>
      </c>
      <c r="X179" s="593">
        <f>IFERROR(SUM(X169:X177),"0")</f>
        <v>673</v>
      </c>
      <c r="Y179" s="593">
        <f>IFERROR(SUM(Y169:Y177),"0")</f>
        <v>684</v>
      </c>
      <c r="Z179" s="37"/>
      <c r="AA179" s="594"/>
      <c r="AB179" s="594"/>
      <c r="AC179" s="594"/>
    </row>
    <row r="180" spans="1:68" ht="14.25" customHeight="1" x14ac:dyDescent="0.25">
      <c r="A180" s="609" t="s">
        <v>94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301</v>
      </c>
      <c r="B181" s="54" t="s">
        <v>302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303</v>
      </c>
      <c r="L181" s="32"/>
      <c r="M181" s="33" t="s">
        <v>304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3.5</v>
      </c>
      <c r="Y181" s="592">
        <f>IFERROR(IF(X181="",0,CEILING((X181/$H181),1)*$H181),"")</f>
        <v>3.7800000000000002</v>
      </c>
      <c r="Z181" s="36">
        <f>IFERROR(IF(Y181=0,"",ROUNDUP(Y181/H181,0)*0.0059),"")</f>
        <v>1.77E-2</v>
      </c>
      <c r="AA181" s="56"/>
      <c r="AB181" s="57"/>
      <c r="AC181" s="231" t="s">
        <v>305</v>
      </c>
      <c r="AG181" s="64"/>
      <c r="AJ181" s="68"/>
      <c r="AK181" s="68">
        <v>0</v>
      </c>
      <c r="BB181" s="232" t="s">
        <v>1</v>
      </c>
      <c r="BM181" s="64">
        <f>IFERROR(X181*I181/H181,"0")</f>
        <v>4.0277777777777777</v>
      </c>
      <c r="BN181" s="64">
        <f>IFERROR(Y181*I181/H181,"0")</f>
        <v>4.3499999999999996</v>
      </c>
      <c r="BO181" s="64">
        <f>IFERROR(1/J181*(X181/H181),"0")</f>
        <v>1.2860082304526748E-2</v>
      </c>
      <c r="BP181" s="64">
        <f>IFERROR(1/J181*(Y181/H181),"0")</f>
        <v>1.3888888888888888E-2</v>
      </c>
    </row>
    <row r="182" spans="1:68" ht="27" customHeight="1" x14ac:dyDescent="0.25">
      <c r="A182" s="54" t="s">
        <v>306</v>
      </c>
      <c r="B182" s="54" t="s">
        <v>307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303</v>
      </c>
      <c r="L182" s="32"/>
      <c r="M182" s="33" t="s">
        <v>304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3.5</v>
      </c>
      <c r="Y182" s="592">
        <f>IFERROR(IF(X182="",0,CEILING((X182/$H182),1)*$H182),"")</f>
        <v>3.7800000000000002</v>
      </c>
      <c r="Z182" s="36">
        <f>IFERROR(IF(Y182=0,"",ROUNDUP(Y182/H182,0)*0.0059),"")</f>
        <v>1.77E-2</v>
      </c>
      <c r="AA182" s="56"/>
      <c r="AB182" s="57"/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4.0277777777777777</v>
      </c>
      <c r="BN182" s="64">
        <f>IFERROR(Y182*I182/H182,"0")</f>
        <v>4.3499999999999996</v>
      </c>
      <c r="BO182" s="64">
        <f>IFERROR(1/J182*(X182/H182),"0")</f>
        <v>1.2860082304526748E-2</v>
      </c>
      <c r="BP182" s="64">
        <f>IFERROR(1/J182*(Y182/H182),"0")</f>
        <v>1.3888888888888888E-2</v>
      </c>
    </row>
    <row r="183" spans="1:68" ht="27" customHeight="1" x14ac:dyDescent="0.25">
      <c r="A183" s="54" t="s">
        <v>309</v>
      </c>
      <c r="B183" s="54" t="s">
        <v>310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303</v>
      </c>
      <c r="L183" s="32"/>
      <c r="M183" s="33" t="s">
        <v>304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3.5</v>
      </c>
      <c r="Y183" s="592">
        <f>IFERROR(IF(X183="",0,CEILING((X183/$H183),1)*$H183),"")</f>
        <v>3.7800000000000002</v>
      </c>
      <c r="Z183" s="36">
        <f>IFERROR(IF(Y183=0,"",ROUNDUP(Y183/H183,0)*0.0059),"")</f>
        <v>1.77E-2</v>
      </c>
      <c r="AA183" s="56"/>
      <c r="AB183" s="57"/>
      <c r="AC183" s="235" t="s">
        <v>308</v>
      </c>
      <c r="AG183" s="64"/>
      <c r="AJ183" s="68"/>
      <c r="AK183" s="68">
        <v>0</v>
      </c>
      <c r="BB183" s="236" t="s">
        <v>1</v>
      </c>
      <c r="BM183" s="64">
        <f>IFERROR(X183*I183/H183,"0")</f>
        <v>4.0277777777777777</v>
      </c>
      <c r="BN183" s="64">
        <f>IFERROR(Y183*I183/H183,"0")</f>
        <v>4.3499999999999996</v>
      </c>
      <c r="BO183" s="64">
        <f>IFERROR(1/J183*(X183/H183),"0")</f>
        <v>1.2860082304526748E-2</v>
      </c>
      <c r="BP183" s="64">
        <f>IFERROR(1/J183*(Y183/H183),"0")</f>
        <v>1.3888888888888888E-2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72</v>
      </c>
      <c r="Q184" s="607"/>
      <c r="R184" s="607"/>
      <c r="S184" s="607"/>
      <c r="T184" s="607"/>
      <c r="U184" s="607"/>
      <c r="V184" s="608"/>
      <c r="W184" s="37" t="s">
        <v>73</v>
      </c>
      <c r="X184" s="593">
        <f>IFERROR(X181/H181,"0")+IFERROR(X182/H182,"0")+IFERROR(X183/H183,"0")</f>
        <v>8.3333333333333321</v>
      </c>
      <c r="Y184" s="593">
        <f>IFERROR(Y181/H181,"0")+IFERROR(Y182/H182,"0")+IFERROR(Y183/H183,"0")</f>
        <v>9</v>
      </c>
      <c r="Z184" s="593">
        <f>IFERROR(IF(Z181="",0,Z181),"0")+IFERROR(IF(Z182="",0,Z182),"0")+IFERROR(IF(Z183="",0,Z183),"0")</f>
        <v>5.3100000000000001E-2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72</v>
      </c>
      <c r="Q185" s="607"/>
      <c r="R185" s="607"/>
      <c r="S185" s="607"/>
      <c r="T185" s="607"/>
      <c r="U185" s="607"/>
      <c r="V185" s="608"/>
      <c r="W185" s="37" t="s">
        <v>70</v>
      </c>
      <c r="X185" s="593">
        <f>IFERROR(SUM(X181:X183),"0")</f>
        <v>10.5</v>
      </c>
      <c r="Y185" s="593">
        <f>IFERROR(SUM(Y181:Y183),"0")</f>
        <v>11.34</v>
      </c>
      <c r="Z185" s="37"/>
      <c r="AA185" s="594"/>
      <c r="AB185" s="594"/>
      <c r="AC185" s="594"/>
    </row>
    <row r="186" spans="1:68" ht="14.25" customHeight="1" x14ac:dyDescent="0.25">
      <c r="A186" s="609" t="s">
        <v>311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312</v>
      </c>
      <c r="B187" s="54" t="s">
        <v>313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303</v>
      </c>
      <c r="L187" s="32"/>
      <c r="M187" s="33" t="s">
        <v>304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3.5</v>
      </c>
      <c r="Y187" s="592">
        <f>IFERROR(IF(X187="",0,CEILING((X187/$H187),1)*$H187),"")</f>
        <v>3.7800000000000002</v>
      </c>
      <c r="Z187" s="36">
        <f>IFERROR(IF(Y187=0,"",ROUNDUP(Y187/H187,0)*0.0059),"")</f>
        <v>1.77E-2</v>
      </c>
      <c r="AA187" s="56"/>
      <c r="AB187" s="57"/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4.0277777777777777</v>
      </c>
      <c r="BN187" s="64">
        <f>IFERROR(Y187*I187/H187,"0")</f>
        <v>4.3499999999999996</v>
      </c>
      <c r="BO187" s="64">
        <f>IFERROR(1/J187*(X187/H187),"0")</f>
        <v>1.2860082304526748E-2</v>
      </c>
      <c r="BP187" s="64">
        <f>IFERROR(1/J187*(Y187/H187),"0")</f>
        <v>1.3888888888888888E-2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72</v>
      </c>
      <c r="Q188" s="607"/>
      <c r="R188" s="607"/>
      <c r="S188" s="607"/>
      <c r="T188" s="607"/>
      <c r="U188" s="607"/>
      <c r="V188" s="608"/>
      <c r="W188" s="37" t="s">
        <v>73</v>
      </c>
      <c r="X188" s="593">
        <f>IFERROR(X187/H187,"0")</f>
        <v>2.7777777777777777</v>
      </c>
      <c r="Y188" s="593">
        <f>IFERROR(Y187/H187,"0")</f>
        <v>3</v>
      </c>
      <c r="Z188" s="593">
        <f>IFERROR(IF(Z187="",0,Z187),"0")</f>
        <v>1.77E-2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72</v>
      </c>
      <c r="Q189" s="607"/>
      <c r="R189" s="607"/>
      <c r="S189" s="607"/>
      <c r="T189" s="607"/>
      <c r="U189" s="607"/>
      <c r="V189" s="608"/>
      <c r="W189" s="37" t="s">
        <v>70</v>
      </c>
      <c r="X189" s="593">
        <f>IFERROR(SUM(X187:X187),"0")</f>
        <v>3.5</v>
      </c>
      <c r="Y189" s="593">
        <f>IFERROR(SUM(Y187:Y187),"0")</f>
        <v>3.7800000000000002</v>
      </c>
      <c r="Z189" s="37"/>
      <c r="AA189" s="594"/>
      <c r="AB189" s="594"/>
      <c r="AC189" s="594"/>
    </row>
    <row r="190" spans="1:68" ht="16.5" customHeight="1" x14ac:dyDescent="0.25">
      <c r="A190" s="605" t="s">
        <v>314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102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315</v>
      </c>
      <c r="B192" s="54" t="s">
        <v>316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318</v>
      </c>
      <c r="B193" s="54" t="s">
        <v>319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72</v>
      </c>
      <c r="Q194" s="607"/>
      <c r="R194" s="607"/>
      <c r="S194" s="607"/>
      <c r="T194" s="607"/>
      <c r="U194" s="607"/>
      <c r="V194" s="608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72</v>
      </c>
      <c r="Q195" s="607"/>
      <c r="R195" s="607"/>
      <c r="S195" s="607"/>
      <c r="T195" s="607"/>
      <c r="U195" s="607"/>
      <c r="V195" s="608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141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320</v>
      </c>
      <c r="B197" s="54" t="s">
        <v>321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323</v>
      </c>
      <c r="B198" s="54" t="s">
        <v>324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72</v>
      </c>
      <c r="Q199" s="607"/>
      <c r="R199" s="607"/>
      <c r="S199" s="607"/>
      <c r="T199" s="607"/>
      <c r="U199" s="607"/>
      <c r="V199" s="608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72</v>
      </c>
      <c r="Q200" s="607"/>
      <c r="R200" s="607"/>
      <c r="S200" s="607"/>
      <c r="T200" s="607"/>
      <c r="U200" s="607"/>
      <c r="V200" s="608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64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50</v>
      </c>
      <c r="Y202" s="592">
        <f t="shared" ref="Y202:Y209" si="31">IFERROR(IF(X202="",0,CEILING((X202/$H202),1)*$H202),"")</f>
        <v>54</v>
      </c>
      <c r="Z202" s="36">
        <f>IFERROR(IF(Y202=0,"",ROUNDUP(Y202/H202,0)*0.00902),"")</f>
        <v>9.0200000000000002E-2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51.944444444444443</v>
      </c>
      <c r="BN202" s="64">
        <f t="shared" ref="BN202:BN209" si="33">IFERROR(Y202*I202/H202,"0")</f>
        <v>56.099999999999994</v>
      </c>
      <c r="BO202" s="64">
        <f t="shared" ref="BO202:BO209" si="34">IFERROR(1/J202*(X202/H202),"0")</f>
        <v>7.0145903479236812E-2</v>
      </c>
      <c r="BP202" s="64">
        <f t="shared" ref="BP202:BP209" si="35">IFERROR(1/J202*(Y202/H202),"0")</f>
        <v>7.575757575757576E-2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80</v>
      </c>
      <c r="Y203" s="592">
        <f t="shared" si="31"/>
        <v>81</v>
      </c>
      <c r="Z203" s="36">
        <f>IFERROR(IF(Y203=0,"",ROUNDUP(Y203/H203,0)*0.00902),"")</f>
        <v>0.1353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83.111111111111114</v>
      </c>
      <c r="BN203" s="64">
        <f t="shared" si="33"/>
        <v>84.15</v>
      </c>
      <c r="BO203" s="64">
        <f t="shared" si="34"/>
        <v>0.11223344556677889</v>
      </c>
      <c r="BP203" s="64">
        <f t="shared" si="35"/>
        <v>0.11363636363636363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150</v>
      </c>
      <c r="Y204" s="592">
        <f t="shared" si="31"/>
        <v>151.20000000000002</v>
      </c>
      <c r="Z204" s="36">
        <f>IFERROR(IF(Y204=0,"",ROUNDUP(Y204/H204,0)*0.00902),"")</f>
        <v>0.25256000000000001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155.83333333333331</v>
      </c>
      <c r="BN204" s="64">
        <f t="shared" si="33"/>
        <v>157.08000000000001</v>
      </c>
      <c r="BO204" s="64">
        <f t="shared" si="34"/>
        <v>0.21043771043771042</v>
      </c>
      <c r="BP204" s="64">
        <f t="shared" si="35"/>
        <v>0.21212121212121213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100</v>
      </c>
      <c r="Y205" s="592">
        <f t="shared" si="31"/>
        <v>102.60000000000001</v>
      </c>
      <c r="Z205" s="36">
        <f>IFERROR(IF(Y205=0,"",ROUNDUP(Y205/H205,0)*0.00902),"")</f>
        <v>0.17138</v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103.88888888888889</v>
      </c>
      <c r="BN205" s="64">
        <f t="shared" si="33"/>
        <v>106.59000000000002</v>
      </c>
      <c r="BO205" s="64">
        <f t="shared" si="34"/>
        <v>0.14029180695847362</v>
      </c>
      <c r="BP205" s="64">
        <f t="shared" si="35"/>
        <v>0.14393939393939395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60</v>
      </c>
      <c r="Y206" s="592">
        <f t="shared" si="31"/>
        <v>61.2</v>
      </c>
      <c r="Z206" s="36">
        <f>IFERROR(IF(Y206=0,"",ROUNDUP(Y206/H206,0)*0.00502),"")</f>
        <v>0.17068</v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64.333333333333329</v>
      </c>
      <c r="BN206" s="64">
        <f t="shared" si="33"/>
        <v>65.62</v>
      </c>
      <c r="BO206" s="64">
        <f t="shared" si="34"/>
        <v>0.14245014245014248</v>
      </c>
      <c r="BP206" s="64">
        <f t="shared" si="35"/>
        <v>0.14529914529914531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60</v>
      </c>
      <c r="Y207" s="592">
        <f t="shared" si="31"/>
        <v>61.2</v>
      </c>
      <c r="Z207" s="36">
        <f>IFERROR(IF(Y207=0,"",ROUNDUP(Y207/H207,0)*0.00502),"")</f>
        <v>0.17068</v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63.333333333333329</v>
      </c>
      <c r="BN207" s="64">
        <f t="shared" si="33"/>
        <v>64.599999999999994</v>
      </c>
      <c r="BO207" s="64">
        <f t="shared" si="34"/>
        <v>0.14245014245014248</v>
      </c>
      <c r="BP207" s="64">
        <f t="shared" si="35"/>
        <v>0.14529914529914531</v>
      </c>
    </row>
    <row r="208" spans="1:68" ht="27" customHeight="1" x14ac:dyDescent="0.25">
      <c r="A208" s="54" t="s">
        <v>341</v>
      </c>
      <c r="B208" s="54" t="s">
        <v>342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66</v>
      </c>
      <c r="Y208" s="592">
        <f t="shared" si="31"/>
        <v>66.600000000000009</v>
      </c>
      <c r="Z208" s="36">
        <f>IFERROR(IF(Y208=0,"",ROUNDUP(Y208/H208,0)*0.00502),"")</f>
        <v>0.18574000000000002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69.666666666666657</v>
      </c>
      <c r="BN208" s="64">
        <f t="shared" si="33"/>
        <v>70.3</v>
      </c>
      <c r="BO208" s="64">
        <f t="shared" si="34"/>
        <v>0.15669515669515671</v>
      </c>
      <c r="BP208" s="64">
        <f t="shared" si="35"/>
        <v>0.15811965811965817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36</v>
      </c>
      <c r="Y209" s="592">
        <f t="shared" si="31"/>
        <v>36</v>
      </c>
      <c r="Z209" s="36">
        <f>IFERROR(IF(Y209=0,"",ROUNDUP(Y209/H209,0)*0.00502),"")</f>
        <v>0.1004</v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37.999999999999993</v>
      </c>
      <c r="BN209" s="64">
        <f t="shared" si="33"/>
        <v>37.999999999999993</v>
      </c>
      <c r="BO209" s="64">
        <f t="shared" si="34"/>
        <v>8.5470085470085472E-2</v>
      </c>
      <c r="BP209" s="64">
        <f t="shared" si="35"/>
        <v>8.5470085470085472E-2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72</v>
      </c>
      <c r="Q210" s="607"/>
      <c r="R210" s="607"/>
      <c r="S210" s="607"/>
      <c r="T210" s="607"/>
      <c r="U210" s="607"/>
      <c r="V210" s="608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193.7037037037037</v>
      </c>
      <c r="Y210" s="593">
        <f>IFERROR(Y202/H202,"0")+IFERROR(Y203/H203,"0")+IFERROR(Y204/H204,"0")+IFERROR(Y205/H205,"0")+IFERROR(Y206/H206,"0")+IFERROR(Y207/H207,"0")+IFERROR(Y208/H208,"0")+IFERROR(Y209/H209,"0")</f>
        <v>197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1.27694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72</v>
      </c>
      <c r="Q211" s="607"/>
      <c r="R211" s="607"/>
      <c r="S211" s="607"/>
      <c r="T211" s="607"/>
      <c r="U211" s="607"/>
      <c r="V211" s="608"/>
      <c r="W211" s="37" t="s">
        <v>70</v>
      </c>
      <c r="X211" s="593">
        <f>IFERROR(SUM(X202:X209),"0")</f>
        <v>602</v>
      </c>
      <c r="Y211" s="593">
        <f>IFERROR(SUM(Y202:Y209),"0")</f>
        <v>613.80000000000007</v>
      </c>
      <c r="Z211" s="37"/>
      <c r="AA211" s="594"/>
      <c r="AB211" s="594"/>
      <c r="AC211" s="594"/>
    </row>
    <row r="212" spans="1:68" ht="14.25" customHeight="1" x14ac:dyDescent="0.25">
      <c r="A212" s="609" t="s">
        <v>74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345</v>
      </c>
      <c r="B213" s="54" t="s">
        <v>346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120</v>
      </c>
      <c r="Y215" s="592">
        <f t="shared" si="36"/>
        <v>121.79999999999998</v>
      </c>
      <c r="Z215" s="36">
        <f>IFERROR(IF(Y215=0,"",ROUNDUP(Y215/H215,0)*0.01898),"")</f>
        <v>0.26572000000000001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127.15862068965518</v>
      </c>
      <c r="BN215" s="64">
        <f t="shared" si="38"/>
        <v>129.06599999999997</v>
      </c>
      <c r="BO215" s="64">
        <f t="shared" si="39"/>
        <v>0.21551724137931036</v>
      </c>
      <c r="BP215" s="64">
        <f t="shared" si="40"/>
        <v>0.21875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280</v>
      </c>
      <c r="Y216" s="592">
        <f t="shared" si="36"/>
        <v>280.8</v>
      </c>
      <c r="Z216" s="36">
        <f t="shared" ref="Z216:Z221" si="41">IFERROR(IF(Y216=0,"",ROUNDUP(Y216/H216,0)*0.00651),"")</f>
        <v>0.76167000000000007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311.5</v>
      </c>
      <c r="BN216" s="64">
        <f t="shared" si="38"/>
        <v>312.39</v>
      </c>
      <c r="BO216" s="64">
        <f t="shared" si="39"/>
        <v>0.64102564102564108</v>
      </c>
      <c r="BP216" s="64">
        <f t="shared" si="40"/>
        <v>0.64285714285714302</v>
      </c>
    </row>
    <row r="217" spans="1:68" ht="27" customHeight="1" x14ac:dyDescent="0.25">
      <c r="A217" s="54" t="s">
        <v>356</v>
      </c>
      <c r="B217" s="54" t="s">
        <v>357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136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200</v>
      </c>
      <c r="Y218" s="592">
        <f t="shared" si="36"/>
        <v>201.6</v>
      </c>
      <c r="Z218" s="36">
        <f t="shared" si="41"/>
        <v>0.54683999999999999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221</v>
      </c>
      <c r="BN218" s="64">
        <f t="shared" si="38"/>
        <v>222.768</v>
      </c>
      <c r="BO218" s="64">
        <f t="shared" si="39"/>
        <v>0.45787545787545797</v>
      </c>
      <c r="BP218" s="64">
        <f t="shared" si="40"/>
        <v>0.46153846153846156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136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160</v>
      </c>
      <c r="Y220" s="592">
        <f t="shared" si="36"/>
        <v>160.79999999999998</v>
      </c>
      <c r="Z220" s="36">
        <f t="shared" si="41"/>
        <v>0.43617</v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176.80000000000004</v>
      </c>
      <c r="BN220" s="64">
        <f t="shared" si="38"/>
        <v>177.684</v>
      </c>
      <c r="BO220" s="64">
        <f t="shared" si="39"/>
        <v>0.36630036630036633</v>
      </c>
      <c r="BP220" s="64">
        <f t="shared" si="40"/>
        <v>0.36813186813186816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260</v>
      </c>
      <c r="Y221" s="592">
        <f t="shared" si="36"/>
        <v>261.59999999999997</v>
      </c>
      <c r="Z221" s="36">
        <f t="shared" si="41"/>
        <v>0.70959000000000005</v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287.95</v>
      </c>
      <c r="BN221" s="64">
        <f t="shared" si="38"/>
        <v>289.72199999999998</v>
      </c>
      <c r="BO221" s="64">
        <f t="shared" si="39"/>
        <v>0.59523809523809534</v>
      </c>
      <c r="BP221" s="64">
        <f t="shared" si="40"/>
        <v>0.59890109890109888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72</v>
      </c>
      <c r="Q222" s="607"/>
      <c r="R222" s="607"/>
      <c r="S222" s="607"/>
      <c r="T222" s="607"/>
      <c r="U222" s="607"/>
      <c r="V222" s="608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388.79310344827593</v>
      </c>
      <c r="Y222" s="593">
        <f>IFERROR(Y213/H213,"0")+IFERROR(Y214/H214,"0")+IFERROR(Y215/H215,"0")+IFERROR(Y216/H216,"0")+IFERROR(Y217/H217,"0")+IFERROR(Y218/H218,"0")+IFERROR(Y219/H219,"0")+IFERROR(Y220/H220,"0")+IFERROR(Y221/H221,"0")</f>
        <v>391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2.7199900000000001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72</v>
      </c>
      <c r="Q223" s="607"/>
      <c r="R223" s="607"/>
      <c r="S223" s="607"/>
      <c r="T223" s="607"/>
      <c r="U223" s="607"/>
      <c r="V223" s="608"/>
      <c r="W223" s="37" t="s">
        <v>70</v>
      </c>
      <c r="X223" s="593">
        <f>IFERROR(SUM(X213:X221),"0")</f>
        <v>1020</v>
      </c>
      <c r="Y223" s="593">
        <f>IFERROR(SUM(Y213:Y221),"0")</f>
        <v>1026.5999999999999</v>
      </c>
      <c r="Z223" s="37"/>
      <c r="AA223" s="594"/>
      <c r="AB223" s="594"/>
      <c r="AC223" s="594"/>
    </row>
    <row r="224" spans="1:68" ht="14.25" customHeight="1" x14ac:dyDescent="0.25">
      <c r="A224" s="609" t="s">
        <v>176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136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36</v>
      </c>
      <c r="Y225" s="592">
        <f>IFERROR(IF(X225="",0,CEILING((X225/$H225),1)*$H225),"")</f>
        <v>36</v>
      </c>
      <c r="Z225" s="36">
        <f>IFERROR(IF(Y225=0,"",ROUNDUP(Y225/H225,0)*0.00651),"")</f>
        <v>9.7650000000000001E-2</v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39.780000000000008</v>
      </c>
      <c r="BN225" s="64">
        <f>IFERROR(Y225*I225/H225,"0")</f>
        <v>39.780000000000008</v>
      </c>
      <c r="BO225" s="64">
        <f>IFERROR(1/J225*(X225/H225),"0")</f>
        <v>8.241758241758243E-2</v>
      </c>
      <c r="BP225" s="64">
        <f>IFERROR(1/J225*(Y225/H225),"0")</f>
        <v>8.241758241758243E-2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20</v>
      </c>
      <c r="Y226" s="592">
        <f>IFERROR(IF(X226="",0,CEILING((X226/$H226),1)*$H226),"")</f>
        <v>21.599999999999998</v>
      </c>
      <c r="Z226" s="36">
        <f>IFERROR(IF(Y226=0,"",ROUNDUP(Y226/H226,0)*0.00651),"")</f>
        <v>5.8590000000000003E-2</v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22.100000000000005</v>
      </c>
      <c r="BN226" s="64">
        <f>IFERROR(Y226*I226/H226,"0")</f>
        <v>23.868000000000002</v>
      </c>
      <c r="BO226" s="64">
        <f>IFERROR(1/J226*(X226/H226),"0")</f>
        <v>4.5787545787545791E-2</v>
      </c>
      <c r="BP226" s="64">
        <f>IFERROR(1/J226*(Y226/H226),"0")</f>
        <v>4.9450549450549455E-2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72</v>
      </c>
      <c r="Q227" s="607"/>
      <c r="R227" s="607"/>
      <c r="S227" s="607"/>
      <c r="T227" s="607"/>
      <c r="U227" s="607"/>
      <c r="V227" s="608"/>
      <c r="W227" s="37" t="s">
        <v>73</v>
      </c>
      <c r="X227" s="593">
        <f>IFERROR(X225/H225,"0")+IFERROR(X226/H226,"0")</f>
        <v>23.333333333333336</v>
      </c>
      <c r="Y227" s="593">
        <f>IFERROR(Y225/H225,"0")+IFERROR(Y226/H226,"0")</f>
        <v>24</v>
      </c>
      <c r="Z227" s="593">
        <f>IFERROR(IF(Z225="",0,Z225),"0")+IFERROR(IF(Z226="",0,Z226),"0")</f>
        <v>0.15623999999999999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72</v>
      </c>
      <c r="Q228" s="607"/>
      <c r="R228" s="607"/>
      <c r="S228" s="607"/>
      <c r="T228" s="607"/>
      <c r="U228" s="607"/>
      <c r="V228" s="608"/>
      <c r="W228" s="37" t="s">
        <v>70</v>
      </c>
      <c r="X228" s="593">
        <f>IFERROR(SUM(X225:X226),"0")</f>
        <v>56</v>
      </c>
      <c r="Y228" s="593">
        <f>IFERROR(SUM(Y225:Y226),"0")</f>
        <v>57.599999999999994</v>
      </c>
      <c r="Z228" s="37"/>
      <c r="AA228" s="594"/>
      <c r="AB228" s="594"/>
      <c r="AC228" s="594"/>
    </row>
    <row r="229" spans="1:68" ht="16.5" customHeight="1" x14ac:dyDescent="0.25">
      <c r="A229" s="605" t="s">
        <v>375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102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376</v>
      </c>
      <c r="B231" s="54" t="s">
        <v>377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50</v>
      </c>
      <c r="Y231" s="592">
        <f t="shared" ref="Y231:Y238" si="42">IFERROR(IF(X231="",0,CEILING((X231/$H231),1)*$H231),"")</f>
        <v>58</v>
      </c>
      <c r="Z231" s="36">
        <f>IFERROR(IF(Y231=0,"",ROUNDUP(Y231/H231,0)*0.01898),"")</f>
        <v>9.4899999999999998E-2</v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51.875</v>
      </c>
      <c r="BN231" s="64">
        <f t="shared" ref="BN231:BN238" si="44">IFERROR(Y231*I231/H231,"0")</f>
        <v>60.174999999999997</v>
      </c>
      <c r="BO231" s="64">
        <f t="shared" ref="BO231:BO238" si="45">IFERROR(1/J231*(X231/H231),"0")</f>
        <v>6.7349137931034489E-2</v>
      </c>
      <c r="BP231" s="64">
        <f t="shared" ref="BP231:BP238" si="46">IFERROR(1/J231*(Y231/H231),"0")</f>
        <v>7.8125E-2</v>
      </c>
    </row>
    <row r="232" spans="1:68" ht="27" customHeight="1" x14ac:dyDescent="0.25">
      <c r="A232" s="54" t="s">
        <v>376</v>
      </c>
      <c r="B232" s="54" t="s">
        <v>379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380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382</v>
      </c>
      <c r="B233" s="54" t="s">
        <v>383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4301011941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380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385</v>
      </c>
      <c r="B235" s="54" t="s">
        <v>387</v>
      </c>
      <c r="C235" s="31">
        <v>4301011721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80</v>
      </c>
      <c r="Y235" s="592">
        <f t="shared" si="42"/>
        <v>81.2</v>
      </c>
      <c r="Z235" s="36">
        <f>IFERROR(IF(Y235=0,"",ROUNDUP(Y235/H235,0)*0.01898),"")</f>
        <v>0.13286000000000001</v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83</v>
      </c>
      <c r="BN235" s="64">
        <f t="shared" si="44"/>
        <v>84.245000000000005</v>
      </c>
      <c r="BO235" s="64">
        <f t="shared" si="45"/>
        <v>0.10775862068965518</v>
      </c>
      <c r="BP235" s="64">
        <f t="shared" si="46"/>
        <v>0.10937500000000001</v>
      </c>
    </row>
    <row r="236" spans="1:68" ht="27" customHeight="1" x14ac:dyDescent="0.25">
      <c r="A236" s="54" t="s">
        <v>389</v>
      </c>
      <c r="B236" s="54" t="s">
        <v>390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100</v>
      </c>
      <c r="Y236" s="592">
        <f t="shared" si="42"/>
        <v>100</v>
      </c>
      <c r="Z236" s="36">
        <f>IFERROR(IF(Y236=0,"",ROUNDUP(Y236/H236,0)*0.00902),"")</f>
        <v>0.22550000000000001</v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105.25</v>
      </c>
      <c r="BN236" s="64">
        <f t="shared" si="44"/>
        <v>105.25</v>
      </c>
      <c r="BO236" s="64">
        <f t="shared" si="45"/>
        <v>0.18939393939393939</v>
      </c>
      <c r="BP236" s="64">
        <f t="shared" si="46"/>
        <v>0.18939393939393939</v>
      </c>
    </row>
    <row r="237" spans="1:68" ht="27" customHeight="1" x14ac:dyDescent="0.25">
      <c r="A237" s="54" t="s">
        <v>391</v>
      </c>
      <c r="B237" s="54" t="s">
        <v>392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24</v>
      </c>
      <c r="Y238" s="592">
        <f t="shared" si="42"/>
        <v>24</v>
      </c>
      <c r="Z238" s="36">
        <f>IFERROR(IF(Y238=0,"",ROUNDUP(Y238/H238,0)*0.00902),"")</f>
        <v>5.4120000000000001E-2</v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25.259999999999998</v>
      </c>
      <c r="BN238" s="64">
        <f t="shared" si="44"/>
        <v>25.259999999999998</v>
      </c>
      <c r="BO238" s="64">
        <f t="shared" si="45"/>
        <v>4.5454545454545456E-2</v>
      </c>
      <c r="BP238" s="64">
        <f t="shared" si="46"/>
        <v>4.5454545454545456E-2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72</v>
      </c>
      <c r="Q239" s="607"/>
      <c r="R239" s="607"/>
      <c r="S239" s="607"/>
      <c r="T239" s="607"/>
      <c r="U239" s="607"/>
      <c r="V239" s="608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42.206896551724142</v>
      </c>
      <c r="Y239" s="593">
        <f>IFERROR(Y231/H231,"0")+IFERROR(Y232/H232,"0")+IFERROR(Y233/H233,"0")+IFERROR(Y234/H234,"0")+IFERROR(Y235/H235,"0")+IFERROR(Y236/H236,"0")+IFERROR(Y237/H237,"0")+IFERROR(Y238/H238,"0")</f>
        <v>43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0.50737999999999994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72</v>
      </c>
      <c r="Q240" s="607"/>
      <c r="R240" s="607"/>
      <c r="S240" s="607"/>
      <c r="T240" s="607"/>
      <c r="U240" s="607"/>
      <c r="V240" s="608"/>
      <c r="W240" s="37" t="s">
        <v>70</v>
      </c>
      <c r="X240" s="593">
        <f>IFERROR(SUM(X231:X238),"0")</f>
        <v>254</v>
      </c>
      <c r="Y240" s="593">
        <f>IFERROR(SUM(Y231:Y238),"0")</f>
        <v>263.2</v>
      </c>
      <c r="Z240" s="37"/>
      <c r="AA240" s="594"/>
      <c r="AB240" s="594"/>
      <c r="AC240" s="594"/>
    </row>
    <row r="241" spans="1:68" ht="14.25" customHeight="1" x14ac:dyDescent="0.25">
      <c r="A241" s="609" t="s">
        <v>141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395</v>
      </c>
      <c r="B242" s="54" t="s">
        <v>396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395</v>
      </c>
      <c r="B243" s="54" t="s">
        <v>398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72</v>
      </c>
      <c r="Q244" s="607"/>
      <c r="R244" s="607"/>
      <c r="S244" s="607"/>
      <c r="T244" s="607"/>
      <c r="U244" s="607"/>
      <c r="V244" s="608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72</v>
      </c>
      <c r="Q245" s="607"/>
      <c r="R245" s="607"/>
      <c r="S245" s="607"/>
      <c r="T245" s="607"/>
      <c r="U245" s="607"/>
      <c r="V245" s="608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399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400</v>
      </c>
      <c r="B247" s="54" t="s">
        <v>401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303</v>
      </c>
      <c r="L247" s="32"/>
      <c r="M247" s="33" t="s">
        <v>304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402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72</v>
      </c>
      <c r="Q248" s="607"/>
      <c r="R248" s="607"/>
      <c r="S248" s="607"/>
      <c r="T248" s="607"/>
      <c r="U248" s="607"/>
      <c r="V248" s="608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72</v>
      </c>
      <c r="Q249" s="607"/>
      <c r="R249" s="607"/>
      <c r="S249" s="607"/>
      <c r="T249" s="607"/>
      <c r="U249" s="607"/>
      <c r="V249" s="608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403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404</v>
      </c>
      <c r="B251" s="54" t="s">
        <v>405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303</v>
      </c>
      <c r="L251" s="32"/>
      <c r="M251" s="33" t="s">
        <v>304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406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303</v>
      </c>
      <c r="L252" s="32"/>
      <c r="M252" s="33" t="s">
        <v>304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3.5</v>
      </c>
      <c r="Y252" s="592">
        <f>IFERROR(IF(X252="",0,CEILING((X252/$H252),1)*$H252),"")</f>
        <v>4.32</v>
      </c>
      <c r="Z252" s="36">
        <f>IFERROR(IF(Y252=0,"",ROUNDUP(Y252/H252,0)*0.0059),"")</f>
        <v>1.18E-2</v>
      </c>
      <c r="AA252" s="56"/>
      <c r="AB252" s="57"/>
      <c r="AC252" s="309" t="s">
        <v>406</v>
      </c>
      <c r="AG252" s="64"/>
      <c r="AJ252" s="68"/>
      <c r="AK252" s="68">
        <v>0</v>
      </c>
      <c r="BB252" s="310" t="s">
        <v>1</v>
      </c>
      <c r="BM252" s="64">
        <f>IFERROR(X252*I252/H252,"0")</f>
        <v>3.8078703703703698</v>
      </c>
      <c r="BN252" s="64">
        <f>IFERROR(Y252*I252/H252,"0")</f>
        <v>4.7</v>
      </c>
      <c r="BO252" s="64">
        <f>IFERROR(1/J252*(X252/H252),"0")</f>
        <v>7.501714677640603E-3</v>
      </c>
      <c r="BP252" s="64">
        <f>IFERROR(1/J252*(Y252/H252),"0")</f>
        <v>9.2592592592592587E-3</v>
      </c>
    </row>
    <row r="253" spans="1:68" ht="27" customHeight="1" x14ac:dyDescent="0.25">
      <c r="A253" s="54" t="s">
        <v>409</v>
      </c>
      <c r="B253" s="54" t="s">
        <v>410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303</v>
      </c>
      <c r="L253" s="32"/>
      <c r="M253" s="33" t="s">
        <v>304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2.75</v>
      </c>
      <c r="Y253" s="592">
        <f>IFERROR(IF(X253="",0,CEILING((X253/$H253),1)*$H253),"")</f>
        <v>3.6</v>
      </c>
      <c r="Z253" s="36">
        <f>IFERROR(IF(Y253=0,"",ROUNDUP(Y253/H253,0)*0.0059),"")</f>
        <v>2.3599999999999999E-2</v>
      </c>
      <c r="AA253" s="56"/>
      <c r="AB253" s="57"/>
      <c r="AC253" s="311" t="s">
        <v>406</v>
      </c>
      <c r="AG253" s="64"/>
      <c r="AJ253" s="68"/>
      <c r="AK253" s="68">
        <v>0</v>
      </c>
      <c r="BB253" s="312" t="s">
        <v>1</v>
      </c>
      <c r="BM253" s="64">
        <f>IFERROR(X253*I253/H253,"0")</f>
        <v>3.3305555555555557</v>
      </c>
      <c r="BN253" s="64">
        <f>IFERROR(Y253*I253/H253,"0")</f>
        <v>4.3600000000000003</v>
      </c>
      <c r="BO253" s="64">
        <f>IFERROR(1/J253*(X253/H253),"0")</f>
        <v>1.4146090534979422E-2</v>
      </c>
      <c r="BP253" s="64">
        <f>IFERROR(1/J253*(Y253/H253),"0")</f>
        <v>1.8518518518518517E-2</v>
      </c>
    </row>
    <row r="254" spans="1:68" ht="27" customHeight="1" x14ac:dyDescent="0.25">
      <c r="A254" s="54" t="s">
        <v>411</v>
      </c>
      <c r="B254" s="54" t="s">
        <v>412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303</v>
      </c>
      <c r="L254" s="32"/>
      <c r="M254" s="33" t="s">
        <v>304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2.75</v>
      </c>
      <c r="Y254" s="592">
        <f>IFERROR(IF(X254="",0,CEILING((X254/$H254),1)*$H254),"")</f>
        <v>2.9699999999999998</v>
      </c>
      <c r="Z254" s="36">
        <f>IFERROR(IF(Y254=0,"",ROUNDUP(Y254/H254,0)*0.0059),"")</f>
        <v>1.77E-2</v>
      </c>
      <c r="AA254" s="56"/>
      <c r="AB254" s="57"/>
      <c r="AC254" s="313" t="s">
        <v>406</v>
      </c>
      <c r="AG254" s="64"/>
      <c r="AJ254" s="68"/>
      <c r="AK254" s="68">
        <v>0</v>
      </c>
      <c r="BB254" s="314" t="s">
        <v>1</v>
      </c>
      <c r="BM254" s="64">
        <f>IFERROR(X254*I254/H254,"0")</f>
        <v>3.2777777777777777</v>
      </c>
      <c r="BN254" s="64">
        <f>IFERROR(Y254*I254/H254,"0")</f>
        <v>3.5399999999999996</v>
      </c>
      <c r="BO254" s="64">
        <f>IFERROR(1/J254*(X254/H254),"0")</f>
        <v>1.2860082304526748E-2</v>
      </c>
      <c r="BP254" s="64">
        <f>IFERROR(1/J254*(Y254/H254),"0")</f>
        <v>1.3888888888888886E-2</v>
      </c>
    </row>
    <row r="255" spans="1:68" ht="27" customHeight="1" x14ac:dyDescent="0.25">
      <c r="A255" s="54" t="s">
        <v>413</v>
      </c>
      <c r="B255" s="54" t="s">
        <v>414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303</v>
      </c>
      <c r="L255" s="32"/>
      <c r="M255" s="33" t="s">
        <v>304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406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72</v>
      </c>
      <c r="Q256" s="607"/>
      <c r="R256" s="607"/>
      <c r="S256" s="607"/>
      <c r="T256" s="607"/>
      <c r="U256" s="607"/>
      <c r="V256" s="608"/>
      <c r="W256" s="37" t="s">
        <v>73</v>
      </c>
      <c r="X256" s="593">
        <f>IFERROR(X251/H251,"0")+IFERROR(X252/H252,"0")+IFERROR(X253/H253,"0")+IFERROR(X254/H254,"0")+IFERROR(X255/H255,"0")</f>
        <v>7.4537037037037033</v>
      </c>
      <c r="Y256" s="593">
        <f>IFERROR(Y251/H251,"0")+IFERROR(Y252/H252,"0")+IFERROR(Y253/H253,"0")+IFERROR(Y254/H254,"0")+IFERROR(Y255/H255,"0")</f>
        <v>9</v>
      </c>
      <c r="Z256" s="593">
        <f>IFERROR(IF(Z251="",0,Z251),"0")+IFERROR(IF(Z252="",0,Z252),"0")+IFERROR(IF(Z253="",0,Z253),"0")+IFERROR(IF(Z254="",0,Z254),"0")+IFERROR(IF(Z255="",0,Z255),"0")</f>
        <v>5.3100000000000001E-2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72</v>
      </c>
      <c r="Q257" s="607"/>
      <c r="R257" s="607"/>
      <c r="S257" s="607"/>
      <c r="T257" s="607"/>
      <c r="U257" s="607"/>
      <c r="V257" s="608"/>
      <c r="W257" s="37" t="s">
        <v>70</v>
      </c>
      <c r="X257" s="593">
        <f>IFERROR(SUM(X251:X255),"0")</f>
        <v>9</v>
      </c>
      <c r="Y257" s="593">
        <f>IFERROR(SUM(Y251:Y255),"0")</f>
        <v>10.89</v>
      </c>
      <c r="Z257" s="37"/>
      <c r="AA257" s="594"/>
      <c r="AB257" s="594"/>
      <c r="AC257" s="594"/>
    </row>
    <row r="258" spans="1:68" ht="16.5" customHeight="1" x14ac:dyDescent="0.25">
      <c r="A258" s="605" t="s">
        <v>415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102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416</v>
      </c>
      <c r="B260" s="54" t="s">
        <v>417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380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421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419</v>
      </c>
      <c r="B262" s="54" t="s">
        <v>422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423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426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427</v>
      </c>
      <c r="B264" s="54" t="s">
        <v>428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429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430</v>
      </c>
      <c r="B265" s="54" t="s">
        <v>431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432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72</v>
      </c>
      <c r="Q266" s="607"/>
      <c r="R266" s="607"/>
      <c r="S266" s="607"/>
      <c r="T266" s="607"/>
      <c r="U266" s="607"/>
      <c r="V266" s="608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72</v>
      </c>
      <c r="Q267" s="607"/>
      <c r="R267" s="607"/>
      <c r="S267" s="607"/>
      <c r="T267" s="607"/>
      <c r="U267" s="607"/>
      <c r="V267" s="608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433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102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434</v>
      </c>
      <c r="B270" s="54" t="s">
        <v>435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436</v>
      </c>
      <c r="B271" s="54" t="s">
        <v>437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438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439</v>
      </c>
      <c r="B272" s="54" t="s">
        <v>440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441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442</v>
      </c>
      <c r="B273" s="54" t="s">
        <v>443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86" t="s">
        <v>444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445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72</v>
      </c>
      <c r="Q274" s="607"/>
      <c r="R274" s="607"/>
      <c r="S274" s="607"/>
      <c r="T274" s="607"/>
      <c r="U274" s="607"/>
      <c r="V274" s="608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72</v>
      </c>
      <c r="Q275" s="607"/>
      <c r="R275" s="607"/>
      <c r="S275" s="607"/>
      <c r="T275" s="607"/>
      <c r="U275" s="607"/>
      <c r="V275" s="608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446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74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447</v>
      </c>
      <c r="B278" s="54" t="s">
        <v>448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449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450</v>
      </c>
      <c r="B279" s="54" t="s">
        <v>451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136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120</v>
      </c>
      <c r="Y279" s="592">
        <f>IFERROR(IF(X279="",0,CEILING((X279/$H279),1)*$H279),"")</f>
        <v>120</v>
      </c>
      <c r="Z279" s="36">
        <f>IFERROR(IF(Y279=0,"",ROUNDUP(Y279/H279,0)*0.00651),"")</f>
        <v>0.32550000000000001</v>
      </c>
      <c r="AA279" s="56"/>
      <c r="AB279" s="57"/>
      <c r="AC279" s="339" t="s">
        <v>452</v>
      </c>
      <c r="AG279" s="64"/>
      <c r="AJ279" s="68"/>
      <c r="AK279" s="68">
        <v>0</v>
      </c>
      <c r="BB279" s="340" t="s">
        <v>1</v>
      </c>
      <c r="BM279" s="64">
        <f>IFERROR(X279*I279/H279,"0")</f>
        <v>132.60000000000002</v>
      </c>
      <c r="BN279" s="64">
        <f>IFERROR(Y279*I279/H279,"0")</f>
        <v>132.60000000000002</v>
      </c>
      <c r="BO279" s="64">
        <f>IFERROR(1/J279*(X279/H279),"0")</f>
        <v>0.27472527472527475</v>
      </c>
      <c r="BP279" s="64">
        <f>IFERROR(1/J279*(Y279/H279),"0")</f>
        <v>0.27472527472527475</v>
      </c>
    </row>
    <row r="280" spans="1:68" ht="37.5" customHeight="1" x14ac:dyDescent="0.25">
      <c r="A280" s="54" t="s">
        <v>453</v>
      </c>
      <c r="B280" s="54" t="s">
        <v>454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240</v>
      </c>
      <c r="Y280" s="592">
        <f>IFERROR(IF(X280="",0,CEILING((X280/$H280),1)*$H280),"")</f>
        <v>240</v>
      </c>
      <c r="Z280" s="36">
        <f>IFERROR(IF(Y280=0,"",ROUNDUP(Y280/H280,0)*0.00651),"")</f>
        <v>0.65100000000000002</v>
      </c>
      <c r="AA280" s="56"/>
      <c r="AB280" s="57"/>
      <c r="AC280" s="341" t="s">
        <v>455</v>
      </c>
      <c r="AG280" s="64"/>
      <c r="AJ280" s="68" t="s">
        <v>113</v>
      </c>
      <c r="AK280" s="68">
        <v>436.8</v>
      </c>
      <c r="BB280" s="342" t="s">
        <v>1</v>
      </c>
      <c r="BM280" s="64">
        <f>IFERROR(X280*I280/H280,"0")</f>
        <v>258.00000000000006</v>
      </c>
      <c r="BN280" s="64">
        <f>IFERROR(Y280*I280/H280,"0")</f>
        <v>258.00000000000006</v>
      </c>
      <c r="BO280" s="64">
        <f>IFERROR(1/J280*(X280/H280),"0")</f>
        <v>0.5494505494505495</v>
      </c>
      <c r="BP280" s="64">
        <f>IFERROR(1/J280*(Y280/H280),"0")</f>
        <v>0.5494505494505495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72</v>
      </c>
      <c r="Q281" s="607"/>
      <c r="R281" s="607"/>
      <c r="S281" s="607"/>
      <c r="T281" s="607"/>
      <c r="U281" s="607"/>
      <c r="V281" s="608"/>
      <c r="W281" s="37" t="s">
        <v>73</v>
      </c>
      <c r="X281" s="593">
        <f>IFERROR(X278/H278,"0")+IFERROR(X279/H279,"0")+IFERROR(X280/H280,"0")</f>
        <v>150</v>
      </c>
      <c r="Y281" s="593">
        <f>IFERROR(Y278/H278,"0")+IFERROR(Y279/H279,"0")+IFERROR(Y280/H280,"0")</f>
        <v>150</v>
      </c>
      <c r="Z281" s="593">
        <f>IFERROR(IF(Z278="",0,Z278),"0")+IFERROR(IF(Z279="",0,Z279),"0")+IFERROR(IF(Z280="",0,Z280),"0")</f>
        <v>0.97650000000000003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72</v>
      </c>
      <c r="Q282" s="607"/>
      <c r="R282" s="607"/>
      <c r="S282" s="607"/>
      <c r="T282" s="607"/>
      <c r="U282" s="607"/>
      <c r="V282" s="608"/>
      <c r="W282" s="37" t="s">
        <v>70</v>
      </c>
      <c r="X282" s="593">
        <f>IFERROR(SUM(X278:X280),"0")</f>
        <v>360</v>
      </c>
      <c r="Y282" s="593">
        <f>IFERROR(SUM(Y278:Y280),"0")</f>
        <v>360</v>
      </c>
      <c r="Z282" s="37"/>
      <c r="AA282" s="594"/>
      <c r="AB282" s="594"/>
      <c r="AC282" s="594"/>
    </row>
    <row r="283" spans="1:68" ht="16.5" customHeight="1" x14ac:dyDescent="0.25">
      <c r="A283" s="605" t="s">
        <v>456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64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457</v>
      </c>
      <c r="B285" s="54" t="s">
        <v>458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459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72</v>
      </c>
      <c r="Q286" s="607"/>
      <c r="R286" s="607"/>
      <c r="S286" s="607"/>
      <c r="T286" s="607"/>
      <c r="U286" s="607"/>
      <c r="V286" s="608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72</v>
      </c>
      <c r="Q287" s="607"/>
      <c r="R287" s="607"/>
      <c r="S287" s="607"/>
      <c r="T287" s="607"/>
      <c r="U287" s="607"/>
      <c r="V287" s="608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74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460</v>
      </c>
      <c r="B289" s="54" t="s">
        <v>461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462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72</v>
      </c>
      <c r="Q290" s="607"/>
      <c r="R290" s="607"/>
      <c r="S290" s="607"/>
      <c r="T290" s="607"/>
      <c r="U290" s="607"/>
      <c r="V290" s="608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72</v>
      </c>
      <c r="Q291" s="607"/>
      <c r="R291" s="607"/>
      <c r="S291" s="607"/>
      <c r="T291" s="607"/>
      <c r="U291" s="607"/>
      <c r="V291" s="608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463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74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464</v>
      </c>
      <c r="B294" s="54" t="s">
        <v>465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466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72</v>
      </c>
      <c r="Q295" s="607"/>
      <c r="R295" s="607"/>
      <c r="S295" s="607"/>
      <c r="T295" s="607"/>
      <c r="U295" s="607"/>
      <c r="V295" s="608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72</v>
      </c>
      <c r="Q296" s="607"/>
      <c r="R296" s="607"/>
      <c r="S296" s="607"/>
      <c r="T296" s="607"/>
      <c r="U296" s="607"/>
      <c r="V296" s="608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467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64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175</v>
      </c>
      <c r="Y299" s="592">
        <f>IFERROR(IF(X299="",0,CEILING((X299/$H299),1)*$H299),"")</f>
        <v>176.4</v>
      </c>
      <c r="Z299" s="36">
        <f>IFERROR(IF(Y299=0,"",ROUNDUP(Y299/H299,0)*0.00502),"")</f>
        <v>0.42168</v>
      </c>
      <c r="AA299" s="56"/>
      <c r="AB299" s="57"/>
      <c r="AC299" s="349" t="s">
        <v>470</v>
      </c>
      <c r="AG299" s="64"/>
      <c r="AJ299" s="68"/>
      <c r="AK299" s="68">
        <v>0</v>
      </c>
      <c r="BB299" s="350" t="s">
        <v>1</v>
      </c>
      <c r="BM299" s="64">
        <f>IFERROR(X299*I299/H299,"0")</f>
        <v>183.33333333333334</v>
      </c>
      <c r="BN299" s="64">
        <f>IFERROR(Y299*I299/H299,"0")</f>
        <v>184.8</v>
      </c>
      <c r="BO299" s="64">
        <f>IFERROR(1/J299*(X299/H299),"0")</f>
        <v>0.35612535612535612</v>
      </c>
      <c r="BP299" s="64">
        <f>IFERROR(1/J299*(Y299/H299),"0")</f>
        <v>0.35897435897435903</v>
      </c>
    </row>
    <row r="300" spans="1:68" ht="37.5" customHeight="1" x14ac:dyDescent="0.25">
      <c r="A300" s="54" t="s">
        <v>471</v>
      </c>
      <c r="B300" s="54" t="s">
        <v>472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470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72</v>
      </c>
      <c r="Q301" s="607"/>
      <c r="R301" s="607"/>
      <c r="S301" s="607"/>
      <c r="T301" s="607"/>
      <c r="U301" s="607"/>
      <c r="V301" s="608"/>
      <c r="W301" s="37" t="s">
        <v>73</v>
      </c>
      <c r="X301" s="593">
        <f>IFERROR(X299/H299,"0")+IFERROR(X300/H300,"0")</f>
        <v>83.333333333333329</v>
      </c>
      <c r="Y301" s="593">
        <f>IFERROR(Y299/H299,"0")+IFERROR(Y300/H300,"0")</f>
        <v>84</v>
      </c>
      <c r="Z301" s="593">
        <f>IFERROR(IF(Z299="",0,Z299),"0")+IFERROR(IF(Z300="",0,Z300),"0")</f>
        <v>0.42168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72</v>
      </c>
      <c r="Q302" s="607"/>
      <c r="R302" s="607"/>
      <c r="S302" s="607"/>
      <c r="T302" s="607"/>
      <c r="U302" s="607"/>
      <c r="V302" s="608"/>
      <c r="W302" s="37" t="s">
        <v>70</v>
      </c>
      <c r="X302" s="593">
        <f>IFERROR(SUM(X299:X300),"0")</f>
        <v>175</v>
      </c>
      <c r="Y302" s="593">
        <f>IFERROR(SUM(Y299:Y300),"0")</f>
        <v>176.4</v>
      </c>
      <c r="Z302" s="37"/>
      <c r="AA302" s="594"/>
      <c r="AB302" s="594"/>
      <c r="AC302" s="594"/>
    </row>
    <row r="303" spans="1:68" ht="16.5" customHeight="1" x14ac:dyDescent="0.25">
      <c r="A303" s="605" t="s">
        <v>473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102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474</v>
      </c>
      <c r="B305" s="54" t="s">
        <v>475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476</v>
      </c>
      <c r="AB305" s="57"/>
      <c r="AC305" s="353" t="s">
        <v>477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72</v>
      </c>
      <c r="Q306" s="607"/>
      <c r="R306" s="607"/>
      <c r="S306" s="607"/>
      <c r="T306" s="607"/>
      <c r="U306" s="607"/>
      <c r="V306" s="608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72</v>
      </c>
      <c r="Q307" s="607"/>
      <c r="R307" s="607"/>
      <c r="S307" s="607"/>
      <c r="T307" s="607"/>
      <c r="U307" s="607"/>
      <c r="V307" s="608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478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102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479</v>
      </c>
      <c r="B310" s="54" t="s">
        <v>480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481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482</v>
      </c>
      <c r="B311" s="54" t="s">
        <v>483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484</v>
      </c>
      <c r="M311" s="33" t="s">
        <v>112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485</v>
      </c>
      <c r="AG311" s="64"/>
      <c r="AJ311" s="68" t="s">
        <v>486</v>
      </c>
      <c r="AK311" s="68">
        <v>86.4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482</v>
      </c>
      <c r="B312" s="54" t="s">
        <v>487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380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489</v>
      </c>
      <c r="B313" s="54" t="s">
        <v>490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492</v>
      </c>
      <c r="B314" s="54" t="s">
        <v>493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495</v>
      </c>
      <c r="B315" s="54" t="s">
        <v>496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485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72</v>
      </c>
      <c r="Q316" s="607"/>
      <c r="R316" s="607"/>
      <c r="S316" s="607"/>
      <c r="T316" s="607"/>
      <c r="U316" s="607"/>
      <c r="V316" s="608"/>
      <c r="W316" s="37" t="s">
        <v>73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72</v>
      </c>
      <c r="Q317" s="607"/>
      <c r="R317" s="607"/>
      <c r="S317" s="607"/>
      <c r="T317" s="607"/>
      <c r="U317" s="607"/>
      <c r="V317" s="608"/>
      <c r="W317" s="37" t="s">
        <v>70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64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497</v>
      </c>
      <c r="B319" s="54" t="s">
        <v>498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500</v>
      </c>
      <c r="B320" s="54" t="s">
        <v>501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503</v>
      </c>
      <c r="B321" s="54" t="s">
        <v>504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506</v>
      </c>
      <c r="B322" s="54" t="s">
        <v>507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72</v>
      </c>
      <c r="Q323" s="607"/>
      <c r="R323" s="607"/>
      <c r="S323" s="607"/>
      <c r="T323" s="607"/>
      <c r="U323" s="607"/>
      <c r="V323" s="608"/>
      <c r="W323" s="37" t="s">
        <v>73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72</v>
      </c>
      <c r="Q324" s="607"/>
      <c r="R324" s="607"/>
      <c r="S324" s="607"/>
      <c r="T324" s="607"/>
      <c r="U324" s="607"/>
      <c r="V324" s="608"/>
      <c r="W324" s="37" t="s">
        <v>70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74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511</v>
      </c>
      <c r="B327" s="54" t="s">
        <v>512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514</v>
      </c>
      <c r="B328" s="54" t="s">
        <v>515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517</v>
      </c>
      <c r="B329" s="54" t="s">
        <v>518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520</v>
      </c>
      <c r="B330" s="54" t="s">
        <v>521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136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72</v>
      </c>
      <c r="Q331" s="607"/>
      <c r="R331" s="607"/>
      <c r="S331" s="607"/>
      <c r="T331" s="607"/>
      <c r="U331" s="607"/>
      <c r="V331" s="608"/>
      <c r="W331" s="37" t="s">
        <v>73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72</v>
      </c>
      <c r="Q332" s="607"/>
      <c r="R332" s="607"/>
      <c r="S332" s="607"/>
      <c r="T332" s="607"/>
      <c r="U332" s="607"/>
      <c r="V332" s="608"/>
      <c r="W332" s="37" t="s">
        <v>70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176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523</v>
      </c>
      <c r="B334" s="54" t="s">
        <v>524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20</v>
      </c>
      <c r="Y334" s="592">
        <f>IFERROR(IF(X334="",0,CEILING((X334/$H334),1)*$H334),"")</f>
        <v>25.200000000000003</v>
      </c>
      <c r="Z334" s="36">
        <f>IFERROR(IF(Y334=0,"",ROUNDUP(Y334/H334,0)*0.01898),"")</f>
        <v>5.6940000000000004E-2</v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21.235714285714284</v>
      </c>
      <c r="BN334" s="64">
        <f>IFERROR(Y334*I334/H334,"0")</f>
        <v>26.757000000000001</v>
      </c>
      <c r="BO334" s="64">
        <f>IFERROR(1/J334*(X334/H334),"0")</f>
        <v>3.7202380952380952E-2</v>
      </c>
      <c r="BP334" s="64">
        <f>IFERROR(1/J334*(Y334/H334),"0")</f>
        <v>4.6875E-2</v>
      </c>
    </row>
    <row r="335" spans="1:68" ht="27" customHeight="1" x14ac:dyDescent="0.25">
      <c r="A335" s="54" t="s">
        <v>526</v>
      </c>
      <c r="B335" s="54" t="s">
        <v>527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450</v>
      </c>
      <c r="Y335" s="592">
        <f>IFERROR(IF(X335="",0,CEILING((X335/$H335),1)*$H335),"")</f>
        <v>452.4</v>
      </c>
      <c r="Z335" s="36">
        <f>IFERROR(IF(Y335=0,"",ROUNDUP(Y335/H335,0)*0.01898),"")</f>
        <v>1.10084</v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479.94230769230774</v>
      </c>
      <c r="BN335" s="64">
        <f>IFERROR(Y335*I335/H335,"0")</f>
        <v>482.50200000000001</v>
      </c>
      <c r="BO335" s="64">
        <f>IFERROR(1/J335*(X335/H335),"0")</f>
        <v>0.90144230769230771</v>
      </c>
      <c r="BP335" s="64">
        <f>IFERROR(1/J335*(Y335/H335),"0")</f>
        <v>0.90625</v>
      </c>
    </row>
    <row r="336" spans="1:68" ht="16.5" customHeight="1" x14ac:dyDescent="0.25">
      <c r="A336" s="54" t="s">
        <v>529</v>
      </c>
      <c r="B336" s="54" t="s">
        <v>530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136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30</v>
      </c>
      <c r="Y336" s="592">
        <f>IFERROR(IF(X336="",0,CEILING((X336/$H336),1)*$H336),"")</f>
        <v>33.6</v>
      </c>
      <c r="Z336" s="36">
        <f>IFERROR(IF(Y336=0,"",ROUNDUP(Y336/H336,0)*0.01898),"")</f>
        <v>7.5920000000000001E-2</v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31.853571428571428</v>
      </c>
      <c r="BN336" s="64">
        <f>IFERROR(Y336*I336/H336,"0")</f>
        <v>35.676000000000002</v>
      </c>
      <c r="BO336" s="64">
        <f>IFERROR(1/J336*(X336/H336),"0")</f>
        <v>5.5803571428571425E-2</v>
      </c>
      <c r="BP336" s="64">
        <f>IFERROR(1/J336*(Y336/H336),"0")</f>
        <v>6.25E-2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72</v>
      </c>
      <c r="Q337" s="607"/>
      <c r="R337" s="607"/>
      <c r="S337" s="607"/>
      <c r="T337" s="607"/>
      <c r="U337" s="607"/>
      <c r="V337" s="608"/>
      <c r="W337" s="37" t="s">
        <v>73</v>
      </c>
      <c r="X337" s="593">
        <f>IFERROR(X334/H334,"0")+IFERROR(X335/H335,"0")+IFERROR(X336/H336,"0")</f>
        <v>63.644688644688642</v>
      </c>
      <c r="Y337" s="593">
        <f>IFERROR(Y334/H334,"0")+IFERROR(Y335/H335,"0")+IFERROR(Y336/H336,"0")</f>
        <v>65</v>
      </c>
      <c r="Z337" s="593">
        <f>IFERROR(IF(Z334="",0,Z334),"0")+IFERROR(IF(Z335="",0,Z335),"0")+IFERROR(IF(Z336="",0,Z336),"0")</f>
        <v>1.2337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72</v>
      </c>
      <c r="Q338" s="607"/>
      <c r="R338" s="607"/>
      <c r="S338" s="607"/>
      <c r="T338" s="607"/>
      <c r="U338" s="607"/>
      <c r="V338" s="608"/>
      <c r="W338" s="37" t="s">
        <v>70</v>
      </c>
      <c r="X338" s="593">
        <f>IFERROR(SUM(X334:X336),"0")</f>
        <v>500</v>
      </c>
      <c r="Y338" s="593">
        <f>IFERROR(SUM(Y334:Y336),"0")</f>
        <v>511.2</v>
      </c>
      <c r="Z338" s="37"/>
      <c r="AA338" s="594"/>
      <c r="AB338" s="594"/>
      <c r="AC338" s="594"/>
    </row>
    <row r="339" spans="1:68" ht="14.25" customHeight="1" x14ac:dyDescent="0.25">
      <c r="A339" s="609" t="s">
        <v>94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532</v>
      </c>
      <c r="B340" s="54" t="s">
        <v>533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536</v>
      </c>
      <c r="B341" s="54" t="s">
        <v>537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68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540</v>
      </c>
      <c r="B342" s="54" t="s">
        <v>541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17</v>
      </c>
      <c r="Y342" s="592">
        <f>IFERROR(IF(X342="",0,CEILING((X342/$H342),1)*$H342),"")</f>
        <v>17.849999999999998</v>
      </c>
      <c r="Z342" s="36">
        <f>IFERROR(IF(Y342=0,"",ROUNDUP(Y342/H342,0)*0.00651),"")</f>
        <v>4.5569999999999999E-2</v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19.700000000000003</v>
      </c>
      <c r="BN342" s="64">
        <f>IFERROR(Y342*I342/H342,"0")</f>
        <v>20.684999999999999</v>
      </c>
      <c r="BO342" s="64">
        <f>IFERROR(1/J342*(X342/H342),"0")</f>
        <v>3.6630036630036632E-2</v>
      </c>
      <c r="BP342" s="64">
        <f>IFERROR(1/J342*(Y342/H342),"0")</f>
        <v>3.8461538461538464E-2</v>
      </c>
    </row>
    <row r="343" spans="1:68" ht="27" customHeight="1" x14ac:dyDescent="0.25">
      <c r="A343" s="54" t="s">
        <v>543</v>
      </c>
      <c r="B343" s="54" t="s">
        <v>544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72</v>
      </c>
      <c r="Q344" s="607"/>
      <c r="R344" s="607"/>
      <c r="S344" s="607"/>
      <c r="T344" s="607"/>
      <c r="U344" s="607"/>
      <c r="V344" s="608"/>
      <c r="W344" s="37" t="s">
        <v>73</v>
      </c>
      <c r="X344" s="593">
        <f>IFERROR(X340/H340,"0")+IFERROR(X341/H341,"0")+IFERROR(X342/H342,"0")+IFERROR(X343/H343,"0")</f>
        <v>6.666666666666667</v>
      </c>
      <c r="Y344" s="593">
        <f>IFERROR(Y340/H340,"0")+IFERROR(Y341/H341,"0")+IFERROR(Y342/H342,"0")+IFERROR(Y343/H343,"0")</f>
        <v>7</v>
      </c>
      <c r="Z344" s="593">
        <f>IFERROR(IF(Z340="",0,Z340),"0")+IFERROR(IF(Z341="",0,Z341),"0")+IFERROR(IF(Z342="",0,Z342),"0")+IFERROR(IF(Z343="",0,Z343),"0")</f>
        <v>4.5569999999999999E-2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72</v>
      </c>
      <c r="Q345" s="607"/>
      <c r="R345" s="607"/>
      <c r="S345" s="607"/>
      <c r="T345" s="607"/>
      <c r="U345" s="607"/>
      <c r="V345" s="608"/>
      <c r="W345" s="37" t="s">
        <v>70</v>
      </c>
      <c r="X345" s="593">
        <f>IFERROR(SUM(X340:X343),"0")</f>
        <v>17</v>
      </c>
      <c r="Y345" s="593">
        <f>IFERROR(SUM(Y340:Y343),"0")</f>
        <v>17.849999999999998</v>
      </c>
      <c r="Z345" s="37"/>
      <c r="AA345" s="594"/>
      <c r="AB345" s="594"/>
      <c r="AC345" s="594"/>
    </row>
    <row r="346" spans="1:68" ht="14.25" customHeight="1" x14ac:dyDescent="0.25">
      <c r="A346" s="609" t="s">
        <v>545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546</v>
      </c>
      <c r="B347" s="54" t="s">
        <v>547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552</v>
      </c>
      <c r="B349" s="54" t="s">
        <v>553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72</v>
      </c>
      <c r="Q350" s="607"/>
      <c r="R350" s="607"/>
      <c r="S350" s="607"/>
      <c r="T350" s="607"/>
      <c r="U350" s="607"/>
      <c r="V350" s="608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72</v>
      </c>
      <c r="Q351" s="607"/>
      <c r="R351" s="607"/>
      <c r="S351" s="607"/>
      <c r="T351" s="607"/>
      <c r="U351" s="607"/>
      <c r="V351" s="608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554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64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555</v>
      </c>
      <c r="B354" s="54" t="s">
        <v>556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72</v>
      </c>
      <c r="Q355" s="607"/>
      <c r="R355" s="607"/>
      <c r="S355" s="607"/>
      <c r="T355" s="607"/>
      <c r="U355" s="607"/>
      <c r="V355" s="608"/>
      <c r="W355" s="37" t="s">
        <v>73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72</v>
      </c>
      <c r="Q356" s="607"/>
      <c r="R356" s="607"/>
      <c r="S356" s="607"/>
      <c r="T356" s="607"/>
      <c r="U356" s="607"/>
      <c r="V356" s="608"/>
      <c r="W356" s="37" t="s">
        <v>70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74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558</v>
      </c>
      <c r="B358" s="54" t="s">
        <v>559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136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630</v>
      </c>
      <c r="Y359" s="592">
        <f>IFERROR(IF(X359="",0,CEILING((X359/$H359),1)*$H359),"")</f>
        <v>630</v>
      </c>
      <c r="Z359" s="36">
        <f>IFERROR(IF(Y359=0,"",ROUNDUP(Y359/H359,0)*0.00651),"")</f>
        <v>1.9530000000000001</v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705.59999999999991</v>
      </c>
      <c r="BN359" s="64">
        <f>IFERROR(Y359*I359/H359,"0")</f>
        <v>705.59999999999991</v>
      </c>
      <c r="BO359" s="64">
        <f>IFERROR(1/J359*(X359/H359),"0")</f>
        <v>1.6483516483516485</v>
      </c>
      <c r="BP359" s="64">
        <f>IFERROR(1/J359*(Y359/H359),"0")</f>
        <v>1.6483516483516485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136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595</v>
      </c>
      <c r="Y360" s="592">
        <f>IFERROR(IF(X360="",0,CEILING((X360/$H360),1)*$H360),"")</f>
        <v>596.4</v>
      </c>
      <c r="Z360" s="36">
        <f>IFERROR(IF(Y360=0,"",ROUNDUP(Y360/H360,0)*0.00651),"")</f>
        <v>1.84884</v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663</v>
      </c>
      <c r="BN360" s="64">
        <f>IFERROR(Y360*I360/H360,"0")</f>
        <v>664.55999999999983</v>
      </c>
      <c r="BO360" s="64">
        <f>IFERROR(1/J360*(X360/H360),"0")</f>
        <v>1.5567765567765568</v>
      </c>
      <c r="BP360" s="64">
        <f>IFERROR(1/J360*(Y360/H360),"0")</f>
        <v>1.5604395604395607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72</v>
      </c>
      <c r="Q361" s="607"/>
      <c r="R361" s="607"/>
      <c r="S361" s="607"/>
      <c r="T361" s="607"/>
      <c r="U361" s="607"/>
      <c r="V361" s="608"/>
      <c r="W361" s="37" t="s">
        <v>73</v>
      </c>
      <c r="X361" s="593">
        <f>IFERROR(X358/H358,"0")+IFERROR(X359/H359,"0")+IFERROR(X360/H360,"0")</f>
        <v>583.33333333333326</v>
      </c>
      <c r="Y361" s="593">
        <f>IFERROR(Y358/H358,"0")+IFERROR(Y359/H359,"0")+IFERROR(Y360/H360,"0")</f>
        <v>584</v>
      </c>
      <c r="Z361" s="593">
        <f>IFERROR(IF(Z358="",0,Z358),"0")+IFERROR(IF(Z359="",0,Z359),"0")+IFERROR(IF(Z360="",0,Z360),"0")</f>
        <v>3.8018400000000003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72</v>
      </c>
      <c r="Q362" s="607"/>
      <c r="R362" s="607"/>
      <c r="S362" s="607"/>
      <c r="T362" s="607"/>
      <c r="U362" s="607"/>
      <c r="V362" s="608"/>
      <c r="W362" s="37" t="s">
        <v>70</v>
      </c>
      <c r="X362" s="593">
        <f>IFERROR(SUM(X358:X360),"0")</f>
        <v>1225</v>
      </c>
      <c r="Y362" s="593">
        <f>IFERROR(SUM(Y358:Y360),"0")</f>
        <v>1226.4000000000001</v>
      </c>
      <c r="Z362" s="37"/>
      <c r="AA362" s="594"/>
      <c r="AB362" s="594"/>
      <c r="AC362" s="594"/>
    </row>
    <row r="363" spans="1:68" ht="27.75" customHeight="1" x14ac:dyDescent="0.2">
      <c r="A363" s="614" t="s">
        <v>567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568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102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111</v>
      </c>
      <c r="M366" s="33" t="s">
        <v>68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1200</v>
      </c>
      <c r="Y366" s="592">
        <f t="shared" ref="Y366:Y372" si="57">IFERROR(IF(X366="",0,CEILING((X366/$H366),1)*$H366),"")</f>
        <v>1200</v>
      </c>
      <c r="Z366" s="36">
        <f>IFERROR(IF(Y366=0,"",ROUNDUP(Y366/H366,0)*0.02175),"")</f>
        <v>1.7399999999999998</v>
      </c>
      <c r="AA366" s="56"/>
      <c r="AB366" s="57"/>
      <c r="AC366" s="413" t="s">
        <v>571</v>
      </c>
      <c r="AG366" s="64"/>
      <c r="AJ366" s="68" t="s">
        <v>113</v>
      </c>
      <c r="AK366" s="68">
        <v>720</v>
      </c>
      <c r="BB366" s="414" t="s">
        <v>1</v>
      </c>
      <c r="BM366" s="64">
        <f t="shared" ref="BM366:BM372" si="58">IFERROR(X366*I366/H366,"0")</f>
        <v>1238.4000000000001</v>
      </c>
      <c r="BN366" s="64">
        <f t="shared" ref="BN366:BN372" si="59">IFERROR(Y366*I366/H366,"0")</f>
        <v>1238.4000000000001</v>
      </c>
      <c r="BO366" s="64">
        <f t="shared" ref="BO366:BO372" si="60">IFERROR(1/J366*(X366/H366),"0")</f>
        <v>1.6666666666666665</v>
      </c>
      <c r="BP366" s="64">
        <f t="shared" ref="BP366:BP372" si="61">IFERROR(1/J366*(Y366/H366),"0")</f>
        <v>1.6666666666666665</v>
      </c>
    </row>
    <row r="367" spans="1:68" ht="27" customHeight="1" x14ac:dyDescent="0.25">
      <c r="A367" s="54" t="s">
        <v>572</v>
      </c>
      <c r="B367" s="54" t="s">
        <v>573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111</v>
      </c>
      <c r="M367" s="33" t="s">
        <v>68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1100</v>
      </c>
      <c r="Y367" s="592">
        <f t="shared" si="57"/>
        <v>1110</v>
      </c>
      <c r="Z367" s="36">
        <f>IFERROR(IF(Y367=0,"",ROUNDUP(Y367/H367,0)*0.02175),"")</f>
        <v>1.6094999999999999</v>
      </c>
      <c r="AA367" s="56"/>
      <c r="AB367" s="57"/>
      <c r="AC367" s="415" t="s">
        <v>574</v>
      </c>
      <c r="AG367" s="64"/>
      <c r="AJ367" s="68" t="s">
        <v>113</v>
      </c>
      <c r="AK367" s="68">
        <v>720</v>
      </c>
      <c r="BB367" s="416" t="s">
        <v>1</v>
      </c>
      <c r="BM367" s="64">
        <f t="shared" si="58"/>
        <v>1135.2</v>
      </c>
      <c r="BN367" s="64">
        <f t="shared" si="59"/>
        <v>1145.52</v>
      </c>
      <c r="BO367" s="64">
        <f t="shared" si="60"/>
        <v>1.5277777777777777</v>
      </c>
      <c r="BP367" s="64">
        <f t="shared" si="61"/>
        <v>1.5416666666666665</v>
      </c>
    </row>
    <row r="368" spans="1:68" ht="37.5" customHeight="1" x14ac:dyDescent="0.25">
      <c r="A368" s="54" t="s">
        <v>575</v>
      </c>
      <c r="B368" s="54" t="s">
        <v>576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111</v>
      </c>
      <c r="M368" s="33" t="s">
        <v>68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577</v>
      </c>
      <c r="AG368" s="64"/>
      <c r="AJ368" s="68" t="s">
        <v>113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136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220</v>
      </c>
      <c r="Y369" s="592">
        <f t="shared" si="57"/>
        <v>225</v>
      </c>
      <c r="Z369" s="36">
        <f>IFERROR(IF(Y369=0,"",ROUNDUP(Y369/H369,0)*0.02175),"")</f>
        <v>0.32624999999999998</v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227.04</v>
      </c>
      <c r="BN369" s="64">
        <f t="shared" si="59"/>
        <v>232.2</v>
      </c>
      <c r="BO369" s="64">
        <f t="shared" si="60"/>
        <v>0.30555555555555552</v>
      </c>
      <c r="BP369" s="64">
        <f t="shared" si="61"/>
        <v>0.3125</v>
      </c>
    </row>
    <row r="370" spans="1:68" ht="27" customHeight="1" x14ac:dyDescent="0.25">
      <c r="A370" s="54" t="s">
        <v>581</v>
      </c>
      <c r="B370" s="54" t="s">
        <v>582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586</v>
      </c>
      <c r="B372" s="54" t="s">
        <v>587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72</v>
      </c>
      <c r="Q373" s="607"/>
      <c r="R373" s="607"/>
      <c r="S373" s="607"/>
      <c r="T373" s="607"/>
      <c r="U373" s="607"/>
      <c r="V373" s="608"/>
      <c r="W373" s="37" t="s">
        <v>73</v>
      </c>
      <c r="X373" s="593">
        <f>IFERROR(X366/H366,"0")+IFERROR(X367/H367,"0")+IFERROR(X368/H368,"0")+IFERROR(X369/H369,"0")+IFERROR(X370/H370,"0")+IFERROR(X371/H371,"0")+IFERROR(X372/H372,"0")</f>
        <v>167.99999999999997</v>
      </c>
      <c r="Y373" s="593">
        <f>IFERROR(Y366/H366,"0")+IFERROR(Y367/H367,"0")+IFERROR(Y368/H368,"0")+IFERROR(Y369/H369,"0")+IFERROR(Y370/H370,"0")+IFERROR(Y371/H371,"0")+IFERROR(Y372/H372,"0")</f>
        <v>169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3.6757499999999999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72</v>
      </c>
      <c r="Q374" s="607"/>
      <c r="R374" s="607"/>
      <c r="S374" s="607"/>
      <c r="T374" s="607"/>
      <c r="U374" s="607"/>
      <c r="V374" s="608"/>
      <c r="W374" s="37" t="s">
        <v>70</v>
      </c>
      <c r="X374" s="593">
        <f>IFERROR(SUM(X366:X372),"0")</f>
        <v>2520</v>
      </c>
      <c r="Y374" s="593">
        <f>IFERROR(SUM(Y366:Y372),"0")</f>
        <v>2535</v>
      </c>
      <c r="Z374" s="37"/>
      <c r="AA374" s="594"/>
      <c r="AB374" s="594"/>
      <c r="AC374" s="594"/>
    </row>
    <row r="375" spans="1:68" ht="14.25" customHeight="1" x14ac:dyDescent="0.25">
      <c r="A375" s="609" t="s">
        <v>141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111</v>
      </c>
      <c r="M376" s="33" t="s">
        <v>106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800</v>
      </c>
      <c r="Y376" s="592">
        <f>IFERROR(IF(X376="",0,CEILING((X376/$H376),1)*$H376),"")</f>
        <v>810</v>
      </c>
      <c r="Z376" s="36">
        <f>IFERROR(IF(Y376=0,"",ROUNDUP(Y376/H376,0)*0.02175),"")</f>
        <v>1.1744999999999999</v>
      </c>
      <c r="AA376" s="56"/>
      <c r="AB376" s="57"/>
      <c r="AC376" s="427" t="s">
        <v>590</v>
      </c>
      <c r="AG376" s="64"/>
      <c r="AJ376" s="68" t="s">
        <v>113</v>
      </c>
      <c r="AK376" s="68">
        <v>720</v>
      </c>
      <c r="BB376" s="428" t="s">
        <v>1</v>
      </c>
      <c r="BM376" s="64">
        <f>IFERROR(X376*I376/H376,"0")</f>
        <v>825.6</v>
      </c>
      <c r="BN376" s="64">
        <f>IFERROR(Y376*I376/H376,"0")</f>
        <v>835.92000000000007</v>
      </c>
      <c r="BO376" s="64">
        <f>IFERROR(1/J376*(X376/H376),"0")</f>
        <v>1.1111111111111112</v>
      </c>
      <c r="BP376" s="64">
        <f>IFERROR(1/J376*(Y376/H376),"0")</f>
        <v>1.125</v>
      </c>
    </row>
    <row r="377" spans="1:68" ht="16.5" customHeight="1" x14ac:dyDescent="0.25">
      <c r="A377" s="54" t="s">
        <v>591</v>
      </c>
      <c r="B377" s="54" t="s">
        <v>592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4</v>
      </c>
      <c r="Y377" s="592">
        <f>IFERROR(IF(X377="",0,CEILING((X377/$H377),1)*$H377),"")</f>
        <v>4</v>
      </c>
      <c r="Z377" s="36">
        <f>IFERROR(IF(Y377=0,"",ROUNDUP(Y377/H377,0)*0.00902),"")</f>
        <v>9.0200000000000002E-3</v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4.21</v>
      </c>
      <c r="BN377" s="64">
        <f>IFERROR(Y377*I377/H377,"0")</f>
        <v>4.21</v>
      </c>
      <c r="BO377" s="64">
        <f>IFERROR(1/J377*(X377/H377),"0")</f>
        <v>7.575757575757576E-3</v>
      </c>
      <c r="BP377" s="64">
        <f>IFERROR(1/J377*(Y377/H377),"0")</f>
        <v>7.575757575757576E-3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72</v>
      </c>
      <c r="Q378" s="607"/>
      <c r="R378" s="607"/>
      <c r="S378" s="607"/>
      <c r="T378" s="607"/>
      <c r="U378" s="607"/>
      <c r="V378" s="608"/>
      <c r="W378" s="37" t="s">
        <v>73</v>
      </c>
      <c r="X378" s="593">
        <f>IFERROR(X376/H376,"0")+IFERROR(X377/H377,"0")</f>
        <v>54.333333333333336</v>
      </c>
      <c r="Y378" s="593">
        <f>IFERROR(Y376/H376,"0")+IFERROR(Y377/H377,"0")</f>
        <v>55</v>
      </c>
      <c r="Z378" s="593">
        <f>IFERROR(IF(Z376="",0,Z376),"0")+IFERROR(IF(Z377="",0,Z377),"0")</f>
        <v>1.1835199999999999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72</v>
      </c>
      <c r="Q379" s="607"/>
      <c r="R379" s="607"/>
      <c r="S379" s="607"/>
      <c r="T379" s="607"/>
      <c r="U379" s="607"/>
      <c r="V379" s="608"/>
      <c r="W379" s="37" t="s">
        <v>70</v>
      </c>
      <c r="X379" s="593">
        <f>IFERROR(SUM(X376:X377),"0")</f>
        <v>804</v>
      </c>
      <c r="Y379" s="593">
        <f>IFERROR(SUM(Y376:Y377),"0")</f>
        <v>814</v>
      </c>
      <c r="Z379" s="37"/>
      <c r="AA379" s="594"/>
      <c r="AB379" s="594"/>
      <c r="AC379" s="594"/>
    </row>
    <row r="380" spans="1:68" ht="14.25" customHeight="1" x14ac:dyDescent="0.25">
      <c r="A380" s="609" t="s">
        <v>74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593</v>
      </c>
      <c r="B381" s="54" t="s">
        <v>594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596</v>
      </c>
      <c r="B382" s="54" t="s">
        <v>597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40</v>
      </c>
      <c r="Y382" s="592">
        <f>IFERROR(IF(X382="",0,CEILING((X382/$H382),1)*$H382),"")</f>
        <v>45</v>
      </c>
      <c r="Z382" s="36">
        <f>IFERROR(IF(Y382=0,"",ROUNDUP(Y382/H382,0)*0.01898),"")</f>
        <v>9.4899999999999998E-2</v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42.306666666666665</v>
      </c>
      <c r="BN382" s="64">
        <f>IFERROR(Y382*I382/H382,"0")</f>
        <v>47.594999999999999</v>
      </c>
      <c r="BO382" s="64">
        <f>IFERROR(1/J382*(X382/H382),"0")</f>
        <v>6.9444444444444448E-2</v>
      </c>
      <c r="BP382" s="64">
        <f>IFERROR(1/J382*(Y382/H382),"0")</f>
        <v>7.8125E-2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72</v>
      </c>
      <c r="Q383" s="607"/>
      <c r="R383" s="607"/>
      <c r="S383" s="607"/>
      <c r="T383" s="607"/>
      <c r="U383" s="607"/>
      <c r="V383" s="608"/>
      <c r="W383" s="37" t="s">
        <v>73</v>
      </c>
      <c r="X383" s="593">
        <f>IFERROR(X381/H381,"0")+IFERROR(X382/H382,"0")</f>
        <v>4.4444444444444446</v>
      </c>
      <c r="Y383" s="593">
        <f>IFERROR(Y381/H381,"0")+IFERROR(Y382/H382,"0")</f>
        <v>5</v>
      </c>
      <c r="Z383" s="593">
        <f>IFERROR(IF(Z381="",0,Z381),"0")+IFERROR(IF(Z382="",0,Z382),"0")</f>
        <v>9.4899999999999998E-2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72</v>
      </c>
      <c r="Q384" s="607"/>
      <c r="R384" s="607"/>
      <c r="S384" s="607"/>
      <c r="T384" s="607"/>
      <c r="U384" s="607"/>
      <c r="V384" s="608"/>
      <c r="W384" s="37" t="s">
        <v>70</v>
      </c>
      <c r="X384" s="593">
        <f>IFERROR(SUM(X381:X382),"0")</f>
        <v>40</v>
      </c>
      <c r="Y384" s="593">
        <f>IFERROR(SUM(Y381:Y382),"0")</f>
        <v>45</v>
      </c>
      <c r="Z384" s="37"/>
      <c r="AA384" s="594"/>
      <c r="AB384" s="594"/>
      <c r="AC384" s="594"/>
    </row>
    <row r="385" spans="1:68" ht="14.25" customHeight="1" x14ac:dyDescent="0.25">
      <c r="A385" s="609" t="s">
        <v>176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599</v>
      </c>
      <c r="B386" s="54" t="s">
        <v>600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20</v>
      </c>
      <c r="Y386" s="592">
        <f>IFERROR(IF(X386="",0,CEILING((X386/$H386),1)*$H386),"")</f>
        <v>27</v>
      </c>
      <c r="Z386" s="36">
        <f>IFERROR(IF(Y386=0,"",ROUNDUP(Y386/H386,0)*0.01898),"")</f>
        <v>5.6940000000000004E-2</v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21.153333333333332</v>
      </c>
      <c r="BN386" s="64">
        <f>IFERROR(Y386*I386/H386,"0")</f>
        <v>28.556999999999999</v>
      </c>
      <c r="BO386" s="64">
        <f>IFERROR(1/J386*(X386/H386),"0")</f>
        <v>3.4722222222222224E-2</v>
      </c>
      <c r="BP386" s="64">
        <f>IFERROR(1/J386*(Y386/H386),"0")</f>
        <v>4.6875E-2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72</v>
      </c>
      <c r="Q387" s="607"/>
      <c r="R387" s="607"/>
      <c r="S387" s="607"/>
      <c r="T387" s="607"/>
      <c r="U387" s="607"/>
      <c r="V387" s="608"/>
      <c r="W387" s="37" t="s">
        <v>73</v>
      </c>
      <c r="X387" s="593">
        <f>IFERROR(X386/H386,"0")</f>
        <v>2.2222222222222223</v>
      </c>
      <c r="Y387" s="593">
        <f>IFERROR(Y386/H386,"0")</f>
        <v>3</v>
      </c>
      <c r="Z387" s="593">
        <f>IFERROR(IF(Z386="",0,Z386),"0")</f>
        <v>5.6940000000000004E-2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72</v>
      </c>
      <c r="Q388" s="607"/>
      <c r="R388" s="607"/>
      <c r="S388" s="607"/>
      <c r="T388" s="607"/>
      <c r="U388" s="607"/>
      <c r="V388" s="608"/>
      <c r="W388" s="37" t="s">
        <v>70</v>
      </c>
      <c r="X388" s="593">
        <f>IFERROR(SUM(X386:X386),"0")</f>
        <v>20</v>
      </c>
      <c r="Y388" s="593">
        <f>IFERROR(SUM(Y386:Y386),"0")</f>
        <v>27</v>
      </c>
      <c r="Z388" s="37"/>
      <c r="AA388" s="594"/>
      <c r="AB388" s="594"/>
      <c r="AC388" s="594"/>
    </row>
    <row r="389" spans="1:68" ht="16.5" customHeight="1" x14ac:dyDescent="0.25">
      <c r="A389" s="605" t="s">
        <v>602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102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603</v>
      </c>
      <c r="B391" s="54" t="s">
        <v>604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606</v>
      </c>
      <c r="B392" s="54" t="s">
        <v>607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609</v>
      </c>
      <c r="B393" s="54" t="s">
        <v>610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50</v>
      </c>
      <c r="Y393" s="592">
        <f>IFERROR(IF(X393="",0,CEILING((X393/$H393),1)*$H393),"")</f>
        <v>60</v>
      </c>
      <c r="Z393" s="36">
        <f>IFERROR(IF(Y393=0,"",ROUNDUP(Y393/H393,0)*0.01898),"")</f>
        <v>9.4899999999999998E-2</v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51.8125</v>
      </c>
      <c r="BN393" s="64">
        <f>IFERROR(Y393*I393/H393,"0")</f>
        <v>62.175000000000004</v>
      </c>
      <c r="BO393" s="64">
        <f>IFERROR(1/J393*(X393/H393),"0")</f>
        <v>6.5104166666666671E-2</v>
      </c>
      <c r="BP393" s="64">
        <f>IFERROR(1/J393*(Y393/H393),"0")</f>
        <v>7.8125E-2</v>
      </c>
    </row>
    <row r="394" spans="1:68" ht="37.5" customHeight="1" x14ac:dyDescent="0.25">
      <c r="A394" s="54" t="s">
        <v>611</v>
      </c>
      <c r="B394" s="54" t="s">
        <v>612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72</v>
      </c>
      <c r="Q395" s="607"/>
      <c r="R395" s="607"/>
      <c r="S395" s="607"/>
      <c r="T395" s="607"/>
      <c r="U395" s="607"/>
      <c r="V395" s="608"/>
      <c r="W395" s="37" t="s">
        <v>73</v>
      </c>
      <c r="X395" s="593">
        <f>IFERROR(X391/H391,"0")+IFERROR(X392/H392,"0")+IFERROR(X393/H393,"0")+IFERROR(X394/H394,"0")</f>
        <v>4.166666666666667</v>
      </c>
      <c r="Y395" s="593">
        <f>IFERROR(Y391/H391,"0")+IFERROR(Y392/H392,"0")+IFERROR(Y393/H393,"0")+IFERROR(Y394/H394,"0")</f>
        <v>5</v>
      </c>
      <c r="Z395" s="593">
        <f>IFERROR(IF(Z391="",0,Z391),"0")+IFERROR(IF(Z392="",0,Z392),"0")+IFERROR(IF(Z393="",0,Z393),"0")+IFERROR(IF(Z394="",0,Z394),"0")</f>
        <v>9.4899999999999998E-2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72</v>
      </c>
      <c r="Q396" s="607"/>
      <c r="R396" s="607"/>
      <c r="S396" s="607"/>
      <c r="T396" s="607"/>
      <c r="U396" s="607"/>
      <c r="V396" s="608"/>
      <c r="W396" s="37" t="s">
        <v>70</v>
      </c>
      <c r="X396" s="593">
        <f>IFERROR(SUM(X391:X394),"0")</f>
        <v>50</v>
      </c>
      <c r="Y396" s="593">
        <f>IFERROR(SUM(Y391:Y394),"0")</f>
        <v>60</v>
      </c>
      <c r="Z396" s="37"/>
      <c r="AA396" s="594"/>
      <c r="AB396" s="594"/>
      <c r="AC396" s="594"/>
    </row>
    <row r="397" spans="1:68" ht="14.25" customHeight="1" x14ac:dyDescent="0.25">
      <c r="A397" s="609" t="s">
        <v>64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613</v>
      </c>
      <c r="B398" s="54" t="s">
        <v>614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72</v>
      </c>
      <c r="Q399" s="607"/>
      <c r="R399" s="607"/>
      <c r="S399" s="607"/>
      <c r="T399" s="607"/>
      <c r="U399" s="607"/>
      <c r="V399" s="608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72</v>
      </c>
      <c r="Q400" s="607"/>
      <c r="R400" s="607"/>
      <c r="S400" s="607"/>
      <c r="T400" s="607"/>
      <c r="U400" s="607"/>
      <c r="V400" s="608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74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616</v>
      </c>
      <c r="B402" s="54" t="s">
        <v>617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619</v>
      </c>
      <c r="B403" s="54" t="s">
        <v>620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622</v>
      </c>
      <c r="B404" s="54" t="s">
        <v>623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72</v>
      </c>
      <c r="Q405" s="607"/>
      <c r="R405" s="607"/>
      <c r="S405" s="607"/>
      <c r="T405" s="607"/>
      <c r="U405" s="607"/>
      <c r="V405" s="608"/>
      <c r="W405" s="37" t="s">
        <v>73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72</v>
      </c>
      <c r="Q406" s="607"/>
      <c r="R406" s="607"/>
      <c r="S406" s="607"/>
      <c r="T406" s="607"/>
      <c r="U406" s="607"/>
      <c r="V406" s="608"/>
      <c r="W406" s="37" t="s">
        <v>70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customHeight="1" x14ac:dyDescent="0.25">
      <c r="A407" s="609" t="s">
        <v>176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624</v>
      </c>
      <c r="B408" s="54" t="s">
        <v>625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72</v>
      </c>
      <c r="Q409" s="607"/>
      <c r="R409" s="607"/>
      <c r="S409" s="607"/>
      <c r="T409" s="607"/>
      <c r="U409" s="607"/>
      <c r="V409" s="608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72</v>
      </c>
      <c r="Q410" s="607"/>
      <c r="R410" s="607"/>
      <c r="S410" s="607"/>
      <c r="T410" s="607"/>
      <c r="U410" s="607"/>
      <c r="V410" s="608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627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628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64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629</v>
      </c>
      <c r="B414" s="54" t="s">
        <v>630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10</v>
      </c>
      <c r="Y414" s="592">
        <f t="shared" ref="Y414:Y423" si="62">IFERROR(IF(X414="",0,CEILING((X414/$H414),1)*$H414),"")</f>
        <v>10.8</v>
      </c>
      <c r="Z414" s="36">
        <f>IFERROR(IF(Y414=0,"",ROUNDUP(Y414/H414,0)*0.00902),"")</f>
        <v>1.804E-2</v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10.388888888888889</v>
      </c>
      <c r="BN414" s="64">
        <f t="shared" ref="BN414:BN423" si="64">IFERROR(Y414*I414/H414,"0")</f>
        <v>11.22</v>
      </c>
      <c r="BO414" s="64">
        <f t="shared" ref="BO414:BO423" si="65">IFERROR(1/J414*(X414/H414),"0")</f>
        <v>1.4029180695847361E-2</v>
      </c>
      <c r="BP414" s="64">
        <f t="shared" ref="BP414:BP423" si="66">IFERROR(1/J414*(Y414/H414),"0")</f>
        <v>1.5151515151515152E-2</v>
      </c>
    </row>
    <row r="415" spans="1:68" ht="27" customHeight="1" x14ac:dyDescent="0.25">
      <c r="A415" s="54" t="s">
        <v>632</v>
      </c>
      <c r="B415" s="54" t="s">
        <v>633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632</v>
      </c>
      <c r="B416" s="54" t="s">
        <v>635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636</v>
      </c>
      <c r="B417" s="54" t="s">
        <v>637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639</v>
      </c>
      <c r="B418" s="54" t="s">
        <v>640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641</v>
      </c>
      <c r="B419" s="54" t="s">
        <v>642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17.5</v>
      </c>
      <c r="Y419" s="592">
        <f t="shared" si="62"/>
        <v>18.900000000000002</v>
      </c>
      <c r="Z419" s="36">
        <f t="shared" si="67"/>
        <v>4.5179999999999998E-2</v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18.583333333333332</v>
      </c>
      <c r="BN419" s="64">
        <f t="shared" si="64"/>
        <v>20.07</v>
      </c>
      <c r="BO419" s="64">
        <f t="shared" si="65"/>
        <v>3.5612535612535613E-2</v>
      </c>
      <c r="BP419" s="64">
        <f t="shared" si="66"/>
        <v>3.8461538461538464E-2</v>
      </c>
    </row>
    <row r="420" spans="1:68" ht="37.5" customHeight="1" x14ac:dyDescent="0.25">
      <c r="A420" s="54" t="s">
        <v>643</v>
      </c>
      <c r="B420" s="54" t="s">
        <v>644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35</v>
      </c>
      <c r="Y420" s="592">
        <f t="shared" si="62"/>
        <v>35.700000000000003</v>
      </c>
      <c r="Z420" s="36">
        <f t="shared" si="67"/>
        <v>8.5339999999999999E-2</v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37.166666666666664</v>
      </c>
      <c r="BN420" s="64">
        <f t="shared" si="64"/>
        <v>37.910000000000004</v>
      </c>
      <c r="BO420" s="64">
        <f t="shared" si="65"/>
        <v>7.1225071225071226E-2</v>
      </c>
      <c r="BP420" s="64">
        <f t="shared" si="66"/>
        <v>7.2649572649572655E-2</v>
      </c>
    </row>
    <row r="421" spans="1:68" ht="27" customHeight="1" x14ac:dyDescent="0.25">
      <c r="A421" s="54" t="s">
        <v>646</v>
      </c>
      <c r="B421" s="54" t="s">
        <v>647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649</v>
      </c>
      <c r="B422" s="54" t="s">
        <v>650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35</v>
      </c>
      <c r="Y422" s="592">
        <f t="shared" si="62"/>
        <v>35.700000000000003</v>
      </c>
      <c r="Z422" s="36">
        <f t="shared" si="67"/>
        <v>8.5339999999999999E-2</v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37.166666666666664</v>
      </c>
      <c r="BN422" s="64">
        <f t="shared" si="64"/>
        <v>37.910000000000004</v>
      </c>
      <c r="BO422" s="64">
        <f t="shared" si="65"/>
        <v>7.1225071225071226E-2</v>
      </c>
      <c r="BP422" s="64">
        <f t="shared" si="66"/>
        <v>7.2649572649572655E-2</v>
      </c>
    </row>
    <row r="423" spans="1:68" ht="37.5" customHeight="1" x14ac:dyDescent="0.25">
      <c r="A423" s="54" t="s">
        <v>652</v>
      </c>
      <c r="B423" s="54" t="s">
        <v>653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72</v>
      </c>
      <c r="Q424" s="607"/>
      <c r="R424" s="607"/>
      <c r="S424" s="607"/>
      <c r="T424" s="607"/>
      <c r="U424" s="607"/>
      <c r="V424" s="608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43.518518518518512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45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0.2339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72</v>
      </c>
      <c r="Q425" s="607"/>
      <c r="R425" s="607"/>
      <c r="S425" s="607"/>
      <c r="T425" s="607"/>
      <c r="U425" s="607"/>
      <c r="V425" s="608"/>
      <c r="W425" s="37" t="s">
        <v>70</v>
      </c>
      <c r="X425" s="593">
        <f>IFERROR(SUM(X414:X423),"0")</f>
        <v>97.5</v>
      </c>
      <c r="Y425" s="593">
        <f>IFERROR(SUM(Y414:Y423),"0")</f>
        <v>101.10000000000001</v>
      </c>
      <c r="Z425" s="37"/>
      <c r="AA425" s="594"/>
      <c r="AB425" s="594"/>
      <c r="AC425" s="594"/>
    </row>
    <row r="426" spans="1:68" ht="14.25" customHeight="1" x14ac:dyDescent="0.25">
      <c r="A426" s="609" t="s">
        <v>74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654</v>
      </c>
      <c r="B427" s="54" t="s">
        <v>655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657</v>
      </c>
      <c r="B428" s="54" t="s">
        <v>658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72</v>
      </c>
      <c r="Q429" s="607"/>
      <c r="R429" s="607"/>
      <c r="S429" s="607"/>
      <c r="T429" s="607"/>
      <c r="U429" s="607"/>
      <c r="V429" s="608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72</v>
      </c>
      <c r="Q430" s="607"/>
      <c r="R430" s="607"/>
      <c r="S430" s="607"/>
      <c r="T430" s="607"/>
      <c r="U430" s="607"/>
      <c r="V430" s="608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660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141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661</v>
      </c>
      <c r="B433" s="54" t="s">
        <v>662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72</v>
      </c>
      <c r="Q435" s="607"/>
      <c r="R435" s="607"/>
      <c r="S435" s="607"/>
      <c r="T435" s="607"/>
      <c r="U435" s="607"/>
      <c r="V435" s="608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72</v>
      </c>
      <c r="Q436" s="607"/>
      <c r="R436" s="607"/>
      <c r="S436" s="607"/>
      <c r="T436" s="607"/>
      <c r="U436" s="607"/>
      <c r="V436" s="608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64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667</v>
      </c>
      <c r="B438" s="54" t="s">
        <v>668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10</v>
      </c>
      <c r="Y438" s="592">
        <f>IFERROR(IF(X438="",0,CEILING((X438/$H438),1)*$H438),"")</f>
        <v>10.8</v>
      </c>
      <c r="Z438" s="36">
        <f>IFERROR(IF(Y438=0,"",ROUNDUP(Y438/H438,0)*0.00902),"")</f>
        <v>1.804E-2</v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10.388888888888889</v>
      </c>
      <c r="BN438" s="64">
        <f>IFERROR(Y438*I438/H438,"0")</f>
        <v>11.22</v>
      </c>
      <c r="BO438" s="64">
        <f>IFERROR(1/J438*(X438/H438),"0")</f>
        <v>1.4029180695847361E-2</v>
      </c>
      <c r="BP438" s="64">
        <f>IFERROR(1/J438*(Y438/H438),"0")</f>
        <v>1.5151515151515152E-2</v>
      </c>
    </row>
    <row r="439" spans="1:68" ht="27" customHeight="1" x14ac:dyDescent="0.25">
      <c r="A439" s="54" t="s">
        <v>670</v>
      </c>
      <c r="B439" s="54" t="s">
        <v>671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673</v>
      </c>
      <c r="B440" s="54" t="s">
        <v>674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676</v>
      </c>
      <c r="B441" s="54" t="s">
        <v>677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28</v>
      </c>
      <c r="Y441" s="592">
        <f>IFERROR(IF(X441="",0,CEILING((X441/$H441),1)*$H441),"")</f>
        <v>29.400000000000002</v>
      </c>
      <c r="Z441" s="36">
        <f>IFERROR(IF(Y441=0,"",ROUNDUP(Y441/H441,0)*0.00502),"")</f>
        <v>7.0280000000000009E-2</v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29.733333333333331</v>
      </c>
      <c r="BN441" s="64">
        <f>IFERROR(Y441*I441/H441,"0")</f>
        <v>31.22</v>
      </c>
      <c r="BO441" s="64">
        <f>IFERROR(1/J441*(X441/H441),"0")</f>
        <v>5.6980056980056981E-2</v>
      </c>
      <c r="BP441" s="64">
        <f>IFERROR(1/J441*(Y441/H441),"0")</f>
        <v>5.9829059829059839E-2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72</v>
      </c>
      <c r="Q442" s="607"/>
      <c r="R442" s="607"/>
      <c r="S442" s="607"/>
      <c r="T442" s="607"/>
      <c r="U442" s="607"/>
      <c r="V442" s="608"/>
      <c r="W442" s="37" t="s">
        <v>73</v>
      </c>
      <c r="X442" s="593">
        <f>IFERROR(X438/H438,"0")+IFERROR(X439/H439,"0")+IFERROR(X440/H440,"0")+IFERROR(X441/H441,"0")</f>
        <v>15.185185185185183</v>
      </c>
      <c r="Y442" s="593">
        <f>IFERROR(Y438/H438,"0")+IFERROR(Y439/H439,"0")+IFERROR(Y440/H440,"0")+IFERROR(Y441/H441,"0")</f>
        <v>16</v>
      </c>
      <c r="Z442" s="593">
        <f>IFERROR(IF(Z438="",0,Z438),"0")+IFERROR(IF(Z439="",0,Z439),"0")+IFERROR(IF(Z440="",0,Z440),"0")+IFERROR(IF(Z441="",0,Z441),"0")</f>
        <v>8.832000000000001E-2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72</v>
      </c>
      <c r="Q443" s="607"/>
      <c r="R443" s="607"/>
      <c r="S443" s="607"/>
      <c r="T443" s="607"/>
      <c r="U443" s="607"/>
      <c r="V443" s="608"/>
      <c r="W443" s="37" t="s">
        <v>70</v>
      </c>
      <c r="X443" s="593">
        <f>IFERROR(SUM(X438:X441),"0")</f>
        <v>38</v>
      </c>
      <c r="Y443" s="593">
        <f>IFERROR(SUM(Y438:Y441),"0")</f>
        <v>40.200000000000003</v>
      </c>
      <c r="Z443" s="37"/>
      <c r="AA443" s="594"/>
      <c r="AB443" s="594"/>
      <c r="AC443" s="594"/>
    </row>
    <row r="444" spans="1:68" ht="16.5" customHeight="1" x14ac:dyDescent="0.25">
      <c r="A444" s="605" t="s">
        <v>678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64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679</v>
      </c>
      <c r="B446" s="54" t="s">
        <v>680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40</v>
      </c>
      <c r="Y446" s="592">
        <f>IFERROR(IF(X446="",0,CEILING((X446/$H446),1)*$H446),"")</f>
        <v>40.799999999999997</v>
      </c>
      <c r="Z446" s="36">
        <f>IFERROR(IF(Y446=0,"",ROUNDUP(Y446/H446,0)*0.00651),"")</f>
        <v>0.22134000000000001</v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70</v>
      </c>
      <c r="BN446" s="64">
        <f>IFERROR(Y446*I446/H446,"0")</f>
        <v>71.399999999999991</v>
      </c>
      <c r="BO446" s="64">
        <f>IFERROR(1/J446*(X446/H446),"0")</f>
        <v>0.18315018315018317</v>
      </c>
      <c r="BP446" s="64">
        <f>IFERROR(1/J446*(Y446/H446),"0")</f>
        <v>0.18681318681318682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72</v>
      </c>
      <c r="Q447" s="607"/>
      <c r="R447" s="607"/>
      <c r="S447" s="607"/>
      <c r="T447" s="607"/>
      <c r="U447" s="607"/>
      <c r="V447" s="608"/>
      <c r="W447" s="37" t="s">
        <v>73</v>
      </c>
      <c r="X447" s="593">
        <f>IFERROR(X446/H446,"0")</f>
        <v>33.333333333333336</v>
      </c>
      <c r="Y447" s="593">
        <f>IFERROR(Y446/H446,"0")</f>
        <v>34</v>
      </c>
      <c r="Z447" s="593">
        <f>IFERROR(IF(Z446="",0,Z446),"0")</f>
        <v>0.22134000000000001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72</v>
      </c>
      <c r="Q448" s="607"/>
      <c r="R448" s="607"/>
      <c r="S448" s="607"/>
      <c r="T448" s="607"/>
      <c r="U448" s="607"/>
      <c r="V448" s="608"/>
      <c r="W448" s="37" t="s">
        <v>70</v>
      </c>
      <c r="X448" s="593">
        <f>IFERROR(SUM(X446:X446),"0")</f>
        <v>40</v>
      </c>
      <c r="Y448" s="593">
        <f>IFERROR(SUM(Y446:Y446),"0")</f>
        <v>40.799999999999997</v>
      </c>
      <c r="Z448" s="37"/>
      <c r="AA448" s="594"/>
      <c r="AB448" s="594"/>
      <c r="AC448" s="594"/>
    </row>
    <row r="449" spans="1:68" ht="16.5" customHeight="1" x14ac:dyDescent="0.25">
      <c r="A449" s="605" t="s">
        <v>682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64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683</v>
      </c>
      <c r="B451" s="54" t="s">
        <v>684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72</v>
      </c>
      <c r="Q452" s="607"/>
      <c r="R452" s="607"/>
      <c r="S452" s="607"/>
      <c r="T452" s="607"/>
      <c r="U452" s="607"/>
      <c r="V452" s="608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72</v>
      </c>
      <c r="Q453" s="607"/>
      <c r="R453" s="607"/>
      <c r="S453" s="607"/>
      <c r="T453" s="607"/>
      <c r="U453" s="607"/>
      <c r="V453" s="608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686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686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102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687</v>
      </c>
      <c r="B457" s="54" t="s">
        <v>688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690</v>
      </c>
      <c r="B458" s="54" t="s">
        <v>691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693</v>
      </c>
      <c r="B459" s="54" t="s">
        <v>694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60</v>
      </c>
      <c r="Y459" s="592">
        <f t="shared" si="68"/>
        <v>63.36</v>
      </c>
      <c r="Z459" s="36">
        <f t="shared" si="69"/>
        <v>0.14352000000000001</v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64.090909090909079</v>
      </c>
      <c r="BN459" s="64">
        <f t="shared" si="71"/>
        <v>67.679999999999993</v>
      </c>
      <c r="BO459" s="64">
        <f t="shared" si="72"/>
        <v>0.10926573426573427</v>
      </c>
      <c r="BP459" s="64">
        <f t="shared" si="73"/>
        <v>0.11538461538461539</v>
      </c>
    </row>
    <row r="460" spans="1:68" ht="16.5" customHeight="1" x14ac:dyDescent="0.25">
      <c r="A460" s="54" t="s">
        <v>696</v>
      </c>
      <c r="B460" s="54" t="s">
        <v>697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699</v>
      </c>
      <c r="B461" s="54" t="s">
        <v>700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180</v>
      </c>
      <c r="Y461" s="592">
        <f t="shared" si="68"/>
        <v>184.8</v>
      </c>
      <c r="Z461" s="36">
        <f t="shared" si="69"/>
        <v>0.41860000000000003</v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192.27272727272725</v>
      </c>
      <c r="BN461" s="64">
        <f t="shared" si="71"/>
        <v>197.39999999999998</v>
      </c>
      <c r="BO461" s="64">
        <f t="shared" si="72"/>
        <v>0.32779720279720276</v>
      </c>
      <c r="BP461" s="64">
        <f t="shared" si="73"/>
        <v>0.33653846153846156</v>
      </c>
    </row>
    <row r="462" spans="1:68" ht="16.5" customHeight="1" x14ac:dyDescent="0.25">
      <c r="A462" s="54" t="s">
        <v>702</v>
      </c>
      <c r="B462" s="54" t="s">
        <v>703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705</v>
      </c>
      <c r="B463" s="54" t="s">
        <v>706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707</v>
      </c>
      <c r="B464" s="54" t="s">
        <v>708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180</v>
      </c>
      <c r="Y464" s="592">
        <f t="shared" si="68"/>
        <v>180</v>
      </c>
      <c r="Z464" s="36">
        <f>IFERROR(IF(Y464=0,"",ROUNDUP(Y464/H464,0)*0.00902),"")</f>
        <v>0.45100000000000001</v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190.49999999999997</v>
      </c>
      <c r="BN464" s="64">
        <f t="shared" si="71"/>
        <v>190.49999999999997</v>
      </c>
      <c r="BO464" s="64">
        <f t="shared" si="72"/>
        <v>0.37878787878787878</v>
      </c>
      <c r="BP464" s="64">
        <f t="shared" si="73"/>
        <v>0.37878787878787878</v>
      </c>
    </row>
    <row r="465" spans="1:68" ht="27" customHeight="1" x14ac:dyDescent="0.25">
      <c r="A465" s="54" t="s">
        <v>707</v>
      </c>
      <c r="B465" s="54" t="s">
        <v>709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710</v>
      </c>
      <c r="B466" s="54" t="s">
        <v>711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712</v>
      </c>
      <c r="B467" s="54" t="s">
        <v>713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714</v>
      </c>
      <c r="B468" s="54" t="s">
        <v>715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150</v>
      </c>
      <c r="Y468" s="592">
        <f t="shared" si="68"/>
        <v>151.20000000000002</v>
      </c>
      <c r="Z468" s="36">
        <f>IFERROR(IF(Y468=0,"",ROUNDUP(Y468/H468,0)*0.00902),"")</f>
        <v>0.37884000000000001</v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158.75</v>
      </c>
      <c r="BN468" s="64">
        <f t="shared" si="71"/>
        <v>160.02000000000004</v>
      </c>
      <c r="BO468" s="64">
        <f t="shared" si="72"/>
        <v>0.31565656565656564</v>
      </c>
      <c r="BP468" s="64">
        <f t="shared" si="73"/>
        <v>0.31818181818181823</v>
      </c>
    </row>
    <row r="469" spans="1:68" ht="27" customHeight="1" x14ac:dyDescent="0.25">
      <c r="A469" s="54" t="s">
        <v>714</v>
      </c>
      <c r="B469" s="54" t="s">
        <v>716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72</v>
      </c>
      <c r="Q470" s="607"/>
      <c r="R470" s="607"/>
      <c r="S470" s="607"/>
      <c r="T470" s="607"/>
      <c r="U470" s="607"/>
      <c r="V470" s="608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137.12121212121212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139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1.3919600000000001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72</v>
      </c>
      <c r="Q471" s="607"/>
      <c r="R471" s="607"/>
      <c r="S471" s="607"/>
      <c r="T471" s="607"/>
      <c r="U471" s="607"/>
      <c r="V471" s="608"/>
      <c r="W471" s="37" t="s">
        <v>70</v>
      </c>
      <c r="X471" s="593">
        <f>IFERROR(SUM(X457:X469),"0")</f>
        <v>570</v>
      </c>
      <c r="Y471" s="593">
        <f>IFERROR(SUM(Y457:Y469),"0")</f>
        <v>579.36</v>
      </c>
      <c r="Z471" s="37"/>
      <c r="AA471" s="594"/>
      <c r="AB471" s="594"/>
      <c r="AC471" s="594"/>
    </row>
    <row r="472" spans="1:68" ht="14.25" customHeight="1" x14ac:dyDescent="0.25">
      <c r="A472" s="609" t="s">
        <v>141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200</v>
      </c>
      <c r="Y473" s="592">
        <f>IFERROR(IF(X473="",0,CEILING((X473/$H473),1)*$H473),"")</f>
        <v>200.64000000000001</v>
      </c>
      <c r="Z473" s="36">
        <f>IFERROR(IF(Y473=0,"",ROUNDUP(Y473/H473,0)*0.01196),"")</f>
        <v>0.45448</v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213.63636363636363</v>
      </c>
      <c r="BN473" s="64">
        <f>IFERROR(Y473*I473/H473,"0")</f>
        <v>214.32</v>
      </c>
      <c r="BO473" s="64">
        <f>IFERROR(1/J473*(X473/H473),"0")</f>
        <v>0.36421911421911418</v>
      </c>
      <c r="BP473" s="64">
        <f>IFERROR(1/J473*(Y473/H473),"0")</f>
        <v>0.36538461538461542</v>
      </c>
    </row>
    <row r="474" spans="1:68" ht="16.5" customHeight="1" x14ac:dyDescent="0.25">
      <c r="A474" s="54" t="s">
        <v>720</v>
      </c>
      <c r="B474" s="54" t="s">
        <v>721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722</v>
      </c>
      <c r="B475" s="54" t="s">
        <v>723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72</v>
      </c>
      <c r="Q476" s="607"/>
      <c r="R476" s="607"/>
      <c r="S476" s="607"/>
      <c r="T476" s="607"/>
      <c r="U476" s="607"/>
      <c r="V476" s="608"/>
      <c r="W476" s="37" t="s">
        <v>73</v>
      </c>
      <c r="X476" s="593">
        <f>IFERROR(X473/H473,"0")+IFERROR(X474/H474,"0")+IFERROR(X475/H475,"0")</f>
        <v>37.878787878787875</v>
      </c>
      <c r="Y476" s="593">
        <f>IFERROR(Y473/H473,"0")+IFERROR(Y474/H474,"0")+IFERROR(Y475/H475,"0")</f>
        <v>38</v>
      </c>
      <c r="Z476" s="593">
        <f>IFERROR(IF(Z473="",0,Z473),"0")+IFERROR(IF(Z474="",0,Z474),"0")+IFERROR(IF(Z475="",0,Z475),"0")</f>
        <v>0.45448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72</v>
      </c>
      <c r="Q477" s="607"/>
      <c r="R477" s="607"/>
      <c r="S477" s="607"/>
      <c r="T477" s="607"/>
      <c r="U477" s="607"/>
      <c r="V477" s="608"/>
      <c r="W477" s="37" t="s">
        <v>70</v>
      </c>
      <c r="X477" s="593">
        <f>IFERROR(SUM(X473:X475),"0")</f>
        <v>200</v>
      </c>
      <c r="Y477" s="593">
        <f>IFERROR(SUM(Y473:Y475),"0")</f>
        <v>200.64000000000001</v>
      </c>
      <c r="Z477" s="37"/>
      <c r="AA477" s="594"/>
      <c r="AB477" s="594"/>
      <c r="AC477" s="594"/>
    </row>
    <row r="478" spans="1:68" ht="14.25" customHeight="1" x14ac:dyDescent="0.25">
      <c r="A478" s="609" t="s">
        <v>64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100</v>
      </c>
      <c r="Y479" s="592">
        <f t="shared" ref="Y479:Y486" si="74">IFERROR(IF(X479="",0,CEILING((X479/$H479),1)*$H479),"")</f>
        <v>100.32000000000001</v>
      </c>
      <c r="Z479" s="36">
        <f>IFERROR(IF(Y479=0,"",ROUNDUP(Y479/H479,0)*0.01196),"")</f>
        <v>0.22724</v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106.81818181818181</v>
      </c>
      <c r="BN479" s="64">
        <f t="shared" ref="BN479:BN486" si="76">IFERROR(Y479*I479/H479,"0")</f>
        <v>107.16</v>
      </c>
      <c r="BO479" s="64">
        <f t="shared" ref="BO479:BO486" si="77">IFERROR(1/J479*(X479/H479),"0")</f>
        <v>0.18210955710955709</v>
      </c>
      <c r="BP479" s="64">
        <f t="shared" ref="BP479:BP486" si="78">IFERROR(1/J479*(Y479/H479),"0")</f>
        <v>0.18269230769230771</v>
      </c>
    </row>
    <row r="480" spans="1:68" ht="27" customHeight="1" x14ac:dyDescent="0.25">
      <c r="A480" s="54" t="s">
        <v>727</v>
      </c>
      <c r="B480" s="54" t="s">
        <v>728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30</v>
      </c>
      <c r="Y480" s="592">
        <f t="shared" si="74"/>
        <v>31.68</v>
      </c>
      <c r="Z480" s="36">
        <f>IFERROR(IF(Y480=0,"",ROUNDUP(Y480/H480,0)*0.01196),"")</f>
        <v>7.1760000000000004E-2</v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32.04545454545454</v>
      </c>
      <c r="BN480" s="64">
        <f t="shared" si="76"/>
        <v>33.839999999999996</v>
      </c>
      <c r="BO480" s="64">
        <f t="shared" si="77"/>
        <v>5.4632867132867136E-2</v>
      </c>
      <c r="BP480" s="64">
        <f t="shared" si="78"/>
        <v>5.7692307692307696E-2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120</v>
      </c>
      <c r="Y481" s="592">
        <f t="shared" si="74"/>
        <v>121.44000000000001</v>
      </c>
      <c r="Z481" s="36">
        <f>IFERROR(IF(Y481=0,"",ROUNDUP(Y481/H481,0)*0.01196),"")</f>
        <v>0.27507999999999999</v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128.18181818181816</v>
      </c>
      <c r="BN481" s="64">
        <f t="shared" si="76"/>
        <v>129.72</v>
      </c>
      <c r="BO481" s="64">
        <f t="shared" si="77"/>
        <v>0.21853146853146854</v>
      </c>
      <c r="BP481" s="64">
        <f t="shared" si="78"/>
        <v>0.22115384615384617</v>
      </c>
    </row>
    <row r="482" spans="1:68" ht="27" customHeight="1" x14ac:dyDescent="0.25">
      <c r="A482" s="54" t="s">
        <v>733</v>
      </c>
      <c r="B482" s="54" t="s">
        <v>734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733</v>
      </c>
      <c r="B483" s="54" t="s">
        <v>735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30</v>
      </c>
      <c r="Y483" s="592">
        <f t="shared" si="74"/>
        <v>33.6</v>
      </c>
      <c r="Z483" s="36">
        <f>IFERROR(IF(Y483=0,"",ROUNDUP(Y483/H483,0)*0.00902),"")</f>
        <v>6.3140000000000002E-2</v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43.3125</v>
      </c>
      <c r="BN483" s="64">
        <f t="shared" si="76"/>
        <v>48.510000000000005</v>
      </c>
      <c r="BO483" s="64">
        <f t="shared" si="77"/>
        <v>4.7348484848484848E-2</v>
      </c>
      <c r="BP483" s="64">
        <f t="shared" si="78"/>
        <v>5.3030303030303039E-2</v>
      </c>
    </row>
    <row r="484" spans="1:68" ht="27" customHeight="1" x14ac:dyDescent="0.25">
      <c r="A484" s="54" t="s">
        <v>736</v>
      </c>
      <c r="B484" s="54" t="s">
        <v>737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738</v>
      </c>
      <c r="B485" s="54" t="s">
        <v>739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738</v>
      </c>
      <c r="B486" s="54" t="s">
        <v>740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48</v>
      </c>
      <c r="Y486" s="592">
        <f t="shared" si="74"/>
        <v>48</v>
      </c>
      <c r="Z486" s="36">
        <f>IFERROR(IF(Y486=0,"",ROUNDUP(Y486/H486,0)*0.00902),"")</f>
        <v>9.0200000000000002E-2</v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66.900000000000006</v>
      </c>
      <c r="BN486" s="64">
        <f t="shared" si="76"/>
        <v>66.900000000000006</v>
      </c>
      <c r="BO486" s="64">
        <f t="shared" si="77"/>
        <v>7.575757575757576E-2</v>
      </c>
      <c r="BP486" s="64">
        <f t="shared" si="78"/>
        <v>7.575757575757576E-2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72</v>
      </c>
      <c r="Q487" s="607"/>
      <c r="R487" s="607"/>
      <c r="S487" s="607"/>
      <c r="T487" s="607"/>
      <c r="U487" s="607"/>
      <c r="V487" s="608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63.598484848484844</v>
      </c>
      <c r="Y487" s="593">
        <f>IFERROR(Y479/H479,"0")+IFERROR(Y480/H480,"0")+IFERROR(Y481/H481,"0")+IFERROR(Y482/H482,"0")+IFERROR(Y483/H483,"0")+IFERROR(Y484/H484,"0")+IFERROR(Y485/H485,"0")+IFERROR(Y486/H486,"0")</f>
        <v>65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0.72741999999999996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72</v>
      </c>
      <c r="Q488" s="607"/>
      <c r="R488" s="607"/>
      <c r="S488" s="607"/>
      <c r="T488" s="607"/>
      <c r="U488" s="607"/>
      <c r="V488" s="608"/>
      <c r="W488" s="37" t="s">
        <v>70</v>
      </c>
      <c r="X488" s="593">
        <f>IFERROR(SUM(X479:X486),"0")</f>
        <v>328</v>
      </c>
      <c r="Y488" s="593">
        <f>IFERROR(SUM(Y479:Y486),"0")</f>
        <v>335.04</v>
      </c>
      <c r="Z488" s="37"/>
      <c r="AA488" s="594"/>
      <c r="AB488" s="594"/>
      <c r="AC488" s="594"/>
    </row>
    <row r="489" spans="1:68" ht="14.25" customHeight="1" x14ac:dyDescent="0.25">
      <c r="A489" s="609" t="s">
        <v>74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741</v>
      </c>
      <c r="B490" s="54" t="s">
        <v>742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744</v>
      </c>
      <c r="B491" s="54" t="s">
        <v>745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747</v>
      </c>
      <c r="B492" s="54" t="s">
        <v>748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72</v>
      </c>
      <c r="Q493" s="607"/>
      <c r="R493" s="607"/>
      <c r="S493" s="607"/>
      <c r="T493" s="607"/>
      <c r="U493" s="607"/>
      <c r="V493" s="608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72</v>
      </c>
      <c r="Q494" s="607"/>
      <c r="R494" s="607"/>
      <c r="S494" s="607"/>
      <c r="T494" s="607"/>
      <c r="U494" s="607"/>
      <c r="V494" s="608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176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750</v>
      </c>
      <c r="B496" s="54" t="s">
        <v>751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72</v>
      </c>
      <c r="Q497" s="607"/>
      <c r="R497" s="607"/>
      <c r="S497" s="607"/>
      <c r="T497" s="607"/>
      <c r="U497" s="607"/>
      <c r="V497" s="608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72</v>
      </c>
      <c r="Q498" s="607"/>
      <c r="R498" s="607"/>
      <c r="S498" s="607"/>
      <c r="T498" s="607"/>
      <c r="U498" s="607"/>
      <c r="V498" s="608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753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753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102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754</v>
      </c>
      <c r="B502" s="54" t="s">
        <v>755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73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758</v>
      </c>
      <c r="B503" s="54" t="s">
        <v>759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7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762</v>
      </c>
      <c r="B504" s="54" t="s">
        <v>763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93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20</v>
      </c>
      <c r="Y504" s="592">
        <f>IFERROR(IF(X504="",0,CEILING((X504/$H504),1)*$H504),"")</f>
        <v>24</v>
      </c>
      <c r="Z504" s="36">
        <f>IFERROR(IF(Y504=0,"",ROUNDUP(Y504/H504,0)*0.01898),"")</f>
        <v>3.7960000000000001E-2</v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20.725000000000001</v>
      </c>
      <c r="BN504" s="64">
        <f>IFERROR(Y504*I504/H504,"0")</f>
        <v>24.87</v>
      </c>
      <c r="BO504" s="64">
        <f>IFERROR(1/J504*(X504/H504),"0")</f>
        <v>2.6041666666666668E-2</v>
      </c>
      <c r="BP504" s="64">
        <f>IFERROR(1/J504*(Y504/H504),"0")</f>
        <v>3.125E-2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72</v>
      </c>
      <c r="Q505" s="607"/>
      <c r="R505" s="607"/>
      <c r="S505" s="607"/>
      <c r="T505" s="607"/>
      <c r="U505" s="607"/>
      <c r="V505" s="608"/>
      <c r="W505" s="37" t="s">
        <v>73</v>
      </c>
      <c r="X505" s="593">
        <f>IFERROR(X502/H502,"0")+IFERROR(X503/H503,"0")+IFERROR(X504/H504,"0")</f>
        <v>1.6666666666666667</v>
      </c>
      <c r="Y505" s="593">
        <f>IFERROR(Y502/H502,"0")+IFERROR(Y503/H503,"0")+IFERROR(Y504/H504,"0")</f>
        <v>2</v>
      </c>
      <c r="Z505" s="593">
        <f>IFERROR(IF(Z502="",0,Z502),"0")+IFERROR(IF(Z503="",0,Z503),"0")+IFERROR(IF(Z504="",0,Z504),"0")</f>
        <v>3.7960000000000001E-2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72</v>
      </c>
      <c r="Q506" s="607"/>
      <c r="R506" s="607"/>
      <c r="S506" s="607"/>
      <c r="T506" s="607"/>
      <c r="U506" s="607"/>
      <c r="V506" s="608"/>
      <c r="W506" s="37" t="s">
        <v>70</v>
      </c>
      <c r="X506" s="593">
        <f>IFERROR(SUM(X502:X504),"0")</f>
        <v>20</v>
      </c>
      <c r="Y506" s="593">
        <f>IFERROR(SUM(Y502:Y504),"0")</f>
        <v>24</v>
      </c>
      <c r="Z506" s="37"/>
      <c r="AA506" s="594"/>
      <c r="AB506" s="594"/>
      <c r="AC506" s="594"/>
    </row>
    <row r="507" spans="1:68" ht="14.25" customHeight="1" x14ac:dyDescent="0.25">
      <c r="A507" s="609" t="s">
        <v>141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766</v>
      </c>
      <c r="B508" s="54" t="s">
        <v>767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105</v>
      </c>
      <c r="L508" s="32"/>
      <c r="M508" s="33" t="s">
        <v>112</v>
      </c>
      <c r="N508" s="33"/>
      <c r="O508" s="32">
        <v>50</v>
      </c>
      <c r="P508" s="687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766</v>
      </c>
      <c r="B509" s="54" t="s">
        <v>770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105</v>
      </c>
      <c r="L509" s="32"/>
      <c r="M509" s="33" t="s">
        <v>106</v>
      </c>
      <c r="N509" s="33"/>
      <c r="O509" s="32">
        <v>50</v>
      </c>
      <c r="P509" s="896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773</v>
      </c>
      <c r="B510" s="54" t="s">
        <v>774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769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776</v>
      </c>
      <c r="B511" s="54" t="s">
        <v>777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83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72</v>
      </c>
      <c r="Q512" s="607"/>
      <c r="R512" s="607"/>
      <c r="S512" s="607"/>
      <c r="T512" s="607"/>
      <c r="U512" s="607"/>
      <c r="V512" s="608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72</v>
      </c>
      <c r="Q513" s="607"/>
      <c r="R513" s="607"/>
      <c r="S513" s="607"/>
      <c r="T513" s="607"/>
      <c r="U513" s="607"/>
      <c r="V513" s="608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64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780</v>
      </c>
      <c r="B515" s="54" t="s">
        <v>781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07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784</v>
      </c>
      <c r="B516" s="54" t="s">
        <v>785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77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72</v>
      </c>
      <c r="Q517" s="607"/>
      <c r="R517" s="607"/>
      <c r="S517" s="607"/>
      <c r="T517" s="607"/>
      <c r="U517" s="607"/>
      <c r="V517" s="608"/>
      <c r="W517" s="37" t="s">
        <v>73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72</v>
      </c>
      <c r="Q518" s="607"/>
      <c r="R518" s="607"/>
      <c r="S518" s="607"/>
      <c r="T518" s="607"/>
      <c r="U518" s="607"/>
      <c r="V518" s="608"/>
      <c r="W518" s="37" t="s">
        <v>70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74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788</v>
      </c>
      <c r="B520" s="54" t="s">
        <v>789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136</v>
      </c>
      <c r="N520" s="33"/>
      <c r="O520" s="32">
        <v>45</v>
      </c>
      <c r="P520" s="619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700</v>
      </c>
      <c r="Y520" s="592">
        <f>IFERROR(IF(X520="",0,CEILING((X520/$H520),1)*$H520),"")</f>
        <v>702</v>
      </c>
      <c r="Z520" s="36">
        <f>IFERROR(IF(Y520=0,"",ROUNDUP(Y520/H520,0)*0.01898),"")</f>
        <v>1.48044</v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740.36666666666667</v>
      </c>
      <c r="BN520" s="64">
        <f>IFERROR(Y520*I520/H520,"0")</f>
        <v>742.48199999999997</v>
      </c>
      <c r="BO520" s="64">
        <f>IFERROR(1/J520*(X520/H520),"0")</f>
        <v>1.2152777777777777</v>
      </c>
      <c r="BP520" s="64">
        <f>IFERROR(1/J520*(Y520/H520),"0")</f>
        <v>1.21875</v>
      </c>
    </row>
    <row r="521" spans="1:68" ht="27" customHeight="1" x14ac:dyDescent="0.25">
      <c r="A521" s="54" t="s">
        <v>788</v>
      </c>
      <c r="B521" s="54" t="s">
        <v>792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6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72</v>
      </c>
      <c r="Q522" s="607"/>
      <c r="R522" s="607"/>
      <c r="S522" s="607"/>
      <c r="T522" s="607"/>
      <c r="U522" s="607"/>
      <c r="V522" s="608"/>
      <c r="W522" s="37" t="s">
        <v>73</v>
      </c>
      <c r="X522" s="593">
        <f>IFERROR(X520/H520,"0")+IFERROR(X521/H521,"0")</f>
        <v>77.777777777777771</v>
      </c>
      <c r="Y522" s="593">
        <f>IFERROR(Y520/H520,"0")+IFERROR(Y521/H521,"0")</f>
        <v>78</v>
      </c>
      <c r="Z522" s="593">
        <f>IFERROR(IF(Z520="",0,Z520),"0")+IFERROR(IF(Z521="",0,Z521),"0")</f>
        <v>1.48044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72</v>
      </c>
      <c r="Q523" s="607"/>
      <c r="R523" s="607"/>
      <c r="S523" s="607"/>
      <c r="T523" s="607"/>
      <c r="U523" s="607"/>
      <c r="V523" s="608"/>
      <c r="W523" s="37" t="s">
        <v>70</v>
      </c>
      <c r="X523" s="593">
        <f>IFERROR(SUM(X520:X521),"0")</f>
        <v>700</v>
      </c>
      <c r="Y523" s="593">
        <f>IFERROR(SUM(Y520:Y521),"0")</f>
        <v>702</v>
      </c>
      <c r="Z523" s="37"/>
      <c r="AA523" s="594"/>
      <c r="AB523" s="594"/>
      <c r="AC523" s="594"/>
    </row>
    <row r="524" spans="1:68" ht="14.25" customHeight="1" x14ac:dyDescent="0.25">
      <c r="A524" s="609" t="s">
        <v>176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793</v>
      </c>
      <c r="B525" s="54" t="s">
        <v>794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45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793</v>
      </c>
      <c r="B526" s="54" t="s">
        <v>797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136</v>
      </c>
      <c r="N526" s="33"/>
      <c r="O526" s="32">
        <v>40</v>
      </c>
      <c r="P526" s="85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799</v>
      </c>
      <c r="B527" s="54" t="s">
        <v>800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72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799</v>
      </c>
      <c r="B528" s="54" t="s">
        <v>803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136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72</v>
      </c>
      <c r="Q529" s="607"/>
      <c r="R529" s="607"/>
      <c r="S529" s="607"/>
      <c r="T529" s="607"/>
      <c r="U529" s="607"/>
      <c r="V529" s="608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72</v>
      </c>
      <c r="Q530" s="607"/>
      <c r="R530" s="607"/>
      <c r="S530" s="607"/>
      <c r="T530" s="607"/>
      <c r="U530" s="607"/>
      <c r="V530" s="608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805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141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806</v>
      </c>
      <c r="B533" s="54" t="s">
        <v>807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79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72</v>
      </c>
      <c r="Q534" s="607"/>
      <c r="R534" s="607"/>
      <c r="S534" s="607"/>
      <c r="T534" s="607"/>
      <c r="U534" s="607"/>
      <c r="V534" s="608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72</v>
      </c>
      <c r="Q535" s="607"/>
      <c r="R535" s="607"/>
      <c r="S535" s="607"/>
      <c r="T535" s="607"/>
      <c r="U535" s="607"/>
      <c r="V535" s="608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810</v>
      </c>
      <c r="Q536" s="676"/>
      <c r="R536" s="676"/>
      <c r="S536" s="676"/>
      <c r="T536" s="676"/>
      <c r="U536" s="676"/>
      <c r="V536" s="677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14269.4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14438.700000000003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811</v>
      </c>
      <c r="Q537" s="676"/>
      <c r="R537" s="676"/>
      <c r="S537" s="676"/>
      <c r="T537" s="676"/>
      <c r="U537" s="676"/>
      <c r="V537" s="677"/>
      <c r="W537" s="37" t="s">
        <v>70</v>
      </c>
      <c r="X537" s="593">
        <f>IFERROR(SUM(BM22:BM533),"0")</f>
        <v>15195.837574421108</v>
      </c>
      <c r="Y537" s="593">
        <f>IFERROR(SUM(BN22:BN533),"0")</f>
        <v>15376.252999999999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812</v>
      </c>
      <c r="Q538" s="676"/>
      <c r="R538" s="676"/>
      <c r="S538" s="676"/>
      <c r="T538" s="676"/>
      <c r="U538" s="676"/>
      <c r="V538" s="677"/>
      <c r="W538" s="37" t="s">
        <v>813</v>
      </c>
      <c r="X538" s="38">
        <f>ROUNDUP(SUM(BO22:BO533),0)</f>
        <v>27</v>
      </c>
      <c r="Y538" s="38">
        <f>ROUNDUP(SUM(BP22:BP533),0)</f>
        <v>27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814</v>
      </c>
      <c r="Q539" s="676"/>
      <c r="R539" s="676"/>
      <c r="S539" s="676"/>
      <c r="T539" s="676"/>
      <c r="U539" s="676"/>
      <c r="V539" s="677"/>
      <c r="W539" s="37" t="s">
        <v>70</v>
      </c>
      <c r="X539" s="593">
        <f>GrossWeightTotal+PalletQtyTotal*25</f>
        <v>15870.837574421108</v>
      </c>
      <c r="Y539" s="593">
        <f>GrossWeightTotalR+PalletQtyTotalR*25</f>
        <v>16051.252999999999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815</v>
      </c>
      <c r="Q540" s="676"/>
      <c r="R540" s="676"/>
      <c r="S540" s="676"/>
      <c r="T540" s="676"/>
      <c r="U540" s="676"/>
      <c r="V540" s="677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3369.1789691789695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3401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816</v>
      </c>
      <c r="Q541" s="676"/>
      <c r="R541" s="676"/>
      <c r="S541" s="676"/>
      <c r="T541" s="676"/>
      <c r="U541" s="676"/>
      <c r="V541" s="677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30.918410000000005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32" t="s">
        <v>100</v>
      </c>
      <c r="D543" s="745"/>
      <c r="E543" s="745"/>
      <c r="F543" s="745"/>
      <c r="G543" s="745"/>
      <c r="H543" s="746"/>
      <c r="I543" s="632" t="s">
        <v>273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567</v>
      </c>
      <c r="W543" s="746"/>
      <c r="X543" s="632" t="s">
        <v>627</v>
      </c>
      <c r="Y543" s="745"/>
      <c r="Z543" s="745"/>
      <c r="AA543" s="746"/>
      <c r="AB543" s="588" t="s">
        <v>686</v>
      </c>
      <c r="AC543" s="632" t="s">
        <v>753</v>
      </c>
      <c r="AD543" s="746"/>
      <c r="AF543" s="589"/>
    </row>
    <row r="544" spans="1:68" ht="14.25" customHeight="1" thickTop="1" x14ac:dyDescent="0.2">
      <c r="A544" s="903" t="s">
        <v>819</v>
      </c>
      <c r="B544" s="632" t="s">
        <v>63</v>
      </c>
      <c r="C544" s="632" t="s">
        <v>101</v>
      </c>
      <c r="D544" s="632" t="s">
        <v>122</v>
      </c>
      <c r="E544" s="632" t="s">
        <v>183</v>
      </c>
      <c r="F544" s="632" t="s">
        <v>210</v>
      </c>
      <c r="G544" s="632" t="s">
        <v>249</v>
      </c>
      <c r="H544" s="632" t="s">
        <v>100</v>
      </c>
      <c r="I544" s="632" t="s">
        <v>274</v>
      </c>
      <c r="J544" s="632" t="s">
        <v>314</v>
      </c>
      <c r="K544" s="632" t="s">
        <v>375</v>
      </c>
      <c r="L544" s="632" t="s">
        <v>415</v>
      </c>
      <c r="M544" s="632" t="s">
        <v>433</v>
      </c>
      <c r="N544" s="589"/>
      <c r="O544" s="632" t="s">
        <v>446</v>
      </c>
      <c r="P544" s="632" t="s">
        <v>456</v>
      </c>
      <c r="Q544" s="632" t="s">
        <v>463</v>
      </c>
      <c r="R544" s="632" t="s">
        <v>467</v>
      </c>
      <c r="S544" s="632" t="s">
        <v>473</v>
      </c>
      <c r="T544" s="632" t="s">
        <v>478</v>
      </c>
      <c r="U544" s="632" t="s">
        <v>554</v>
      </c>
      <c r="V544" s="632" t="s">
        <v>568</v>
      </c>
      <c r="W544" s="632" t="s">
        <v>602</v>
      </c>
      <c r="X544" s="632" t="s">
        <v>628</v>
      </c>
      <c r="Y544" s="632" t="s">
        <v>660</v>
      </c>
      <c r="Z544" s="632" t="s">
        <v>678</v>
      </c>
      <c r="AA544" s="632" t="s">
        <v>682</v>
      </c>
      <c r="AB544" s="632" t="s">
        <v>686</v>
      </c>
      <c r="AC544" s="632" t="s">
        <v>753</v>
      </c>
      <c r="AD544" s="632" t="s">
        <v>805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511.20000000000005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1215.9000000000001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1236.6000000000001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873</v>
      </c>
      <c r="G546" s="46">
        <f>IFERROR(Y137*1,"0")+IFERROR(Y138*1,"0")+IFERROR(Y142*1,"0")+IFERROR(Y143*1,"0")+IFERROR(Y147*1,"0")+IFERROR(Y148*1,"0")</f>
        <v>134.80000000000001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699.11999999999989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1697.9999999999998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274.09000000000003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360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176.4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529.04999999999995</v>
      </c>
      <c r="U546" s="46">
        <f>IFERROR(Y354*1,"0")+IFERROR(Y358*1,"0")+IFERROR(Y359*1,"0")+IFERROR(Y360*1,"0")</f>
        <v>1226.4000000000001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3421</v>
      </c>
      <c r="W546" s="46">
        <f>IFERROR(Y391*1,"0")+IFERROR(Y392*1,"0")+IFERROR(Y393*1,"0")+IFERROR(Y394*1,"0")+IFERROR(Y398*1,"0")+IFERROR(Y402*1,"0")+IFERROR(Y403*1,"0")+IFERROR(Y404*1,"0")+IFERROR(Y408*1,"0")</f>
        <v>60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101.10000000000001</v>
      </c>
      <c r="Y546" s="46">
        <f>IFERROR(Y433*1,"0")+IFERROR(Y434*1,"0")+IFERROR(Y438*1,"0")+IFERROR(Y439*1,"0")+IFERROR(Y440*1,"0")+IFERROR(Y441*1,"0")</f>
        <v>40.200000000000003</v>
      </c>
      <c r="Z546" s="46">
        <f>IFERROR(Y446*1,"0")</f>
        <v>40.799999999999997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1115.04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726</v>
      </c>
      <c r="AD546" s="46">
        <f>IFERROR(Y533*1,"0")</f>
        <v>0</v>
      </c>
      <c r="AF546" s="589"/>
    </row>
  </sheetData>
  <sheetProtection algorithmName="SHA-512" hashValue="H8WHN5v8gZOSG8bEcYON4R1EO8Cj30lGLMG7b6oFP99jFAy3KgS+gbE80guNMLog++sm7HpGU8dUAo8b+/89QQ==" saltValue="H/Fe3Wb54ST+Pfs7HFaeq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4 X58 X65 X92 X280 X366:X368 X376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1" xr:uid="{00000000-0002-0000-0000-000012000000}">
      <formula1>IF(AK311&gt;0,OR(X311=0,AND(IF(X311-AK311&gt;=0,TRUE,FALSE),X311&gt;0,IF(X311/(H311*K311)=ROUND(X311/(H311*K311),0),TRUE,FALSE))),FALSE)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g9nP8+zLZAk7PFzQkWigFRJVs3VCNQQMq89se7VPH5c4EiQGgCfznWmLp5hLrmqrWv/FksgX6vLa+aTYULYvkQ==" saltValue="o6sV6ddvNStCKC28NgJo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2025-05-28T08:58:05Z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