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92E5F80D-F2E5-4FED-A801-997FF55DF5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46" i="1" l="1"/>
  <c r="X535" i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Y487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3" i="1"/>
  <c r="Y452" i="1"/>
  <c r="X452" i="1"/>
  <c r="BP451" i="1"/>
  <c r="BO451" i="1"/>
  <c r="BN451" i="1"/>
  <c r="BM451" i="1"/>
  <c r="Z451" i="1"/>
  <c r="Z452" i="1" s="1"/>
  <c r="Y451" i="1"/>
  <c r="AA546" i="1" s="1"/>
  <c r="P451" i="1"/>
  <c r="X448" i="1"/>
  <c r="Y447" i="1"/>
  <c r="X447" i="1"/>
  <c r="BP446" i="1"/>
  <c r="BO446" i="1"/>
  <c r="BN446" i="1"/>
  <c r="BM446" i="1"/>
  <c r="Z446" i="1"/>
  <c r="Z447" i="1" s="1"/>
  <c r="Y446" i="1"/>
  <c r="Z546" i="1" s="1"/>
  <c r="P446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Y399" i="1"/>
  <c r="X399" i="1"/>
  <c r="BP398" i="1"/>
  <c r="BO398" i="1"/>
  <c r="BN398" i="1"/>
  <c r="BM398" i="1"/>
  <c r="Z398" i="1"/>
  <c r="Z399" i="1" s="1"/>
  <c r="Y398" i="1"/>
  <c r="Y400" i="1" s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Y383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U546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Y281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46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40" i="1" s="1"/>
  <c r="BO22" i="1"/>
  <c r="X538" i="1" s="1"/>
  <c r="BM22" i="1"/>
  <c r="X537" i="1" s="1"/>
  <c r="X539" i="1" s="1"/>
  <c r="Y22" i="1"/>
  <c r="B546" i="1" s="1"/>
  <c r="H10" i="1"/>
  <c r="F10" i="1"/>
  <c r="J9" i="1"/>
  <c r="F9" i="1"/>
  <c r="A9" i="1"/>
  <c r="A10" i="1" s="1"/>
  <c r="D7" i="1"/>
  <c r="Q6" i="1"/>
  <c r="P2" i="1"/>
  <c r="Z194" i="1" l="1"/>
  <c r="Z144" i="1"/>
  <c r="Y24" i="1"/>
  <c r="Y32" i="1"/>
  <c r="Y46" i="1"/>
  <c r="Y50" i="1"/>
  <c r="Y59" i="1"/>
  <c r="Y67" i="1"/>
  <c r="Y73" i="1"/>
  <c r="Y81" i="1"/>
  <c r="Y87" i="1"/>
  <c r="E546" i="1"/>
  <c r="Y93" i="1"/>
  <c r="BP90" i="1"/>
  <c r="BN90" i="1"/>
  <c r="BP92" i="1"/>
  <c r="BN92" i="1"/>
  <c r="Z92" i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Z112" i="1" s="1"/>
  <c r="Y112" i="1"/>
  <c r="Z118" i="1"/>
  <c r="BP116" i="1"/>
  <c r="BN116" i="1"/>
  <c r="Z116" i="1"/>
  <c r="BP124" i="1"/>
  <c r="BN124" i="1"/>
  <c r="Z124" i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BP158" i="1"/>
  <c r="BN158" i="1"/>
  <c r="Z158" i="1"/>
  <c r="Z160" i="1" s="1"/>
  <c r="BP172" i="1"/>
  <c r="BN172" i="1"/>
  <c r="Z172" i="1"/>
  <c r="BP176" i="1"/>
  <c r="BN176" i="1"/>
  <c r="Z176" i="1"/>
  <c r="BP193" i="1"/>
  <c r="BN193" i="1"/>
  <c r="Z193" i="1"/>
  <c r="Y195" i="1"/>
  <c r="Y200" i="1"/>
  <c r="BP197" i="1"/>
  <c r="BN197" i="1"/>
  <c r="Z197" i="1"/>
  <c r="Z199" i="1" s="1"/>
  <c r="BP205" i="1"/>
  <c r="BN205" i="1"/>
  <c r="Z205" i="1"/>
  <c r="BP209" i="1"/>
  <c r="BN209" i="1"/>
  <c r="Z209" i="1"/>
  <c r="Y211" i="1"/>
  <c r="Y222" i="1"/>
  <c r="BP213" i="1"/>
  <c r="BN213" i="1"/>
  <c r="Z213" i="1"/>
  <c r="BP217" i="1"/>
  <c r="BN217" i="1"/>
  <c r="Z217" i="1"/>
  <c r="BP221" i="1"/>
  <c r="BN221" i="1"/>
  <c r="Z221" i="1"/>
  <c r="Y223" i="1"/>
  <c r="Y227" i="1"/>
  <c r="Y228" i="1"/>
  <c r="BP225" i="1"/>
  <c r="BN225" i="1"/>
  <c r="Z225" i="1"/>
  <c r="Z227" i="1" s="1"/>
  <c r="BP253" i="1"/>
  <c r="BN253" i="1"/>
  <c r="Z253" i="1"/>
  <c r="BP262" i="1"/>
  <c r="BN262" i="1"/>
  <c r="Z262" i="1"/>
  <c r="Y266" i="1"/>
  <c r="BP271" i="1"/>
  <c r="BN271" i="1"/>
  <c r="Z271" i="1"/>
  <c r="Z274" i="1" s="1"/>
  <c r="Y27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Y338" i="1"/>
  <c r="BP348" i="1"/>
  <c r="BN348" i="1"/>
  <c r="Z348" i="1"/>
  <c r="Z350" i="1" s="1"/>
  <c r="Y350" i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H9" i="1"/>
  <c r="Z22" i="1"/>
  <c r="Z23" i="1" s="1"/>
  <c r="BN22" i="1"/>
  <c r="BP22" i="1"/>
  <c r="Y23" i="1"/>
  <c r="X536" i="1"/>
  <c r="Z26" i="1"/>
  <c r="Z32" i="1" s="1"/>
  <c r="BN26" i="1"/>
  <c r="BP26" i="1"/>
  <c r="Z28" i="1"/>
  <c r="BN28" i="1"/>
  <c r="Z30" i="1"/>
  <c r="BN30" i="1"/>
  <c r="C546" i="1"/>
  <c r="Z42" i="1"/>
  <c r="Z45" i="1" s="1"/>
  <c r="BN42" i="1"/>
  <c r="Z44" i="1"/>
  <c r="BN44" i="1"/>
  <c r="Y45" i="1"/>
  <c r="Z48" i="1"/>
  <c r="Z49" i="1" s="1"/>
  <c r="BN48" i="1"/>
  <c r="BP48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Z65" i="1"/>
  <c r="BN65" i="1"/>
  <c r="Z69" i="1"/>
  <c r="Z72" i="1" s="1"/>
  <c r="BN69" i="1"/>
  <c r="BP69" i="1"/>
  <c r="Z71" i="1"/>
  <c r="BN71" i="1"/>
  <c r="Z75" i="1"/>
  <c r="BN75" i="1"/>
  <c r="BP75" i="1"/>
  <c r="Z77" i="1"/>
  <c r="BN77" i="1"/>
  <c r="Z79" i="1"/>
  <c r="BN79" i="1"/>
  <c r="Z85" i="1"/>
  <c r="Z86" i="1" s="1"/>
  <c r="BN85" i="1"/>
  <c r="Z90" i="1"/>
  <c r="Z93" i="1" s="1"/>
  <c r="BP97" i="1"/>
  <c r="BN97" i="1"/>
  <c r="Z97" i="1"/>
  <c r="BP101" i="1"/>
  <c r="BN101" i="1"/>
  <c r="Z101" i="1"/>
  <c r="BP110" i="1"/>
  <c r="BN110" i="1"/>
  <c r="Z110" i="1"/>
  <c r="Y119" i="1"/>
  <c r="Y118" i="1"/>
  <c r="BP122" i="1"/>
  <c r="BN122" i="1"/>
  <c r="Z122" i="1"/>
  <c r="BP126" i="1"/>
  <c r="BN126" i="1"/>
  <c r="Z126" i="1"/>
  <c r="Z128" i="1" s="1"/>
  <c r="Y133" i="1"/>
  <c r="Y139" i="1"/>
  <c r="BP143" i="1"/>
  <c r="BN143" i="1"/>
  <c r="Z143" i="1"/>
  <c r="Y145" i="1"/>
  <c r="Y150" i="1"/>
  <c r="BP147" i="1"/>
  <c r="BN147" i="1"/>
  <c r="Z147" i="1"/>
  <c r="Z149" i="1" s="1"/>
  <c r="Y161" i="1"/>
  <c r="Y160" i="1"/>
  <c r="BP170" i="1"/>
  <c r="BN170" i="1"/>
  <c r="Z170" i="1"/>
  <c r="Z178" i="1" s="1"/>
  <c r="BP174" i="1"/>
  <c r="BN174" i="1"/>
  <c r="Z174" i="1"/>
  <c r="Y178" i="1"/>
  <c r="BP182" i="1"/>
  <c r="BN182" i="1"/>
  <c r="Z182" i="1"/>
  <c r="Z184" i="1" s="1"/>
  <c r="Y199" i="1"/>
  <c r="BP203" i="1"/>
  <c r="BN203" i="1"/>
  <c r="Z203" i="1"/>
  <c r="Z210" i="1" s="1"/>
  <c r="BP207" i="1"/>
  <c r="BN207" i="1"/>
  <c r="Z207" i="1"/>
  <c r="BP215" i="1"/>
  <c r="BN215" i="1"/>
  <c r="Z215" i="1"/>
  <c r="BP219" i="1"/>
  <c r="BN219" i="1"/>
  <c r="Z219" i="1"/>
  <c r="BP233" i="1"/>
  <c r="BN233" i="1"/>
  <c r="Z233" i="1"/>
  <c r="BP237" i="1"/>
  <c r="BN237" i="1"/>
  <c r="Z237" i="1"/>
  <c r="Z244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Y316" i="1"/>
  <c r="BP314" i="1"/>
  <c r="BN314" i="1"/>
  <c r="Z314" i="1"/>
  <c r="Z373" i="1"/>
  <c r="BP367" i="1"/>
  <c r="BN367" i="1"/>
  <c r="Z367" i="1"/>
  <c r="Y373" i="1"/>
  <c r="BP371" i="1"/>
  <c r="BN371" i="1"/>
  <c r="Z371" i="1"/>
  <c r="H546" i="1"/>
  <c r="Y546" i="1"/>
  <c r="I546" i="1"/>
  <c r="Y167" i="1"/>
  <c r="J546" i="1"/>
  <c r="Y194" i="1"/>
  <c r="K546" i="1"/>
  <c r="Y240" i="1"/>
  <c r="BP231" i="1"/>
  <c r="BN231" i="1"/>
  <c r="Z231" i="1"/>
  <c r="Z239" i="1" s="1"/>
  <c r="BP235" i="1"/>
  <c r="BN235" i="1"/>
  <c r="Z235" i="1"/>
  <c r="Y239" i="1"/>
  <c r="BP243" i="1"/>
  <c r="BN243" i="1"/>
  <c r="Z243" i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Z266" i="1" s="1"/>
  <c r="BP264" i="1"/>
  <c r="BN264" i="1"/>
  <c r="Z264" i="1"/>
  <c r="Z281" i="1"/>
  <c r="BP279" i="1"/>
  <c r="BN279" i="1"/>
  <c r="Z279" i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Z344" i="1"/>
  <c r="BP342" i="1"/>
  <c r="BN342" i="1"/>
  <c r="Z342" i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Z395" i="1" s="1"/>
  <c r="BP415" i="1"/>
  <c r="BN415" i="1"/>
  <c r="Z415" i="1"/>
  <c r="Z424" i="1" s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Z405" i="1"/>
  <c r="BP403" i="1"/>
  <c r="BN403" i="1"/>
  <c r="Z403" i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Y442" i="1"/>
  <c r="BP458" i="1"/>
  <c r="BN458" i="1"/>
  <c r="Z458" i="1"/>
  <c r="Z470" i="1" s="1"/>
  <c r="BP462" i="1"/>
  <c r="BN462" i="1"/>
  <c r="Z462" i="1"/>
  <c r="BP466" i="1"/>
  <c r="BN466" i="1"/>
  <c r="Z466" i="1"/>
  <c r="Y470" i="1"/>
  <c r="Z476" i="1"/>
  <c r="BP474" i="1"/>
  <c r="BN474" i="1"/>
  <c r="Z474" i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Z512" i="1" s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Y540" i="1" l="1"/>
  <c r="Y537" i="1"/>
  <c r="Z522" i="1"/>
  <c r="Z104" i="1"/>
  <c r="Y536" i="1"/>
  <c r="Z487" i="1"/>
  <c r="Z442" i="1"/>
  <c r="Z323" i="1"/>
  <c r="Z256" i="1"/>
  <c r="Z316" i="1"/>
  <c r="Z81" i="1"/>
  <c r="Y538" i="1"/>
  <c r="Z493" i="1"/>
  <c r="Z337" i="1"/>
  <c r="Z331" i="1"/>
  <c r="Z222" i="1"/>
  <c r="Z541" i="1" s="1"/>
  <c r="Y539" i="1" l="1"/>
</calcChain>
</file>

<file path=xl/sharedStrings.xml><?xml version="1.0" encoding="utf-8"?>
<sst xmlns="http://schemas.openxmlformats.org/spreadsheetml/2006/main" count="2387" uniqueCount="836">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</sst>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3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45806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Четверг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1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 t="s">
        <v>19</v>
      </c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20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21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22</v>
      </c>
      <c r="Q10" s="773"/>
      <c r="R10" s="774"/>
      <c r="U10" s="24" t="s">
        <v>23</v>
      </c>
      <c r="V10" s="639" t="s">
        <v>24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7"/>
      <c r="R11" s="718"/>
      <c r="U11" s="24" t="s">
        <v>27</v>
      </c>
      <c r="V11" s="860" t="s">
        <v>28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29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30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31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32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33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34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35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36</v>
      </c>
      <c r="B17" s="634" t="s">
        <v>37</v>
      </c>
      <c r="C17" s="735" t="s">
        <v>38</v>
      </c>
      <c r="D17" s="634" t="s">
        <v>39</v>
      </c>
      <c r="E17" s="699"/>
      <c r="F17" s="634" t="s">
        <v>40</v>
      </c>
      <c r="G17" s="634" t="s">
        <v>41</v>
      </c>
      <c r="H17" s="634" t="s">
        <v>42</v>
      </c>
      <c r="I17" s="634" t="s">
        <v>43</v>
      </c>
      <c r="J17" s="634" t="s">
        <v>44</v>
      </c>
      <c r="K17" s="634" t="s">
        <v>45</v>
      </c>
      <c r="L17" s="634" t="s">
        <v>46</v>
      </c>
      <c r="M17" s="634" t="s">
        <v>47</v>
      </c>
      <c r="N17" s="634" t="s">
        <v>48</v>
      </c>
      <c r="O17" s="634" t="s">
        <v>49</v>
      </c>
      <c r="P17" s="634" t="s">
        <v>50</v>
      </c>
      <c r="Q17" s="698"/>
      <c r="R17" s="698"/>
      <c r="S17" s="698"/>
      <c r="T17" s="699"/>
      <c r="U17" s="932" t="s">
        <v>51</v>
      </c>
      <c r="V17" s="677"/>
      <c r="W17" s="634" t="s">
        <v>52</v>
      </c>
      <c r="X17" s="634" t="s">
        <v>53</v>
      </c>
      <c r="Y17" s="933" t="s">
        <v>54</v>
      </c>
      <c r="Z17" s="834" t="s">
        <v>55</v>
      </c>
      <c r="AA17" s="814" t="s">
        <v>56</v>
      </c>
      <c r="AB17" s="814" t="s">
        <v>57</v>
      </c>
      <c r="AC17" s="814" t="s">
        <v>58</v>
      </c>
      <c r="AD17" s="814" t="s">
        <v>59</v>
      </c>
      <c r="AE17" s="890"/>
      <c r="AF17" s="891"/>
      <c r="AG17" s="66"/>
      <c r="BD17" s="65" t="s">
        <v>60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61</v>
      </c>
      <c r="V18" s="67" t="s">
        <v>62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63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63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64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0" t="s">
        <v>69</v>
      </c>
      <c r="Q22" s="596"/>
      <c r="R22" s="596"/>
      <c r="S22" s="596"/>
      <c r="T22" s="597"/>
      <c r="U22" s="34"/>
      <c r="V22" s="34"/>
      <c r="W22" s="35" t="s">
        <v>70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72</v>
      </c>
      <c r="Q23" s="607"/>
      <c r="R23" s="607"/>
      <c r="S23" s="607"/>
      <c r="T23" s="607"/>
      <c r="U23" s="607"/>
      <c r="V23" s="608"/>
      <c r="W23" s="37" t="s">
        <v>73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72</v>
      </c>
      <c r="Q24" s="607"/>
      <c r="R24" s="607"/>
      <c r="S24" s="607"/>
      <c r="T24" s="607"/>
      <c r="U24" s="607"/>
      <c r="V24" s="608"/>
      <c r="W24" s="37" t="s">
        <v>70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74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75</v>
      </c>
      <c r="B26" s="54" t="s">
        <v>76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77</v>
      </c>
      <c r="L26" s="32"/>
      <c r="M26" s="33" t="s">
        <v>68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70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77</v>
      </c>
      <c r="L27" s="32"/>
      <c r="M27" s="33" t="s">
        <v>68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70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70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70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70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91</v>
      </c>
      <c r="B31" s="54" t="s">
        <v>92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77</v>
      </c>
      <c r="L31" s="32"/>
      <c r="M31" s="33" t="s">
        <v>68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70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72</v>
      </c>
      <c r="Q32" s="607"/>
      <c r="R32" s="607"/>
      <c r="S32" s="607"/>
      <c r="T32" s="607"/>
      <c r="U32" s="607"/>
      <c r="V32" s="608"/>
      <c r="W32" s="37" t="s">
        <v>73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72</v>
      </c>
      <c r="Q33" s="607"/>
      <c r="R33" s="607"/>
      <c r="S33" s="607"/>
      <c r="T33" s="607"/>
      <c r="U33" s="607"/>
      <c r="V33" s="608"/>
      <c r="W33" s="37" t="s">
        <v>70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94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77</v>
      </c>
      <c r="L35" s="32"/>
      <c r="M35" s="33" t="s">
        <v>97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70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72</v>
      </c>
      <c r="Q36" s="607"/>
      <c r="R36" s="607"/>
      <c r="S36" s="607"/>
      <c r="T36" s="607"/>
      <c r="U36" s="607"/>
      <c r="V36" s="608"/>
      <c r="W36" s="37" t="s">
        <v>73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72</v>
      </c>
      <c r="Q37" s="607"/>
      <c r="R37" s="607"/>
      <c r="S37" s="607"/>
      <c r="T37" s="607"/>
      <c r="U37" s="607"/>
      <c r="V37" s="608"/>
      <c r="W37" s="37" t="s">
        <v>70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100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101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102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70</v>
      </c>
      <c r="X41" s="591">
        <v>20</v>
      </c>
      <c r="Y41" s="592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20.805555555555554</v>
      </c>
      <c r="BN41" s="64">
        <f>IFERROR(Y41*I41/H41,"0")</f>
        <v>22.47</v>
      </c>
      <c r="BO41" s="64">
        <f>IFERROR(1/J41*(X41/H41),"0")</f>
        <v>2.8935185185185182E-2</v>
      </c>
      <c r="BP41" s="64">
        <f>IFERROR(1/J41*(Y41/H41),"0")</f>
        <v>3.125E-2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98">
        <v>4607091385687</v>
      </c>
      <c r="E42" s="599"/>
      <c r="F42" s="590">
        <v>0.4</v>
      </c>
      <c r="G42" s="32">
        <v>10</v>
      </c>
      <c r="H42" s="590">
        <v>4</v>
      </c>
      <c r="I42" s="590">
        <v>4.21</v>
      </c>
      <c r="J42" s="32">
        <v>132</v>
      </c>
      <c r="K42" s="32" t="s">
        <v>110</v>
      </c>
      <c r="L42" s="32" t="s">
        <v>111</v>
      </c>
      <c r="M42" s="33" t="s">
        <v>112</v>
      </c>
      <c r="N42" s="33"/>
      <c r="O42" s="32">
        <v>50</v>
      </c>
      <c r="P42" s="6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6"/>
      <c r="R42" s="596"/>
      <c r="S42" s="596"/>
      <c r="T42" s="597"/>
      <c r="U42" s="34"/>
      <c r="V42" s="34"/>
      <c r="W42" s="35" t="s">
        <v>70</v>
      </c>
      <c r="X42" s="591">
        <v>155</v>
      </c>
      <c r="Y42" s="592">
        <f>IFERROR(IF(X42="",0,CEILING((X42/$H42),1)*$H42),"")</f>
        <v>156</v>
      </c>
      <c r="Z42" s="36">
        <f>IFERROR(IF(Y42=0,"",ROUNDUP(Y42/H42,0)*0.00902),"")</f>
        <v>0.35177999999999998</v>
      </c>
      <c r="AA42" s="56"/>
      <c r="AB42" s="57"/>
      <c r="AC42" s="87" t="s">
        <v>107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163.13749999999999</v>
      </c>
      <c r="BN42" s="64">
        <f>IFERROR(Y42*I42/H42,"0")</f>
        <v>164.19</v>
      </c>
      <c r="BO42" s="64">
        <f>IFERROR(1/J42*(X42/H42),"0")</f>
        <v>0.29356060606060608</v>
      </c>
      <c r="BP42" s="64">
        <f>IFERROR(1/J42*(Y42/H42),"0")</f>
        <v>0.29545454545454547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8">
        <v>4680115882539</v>
      </c>
      <c r="E43" s="599"/>
      <c r="F43" s="590">
        <v>0.37</v>
      </c>
      <c r="G43" s="32">
        <v>10</v>
      </c>
      <c r="H43" s="590">
        <v>3.7</v>
      </c>
      <c r="I43" s="590">
        <v>3.91</v>
      </c>
      <c r="J43" s="32">
        <v>132</v>
      </c>
      <c r="K43" s="32" t="s">
        <v>110</v>
      </c>
      <c r="L43" s="32"/>
      <c r="M43" s="33" t="s">
        <v>112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6"/>
      <c r="R43" s="596"/>
      <c r="S43" s="596"/>
      <c r="T43" s="597"/>
      <c r="U43" s="34"/>
      <c r="V43" s="34"/>
      <c r="W43" s="35" t="s">
        <v>70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70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72</v>
      </c>
      <c r="Q45" s="607"/>
      <c r="R45" s="607"/>
      <c r="S45" s="607"/>
      <c r="T45" s="607"/>
      <c r="U45" s="607"/>
      <c r="V45" s="608"/>
      <c r="W45" s="37" t="s">
        <v>73</v>
      </c>
      <c r="X45" s="593">
        <f>IFERROR(X41/H41,"0")+IFERROR(X42/H42,"0")+IFERROR(X43/H43,"0")+IFERROR(X44/H44,"0")</f>
        <v>40.601851851851855</v>
      </c>
      <c r="Y45" s="593">
        <f>IFERROR(Y41/H41,"0")+IFERROR(Y42/H42,"0")+IFERROR(Y43/H43,"0")+IFERROR(Y44/H44,"0")</f>
        <v>41</v>
      </c>
      <c r="Z45" s="593">
        <f>IFERROR(IF(Z41="",0,Z41),"0")+IFERROR(IF(Z42="",0,Z42),"0")+IFERROR(IF(Z43="",0,Z43),"0")+IFERROR(IF(Z44="",0,Z44),"0")</f>
        <v>0.38973999999999998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72</v>
      </c>
      <c r="Q46" s="607"/>
      <c r="R46" s="607"/>
      <c r="S46" s="607"/>
      <c r="T46" s="607"/>
      <c r="U46" s="607"/>
      <c r="V46" s="608"/>
      <c r="W46" s="37" t="s">
        <v>70</v>
      </c>
      <c r="X46" s="593">
        <f>IFERROR(SUM(X41:X44),"0")</f>
        <v>175</v>
      </c>
      <c r="Y46" s="593">
        <f>IFERROR(SUM(Y41:Y44),"0")</f>
        <v>177.6</v>
      </c>
      <c r="Z46" s="37"/>
      <c r="AA46" s="594"/>
      <c r="AB46" s="594"/>
      <c r="AC46" s="594"/>
    </row>
    <row r="47" spans="1:68" ht="14.25" customHeight="1" x14ac:dyDescent="0.25">
      <c r="A47" s="609" t="s">
        <v>74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77</v>
      </c>
      <c r="L48" s="32"/>
      <c r="M48" s="33" t="s">
        <v>112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70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72</v>
      </c>
      <c r="Q49" s="607"/>
      <c r="R49" s="607"/>
      <c r="S49" s="607"/>
      <c r="T49" s="607"/>
      <c r="U49" s="607"/>
      <c r="V49" s="608"/>
      <c r="W49" s="37" t="s">
        <v>73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72</v>
      </c>
      <c r="Q50" s="607"/>
      <c r="R50" s="607"/>
      <c r="S50" s="607"/>
      <c r="T50" s="607"/>
      <c r="U50" s="607"/>
      <c r="V50" s="608"/>
      <c r="W50" s="37" t="s">
        <v>70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122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102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105</v>
      </c>
      <c r="L53" s="32"/>
      <c r="M53" s="33" t="s">
        <v>112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70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105</v>
      </c>
      <c r="L54" s="32" t="s">
        <v>128</v>
      </c>
      <c r="M54" s="33" t="s">
        <v>106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70</v>
      </c>
      <c r="X54" s="591">
        <v>57</v>
      </c>
      <c r="Y54" s="592">
        <f t="shared" si="6"/>
        <v>64.800000000000011</v>
      </c>
      <c r="Z54" s="36">
        <f>IFERROR(IF(Y54=0,"",ROUNDUP(Y54/H54,0)*0.01898),"")</f>
        <v>0.11388000000000001</v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59.295833333333327</v>
      </c>
      <c r="BN54" s="64">
        <f t="shared" si="8"/>
        <v>67.410000000000011</v>
      </c>
      <c r="BO54" s="64">
        <f t="shared" si="9"/>
        <v>8.2465277777777776E-2</v>
      </c>
      <c r="BP54" s="64">
        <f t="shared" si="10"/>
        <v>9.3750000000000014E-2</v>
      </c>
    </row>
    <row r="55" spans="1:68" ht="27" customHeight="1" x14ac:dyDescent="0.25">
      <c r="A55" s="54" t="s">
        <v>131</v>
      </c>
      <c r="B55" s="54" t="s">
        <v>132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70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70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77</v>
      </c>
      <c r="L57" s="32"/>
      <c r="M57" s="33" t="s">
        <v>138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70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139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140</v>
      </c>
      <c r="B58" s="54" t="s">
        <v>141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110</v>
      </c>
      <c r="L58" s="32" t="s">
        <v>128</v>
      </c>
      <c r="M58" s="33" t="s">
        <v>106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70</v>
      </c>
      <c r="X58" s="591">
        <v>289</v>
      </c>
      <c r="Y58" s="592">
        <f t="shared" si="6"/>
        <v>292.5</v>
      </c>
      <c r="Z58" s="36">
        <f>IFERROR(IF(Y58=0,"",ROUNDUP(Y58/H58,0)*0.00902),"")</f>
        <v>0.58630000000000004</v>
      </c>
      <c r="AA58" s="56"/>
      <c r="AB58" s="57"/>
      <c r="AC58" s="105" t="s">
        <v>142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302.48666666666668</v>
      </c>
      <c r="BN58" s="64">
        <f t="shared" si="8"/>
        <v>306.14999999999998</v>
      </c>
      <c r="BO58" s="64">
        <f t="shared" si="9"/>
        <v>0.48653198653198659</v>
      </c>
      <c r="BP58" s="64">
        <f t="shared" si="10"/>
        <v>0.49242424242424243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72</v>
      </c>
      <c r="Q59" s="607"/>
      <c r="R59" s="607"/>
      <c r="S59" s="607"/>
      <c r="T59" s="607"/>
      <c r="U59" s="607"/>
      <c r="V59" s="608"/>
      <c r="W59" s="37" t="s">
        <v>73</v>
      </c>
      <c r="X59" s="593">
        <f>IFERROR(X53/H53,"0")+IFERROR(X54/H54,"0")+IFERROR(X55/H55,"0")+IFERROR(X56/H56,"0")+IFERROR(X57/H57,"0")+IFERROR(X58/H58,"0")</f>
        <v>69.5</v>
      </c>
      <c r="Y59" s="593">
        <f>IFERROR(Y53/H53,"0")+IFERROR(Y54/H54,"0")+IFERROR(Y55/H55,"0")+IFERROR(Y56/H56,"0")+IFERROR(Y57/H57,"0")+IFERROR(Y58/H58,"0")</f>
        <v>71</v>
      </c>
      <c r="Z59" s="593">
        <f>IFERROR(IF(Z53="",0,Z53),"0")+IFERROR(IF(Z54="",0,Z54),"0")+IFERROR(IF(Z55="",0,Z55),"0")+IFERROR(IF(Z56="",0,Z56),"0")+IFERROR(IF(Z57="",0,Z57),"0")+IFERROR(IF(Z58="",0,Z58),"0")</f>
        <v>0.70018000000000002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72</v>
      </c>
      <c r="Q60" s="607"/>
      <c r="R60" s="607"/>
      <c r="S60" s="607"/>
      <c r="T60" s="607"/>
      <c r="U60" s="607"/>
      <c r="V60" s="608"/>
      <c r="W60" s="37" t="s">
        <v>70</v>
      </c>
      <c r="X60" s="593">
        <f>IFERROR(SUM(X53:X58),"0")</f>
        <v>346</v>
      </c>
      <c r="Y60" s="593">
        <f>IFERROR(SUM(Y53:Y58),"0")</f>
        <v>357.3</v>
      </c>
      <c r="Z60" s="37"/>
      <c r="AA60" s="594"/>
      <c r="AB60" s="594"/>
      <c r="AC60" s="594"/>
    </row>
    <row r="61" spans="1:68" ht="14.25" customHeight="1" x14ac:dyDescent="0.25">
      <c r="A61" s="609" t="s">
        <v>143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144</v>
      </c>
      <c r="B62" s="54" t="s">
        <v>145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70</v>
      </c>
      <c r="X62" s="591">
        <v>300</v>
      </c>
      <c r="Y62" s="592">
        <f>IFERROR(IF(X62="",0,CEILING((X62/$H62),1)*$H62),"")</f>
        <v>302.40000000000003</v>
      </c>
      <c r="Z62" s="36">
        <f>IFERROR(IF(Y62=0,"",ROUNDUP(Y62/H62,0)*0.01898),"")</f>
        <v>0.53144000000000002</v>
      </c>
      <c r="AA62" s="56"/>
      <c r="AB62" s="57"/>
      <c r="AC62" s="107" t="s">
        <v>146</v>
      </c>
      <c r="AG62" s="64"/>
      <c r="AJ62" s="68"/>
      <c r="AK62" s="68">
        <v>0</v>
      </c>
      <c r="BB62" s="108" t="s">
        <v>1</v>
      </c>
      <c r="BM62" s="64">
        <f>IFERROR(X62*I62/H62,"0")</f>
        <v>312.08333333333331</v>
      </c>
      <c r="BN62" s="64">
        <f>IFERROR(Y62*I62/H62,"0")</f>
        <v>314.58000000000004</v>
      </c>
      <c r="BO62" s="64">
        <f>IFERROR(1/J62*(X62/H62),"0")</f>
        <v>0.43402777777777773</v>
      </c>
      <c r="BP62" s="64">
        <f>IFERROR(1/J62*(Y62/H62),"0")</f>
        <v>0.4375</v>
      </c>
    </row>
    <row r="63" spans="1:68" ht="27" customHeight="1" x14ac:dyDescent="0.25">
      <c r="A63" s="54" t="s">
        <v>147</v>
      </c>
      <c r="B63" s="54" t="s">
        <v>148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70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149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150</v>
      </c>
      <c r="B64" s="54" t="s">
        <v>151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77</v>
      </c>
      <c r="L64" s="32"/>
      <c r="M64" s="33" t="s">
        <v>112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70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152</v>
      </c>
      <c r="B65" s="54" t="s">
        <v>153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77</v>
      </c>
      <c r="L65" s="32" t="s">
        <v>128</v>
      </c>
      <c r="M65" s="33" t="s">
        <v>106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70</v>
      </c>
      <c r="X65" s="591">
        <v>28</v>
      </c>
      <c r="Y65" s="592">
        <f>IFERROR(IF(X65="",0,CEILING((X65/$H65),1)*$H65),"")</f>
        <v>29.700000000000003</v>
      </c>
      <c r="Z65" s="36">
        <f>IFERROR(IF(Y65=0,"",ROUNDUP(Y65/H65,0)*0.00651),"")</f>
        <v>7.1610000000000007E-2</v>
      </c>
      <c r="AA65" s="56"/>
      <c r="AB65" s="57"/>
      <c r="AC65" s="113" t="s">
        <v>146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29.866666666666664</v>
      </c>
      <c r="BN65" s="64">
        <f>IFERROR(Y65*I65/H65,"0")</f>
        <v>31.68</v>
      </c>
      <c r="BO65" s="64">
        <f>IFERROR(1/J65*(X65/H65),"0")</f>
        <v>5.6980056980056981E-2</v>
      </c>
      <c r="BP65" s="64">
        <f>IFERROR(1/J65*(Y65/H65),"0")</f>
        <v>6.0439560439560447E-2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72</v>
      </c>
      <c r="Q66" s="607"/>
      <c r="R66" s="607"/>
      <c r="S66" s="607"/>
      <c r="T66" s="607"/>
      <c r="U66" s="607"/>
      <c r="V66" s="608"/>
      <c r="W66" s="37" t="s">
        <v>73</v>
      </c>
      <c r="X66" s="593">
        <f>IFERROR(X62/H62,"0")+IFERROR(X63/H63,"0")+IFERROR(X64/H64,"0")+IFERROR(X65/H65,"0")</f>
        <v>38.148148148148145</v>
      </c>
      <c r="Y66" s="593">
        <f>IFERROR(Y62/H62,"0")+IFERROR(Y63/H63,"0")+IFERROR(Y64/H64,"0")+IFERROR(Y65/H65,"0")</f>
        <v>39</v>
      </c>
      <c r="Z66" s="593">
        <f>IFERROR(IF(Z62="",0,Z62),"0")+IFERROR(IF(Z63="",0,Z63),"0")+IFERROR(IF(Z64="",0,Z64),"0")+IFERROR(IF(Z65="",0,Z65),"0")</f>
        <v>0.60305000000000009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72</v>
      </c>
      <c r="Q67" s="607"/>
      <c r="R67" s="607"/>
      <c r="S67" s="607"/>
      <c r="T67" s="607"/>
      <c r="U67" s="607"/>
      <c r="V67" s="608"/>
      <c r="W67" s="37" t="s">
        <v>70</v>
      </c>
      <c r="X67" s="593">
        <f>IFERROR(SUM(X62:X65),"0")</f>
        <v>328</v>
      </c>
      <c r="Y67" s="593">
        <f>IFERROR(SUM(Y62:Y65),"0")</f>
        <v>332.1</v>
      </c>
      <c r="Z67" s="37"/>
      <c r="AA67" s="594"/>
      <c r="AB67" s="594"/>
      <c r="AC67" s="594"/>
    </row>
    <row r="68" spans="1:68" ht="14.25" customHeight="1" x14ac:dyDescent="0.25">
      <c r="A68" s="609" t="s">
        <v>64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154</v>
      </c>
      <c r="B69" s="54" t="s">
        <v>155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70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156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70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159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160</v>
      </c>
      <c r="B71" s="54" t="s">
        <v>161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70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162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72</v>
      </c>
      <c r="Q72" s="607"/>
      <c r="R72" s="607"/>
      <c r="S72" s="607"/>
      <c r="T72" s="607"/>
      <c r="U72" s="607"/>
      <c r="V72" s="608"/>
      <c r="W72" s="37" t="s">
        <v>73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72</v>
      </c>
      <c r="Q73" s="607"/>
      <c r="R73" s="607"/>
      <c r="S73" s="607"/>
      <c r="T73" s="607"/>
      <c r="U73" s="607"/>
      <c r="V73" s="608"/>
      <c r="W73" s="37" t="s">
        <v>70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74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163</v>
      </c>
      <c r="B75" s="54" t="s">
        <v>164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105</v>
      </c>
      <c r="L75" s="32"/>
      <c r="M75" s="33" t="s">
        <v>112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70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165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166</v>
      </c>
      <c r="B76" s="54" t="s">
        <v>167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105</v>
      </c>
      <c r="L76" s="32"/>
      <c r="M76" s="33" t="s">
        <v>112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70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168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169</v>
      </c>
      <c r="B77" s="54" t="s">
        <v>170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105</v>
      </c>
      <c r="L77" s="32"/>
      <c r="M77" s="33" t="s">
        <v>112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70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172</v>
      </c>
      <c r="B78" s="54" t="s">
        <v>173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77</v>
      </c>
      <c r="L78" s="32"/>
      <c r="M78" s="33" t="s">
        <v>112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70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165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174</v>
      </c>
      <c r="B79" s="54" t="s">
        <v>175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77</v>
      </c>
      <c r="L79" s="32"/>
      <c r="M79" s="33" t="s">
        <v>112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70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168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176</v>
      </c>
      <c r="B80" s="54" t="s">
        <v>177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77</v>
      </c>
      <c r="L80" s="32"/>
      <c r="M80" s="33" t="s">
        <v>112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70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171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72</v>
      </c>
      <c r="Q81" s="607"/>
      <c r="R81" s="607"/>
      <c r="S81" s="607"/>
      <c r="T81" s="607"/>
      <c r="U81" s="607"/>
      <c r="V81" s="608"/>
      <c r="W81" s="37" t="s">
        <v>73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72</v>
      </c>
      <c r="Q82" s="607"/>
      <c r="R82" s="607"/>
      <c r="S82" s="607"/>
      <c r="T82" s="607"/>
      <c r="U82" s="607"/>
      <c r="V82" s="608"/>
      <c r="W82" s="37" t="s">
        <v>70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customHeight="1" x14ac:dyDescent="0.25">
      <c r="A83" s="609" t="s">
        <v>178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179</v>
      </c>
      <c r="B84" s="54" t="s">
        <v>180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105</v>
      </c>
      <c r="L84" s="32"/>
      <c r="M84" s="33" t="s">
        <v>138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70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181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182</v>
      </c>
      <c r="B85" s="54" t="s">
        <v>183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110</v>
      </c>
      <c r="L85" s="32"/>
      <c r="M85" s="33" t="s">
        <v>112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70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184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72</v>
      </c>
      <c r="Q86" s="607"/>
      <c r="R86" s="607"/>
      <c r="S86" s="607"/>
      <c r="T86" s="607"/>
      <c r="U86" s="607"/>
      <c r="V86" s="608"/>
      <c r="W86" s="37" t="s">
        <v>73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72</v>
      </c>
      <c r="Q87" s="607"/>
      <c r="R87" s="607"/>
      <c r="S87" s="607"/>
      <c r="T87" s="607"/>
      <c r="U87" s="607"/>
      <c r="V87" s="608"/>
      <c r="W87" s="37" t="s">
        <v>70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customHeight="1" x14ac:dyDescent="0.25">
      <c r="A88" s="605" t="s">
        <v>185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102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186</v>
      </c>
      <c r="B90" s="54" t="s">
        <v>187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105</v>
      </c>
      <c r="L90" s="32"/>
      <c r="M90" s="33" t="s">
        <v>138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70</v>
      </c>
      <c r="X90" s="591">
        <v>12</v>
      </c>
      <c r="Y90" s="592">
        <f>IFERROR(IF(X90="",0,CEILING((X90/$H90),1)*$H90),"")</f>
        <v>21.6</v>
      </c>
      <c r="Z90" s="36">
        <f>IFERROR(IF(Y90=0,"",ROUNDUP(Y90/H90,0)*0.01898),"")</f>
        <v>3.7960000000000001E-2</v>
      </c>
      <c r="AA90" s="56"/>
      <c r="AB90" s="57"/>
      <c r="AC90" s="137" t="s">
        <v>188</v>
      </c>
      <c r="AG90" s="64"/>
      <c r="AJ90" s="68"/>
      <c r="AK90" s="68">
        <v>0</v>
      </c>
      <c r="BB90" s="138" t="s">
        <v>1</v>
      </c>
      <c r="BM90" s="64">
        <f>IFERROR(X90*I90/H90,"0")</f>
        <v>12.483333333333333</v>
      </c>
      <c r="BN90" s="64">
        <f>IFERROR(Y90*I90/H90,"0")</f>
        <v>22.47</v>
      </c>
      <c r="BO90" s="64">
        <f>IFERROR(1/J90*(X90/H90),"0")</f>
        <v>1.7361111111111108E-2</v>
      </c>
      <c r="BP90" s="64">
        <f>IFERROR(1/J90*(Y90/H90),"0")</f>
        <v>3.125E-2</v>
      </c>
    </row>
    <row r="91" spans="1:68" ht="16.5" customHeight="1" x14ac:dyDescent="0.25">
      <c r="A91" s="54" t="s">
        <v>189</v>
      </c>
      <c r="B91" s="54" t="s">
        <v>190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110</v>
      </c>
      <c r="L91" s="32"/>
      <c r="M91" s="33" t="s">
        <v>112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70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191</v>
      </c>
      <c r="B92" s="54" t="s">
        <v>192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110</v>
      </c>
      <c r="L92" s="32" t="s">
        <v>111</v>
      </c>
      <c r="M92" s="33" t="s">
        <v>138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70</v>
      </c>
      <c r="X92" s="591">
        <v>69</v>
      </c>
      <c r="Y92" s="592">
        <f>IFERROR(IF(X92="",0,CEILING((X92/$H92),1)*$H92),"")</f>
        <v>72</v>
      </c>
      <c r="Z92" s="36">
        <f>IFERROR(IF(Y92=0,"",ROUNDUP(Y92/H92,0)*0.00902),"")</f>
        <v>0.14432</v>
      </c>
      <c r="AA92" s="56"/>
      <c r="AB92" s="57"/>
      <c r="AC92" s="141" t="s">
        <v>193</v>
      </c>
      <c r="AG92" s="64"/>
      <c r="AJ92" s="68" t="s">
        <v>113</v>
      </c>
      <c r="AK92" s="68">
        <v>54</v>
      </c>
      <c r="BB92" s="142" t="s">
        <v>1</v>
      </c>
      <c r="BM92" s="64">
        <f>IFERROR(X92*I92/H92,"0")</f>
        <v>72.22</v>
      </c>
      <c r="BN92" s="64">
        <f>IFERROR(Y92*I92/H92,"0")</f>
        <v>75.36</v>
      </c>
      <c r="BO92" s="64">
        <f>IFERROR(1/J92*(X92/H92),"0")</f>
        <v>0.11616161616161617</v>
      </c>
      <c r="BP92" s="64">
        <f>IFERROR(1/J92*(Y92/H92),"0")</f>
        <v>0.12121212121212122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72</v>
      </c>
      <c r="Q93" s="607"/>
      <c r="R93" s="607"/>
      <c r="S93" s="607"/>
      <c r="T93" s="607"/>
      <c r="U93" s="607"/>
      <c r="V93" s="608"/>
      <c r="W93" s="37" t="s">
        <v>73</v>
      </c>
      <c r="X93" s="593">
        <f>IFERROR(X90/H90,"0")+IFERROR(X91/H91,"0")+IFERROR(X92/H92,"0")</f>
        <v>16.444444444444446</v>
      </c>
      <c r="Y93" s="593">
        <f>IFERROR(Y90/H90,"0")+IFERROR(Y91/H91,"0")+IFERROR(Y92/H92,"0")</f>
        <v>18</v>
      </c>
      <c r="Z93" s="593">
        <f>IFERROR(IF(Z90="",0,Z90),"0")+IFERROR(IF(Z91="",0,Z91),"0")+IFERROR(IF(Z92="",0,Z92),"0")</f>
        <v>0.18228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72</v>
      </c>
      <c r="Q94" s="607"/>
      <c r="R94" s="607"/>
      <c r="S94" s="607"/>
      <c r="T94" s="607"/>
      <c r="U94" s="607"/>
      <c r="V94" s="608"/>
      <c r="W94" s="37" t="s">
        <v>70</v>
      </c>
      <c r="X94" s="593">
        <f>IFERROR(SUM(X90:X92),"0")</f>
        <v>81</v>
      </c>
      <c r="Y94" s="593">
        <f>IFERROR(SUM(Y90:Y92),"0")</f>
        <v>93.6</v>
      </c>
      <c r="Z94" s="37"/>
      <c r="AA94" s="594"/>
      <c r="AB94" s="594"/>
      <c r="AC94" s="594"/>
    </row>
    <row r="95" spans="1:68" ht="14.25" customHeight="1" x14ac:dyDescent="0.25">
      <c r="A95" s="609" t="s">
        <v>74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194</v>
      </c>
      <c r="B96" s="54" t="s">
        <v>195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105</v>
      </c>
      <c r="L96" s="32"/>
      <c r="M96" s="33" t="s">
        <v>112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70</v>
      </c>
      <c r="X96" s="591">
        <v>30</v>
      </c>
      <c r="Y96" s="592">
        <f t="shared" ref="Y96:Y103" si="16">IFERROR(IF(X96="",0,CEILING((X96/$H96),1)*$H96),"")</f>
        <v>33.6</v>
      </c>
      <c r="Z96" s="36">
        <f>IFERROR(IF(Y96=0,"",ROUNDUP(Y96/H96,0)*0.01898),"")</f>
        <v>7.5920000000000001E-2</v>
      </c>
      <c r="AA96" s="56"/>
      <c r="AB96" s="57"/>
      <c r="AC96" s="143" t="s">
        <v>196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31.853571428571428</v>
      </c>
      <c r="BN96" s="64">
        <f t="shared" ref="BN96:BN103" si="18">IFERROR(Y96*I96/H96,"0")</f>
        <v>35.676000000000002</v>
      </c>
      <c r="BO96" s="64">
        <f t="shared" ref="BO96:BO103" si="19">IFERROR(1/J96*(X96/H96),"0")</f>
        <v>5.5803571428571425E-2</v>
      </c>
      <c r="BP96" s="64">
        <f t="shared" ref="BP96:BP103" si="20">IFERROR(1/J96*(Y96/H96),"0")</f>
        <v>6.25E-2</v>
      </c>
    </row>
    <row r="97" spans="1:68" ht="16.5" customHeight="1" x14ac:dyDescent="0.25">
      <c r="A97" s="54" t="s">
        <v>194</v>
      </c>
      <c r="B97" s="54" t="s">
        <v>197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105</v>
      </c>
      <c r="L97" s="32"/>
      <c r="M97" s="33" t="s">
        <v>138</v>
      </c>
      <c r="N97" s="33"/>
      <c r="O97" s="32">
        <v>45</v>
      </c>
      <c r="P97" s="693" t="s">
        <v>198</v>
      </c>
      <c r="Q97" s="596"/>
      <c r="R97" s="596"/>
      <c r="S97" s="596"/>
      <c r="T97" s="597"/>
      <c r="U97" s="34"/>
      <c r="V97" s="34"/>
      <c r="W97" s="35" t="s">
        <v>70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194</v>
      </c>
      <c r="B98" s="54" t="s">
        <v>199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105</v>
      </c>
      <c r="L98" s="32"/>
      <c r="M98" s="33" t="s">
        <v>112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70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196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200</v>
      </c>
      <c r="B99" s="54" t="s">
        <v>201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77</v>
      </c>
      <c r="L99" s="32"/>
      <c r="M99" s="33" t="s">
        <v>112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70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4301052039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77</v>
      </c>
      <c r="L100" s="32"/>
      <c r="M100" s="33" t="s">
        <v>112</v>
      </c>
      <c r="N100" s="33"/>
      <c r="O100" s="32">
        <v>45</v>
      </c>
      <c r="P100" s="66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96"/>
      <c r="R100" s="596"/>
      <c r="S100" s="596"/>
      <c r="T100" s="597"/>
      <c r="U100" s="34"/>
      <c r="V100" s="34"/>
      <c r="W100" s="35" t="s">
        <v>70</v>
      </c>
      <c r="X100" s="591">
        <v>102</v>
      </c>
      <c r="Y100" s="592">
        <f t="shared" si="16"/>
        <v>102.60000000000001</v>
      </c>
      <c r="Z100" s="36">
        <f>IFERROR(IF(Y100=0,"",ROUNDUP(Y100/H100,0)*0.00651),"")</f>
        <v>0.24738000000000002</v>
      </c>
      <c r="AA100" s="56"/>
      <c r="AB100" s="57"/>
      <c r="AC100" s="151" t="s">
        <v>205</v>
      </c>
      <c r="AG100" s="64"/>
      <c r="AJ100" s="68"/>
      <c r="AK100" s="68">
        <v>0</v>
      </c>
      <c r="BB100" s="152" t="s">
        <v>1</v>
      </c>
      <c r="BM100" s="64">
        <f t="shared" si="17"/>
        <v>111.51999999999998</v>
      </c>
      <c r="BN100" s="64">
        <f t="shared" si="18"/>
        <v>112.176</v>
      </c>
      <c r="BO100" s="64">
        <f t="shared" si="19"/>
        <v>0.20757020757020758</v>
      </c>
      <c r="BP100" s="64">
        <f t="shared" si="20"/>
        <v>0.2087912087912088</v>
      </c>
    </row>
    <row r="101" spans="1:68" ht="27" customHeight="1" x14ac:dyDescent="0.25">
      <c r="A101" s="54" t="s">
        <v>203</v>
      </c>
      <c r="B101" s="54" t="s">
        <v>206</v>
      </c>
      <c r="C101" s="31">
        <v>4301051718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77</v>
      </c>
      <c r="L101" s="32"/>
      <c r="M101" s="33" t="s">
        <v>138</v>
      </c>
      <c r="N101" s="33"/>
      <c r="O101" s="32">
        <v>45</v>
      </c>
      <c r="P101" s="87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1" s="596"/>
      <c r="R101" s="596"/>
      <c r="S101" s="596"/>
      <c r="T101" s="597"/>
      <c r="U101" s="34"/>
      <c r="V101" s="34"/>
      <c r="W101" s="35" t="s">
        <v>70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196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207</v>
      </c>
      <c r="B102" s="54" t="s">
        <v>208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77</v>
      </c>
      <c r="L102" s="32"/>
      <c r="M102" s="33" t="s">
        <v>112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70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209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210</v>
      </c>
      <c r="B103" s="54" t="s">
        <v>211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77</v>
      </c>
      <c r="L103" s="32"/>
      <c r="M103" s="33" t="s">
        <v>112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70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209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72</v>
      </c>
      <c r="Q104" s="607"/>
      <c r="R104" s="607"/>
      <c r="S104" s="607"/>
      <c r="T104" s="607"/>
      <c r="U104" s="607"/>
      <c r="V104" s="608"/>
      <c r="W104" s="37" t="s">
        <v>73</v>
      </c>
      <c r="X104" s="593">
        <f>IFERROR(X96/H96,"0")+IFERROR(X97/H97,"0")+IFERROR(X98/H98,"0")+IFERROR(X99/H99,"0")+IFERROR(X100/H100,"0")+IFERROR(X101/H101,"0")+IFERROR(X102/H102,"0")+IFERROR(X103/H103,"0")</f>
        <v>41.349206349206348</v>
      </c>
      <c r="Y104" s="593">
        <f>IFERROR(Y96/H96,"0")+IFERROR(Y97/H97,"0")+IFERROR(Y98/H98,"0")+IFERROR(Y99/H99,"0")+IFERROR(Y100/H100,"0")+IFERROR(Y101/H101,"0")+IFERROR(Y102/H102,"0")+IFERROR(Y103/H103,"0")</f>
        <v>42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0.32330000000000003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72</v>
      </c>
      <c r="Q105" s="607"/>
      <c r="R105" s="607"/>
      <c r="S105" s="607"/>
      <c r="T105" s="607"/>
      <c r="U105" s="607"/>
      <c r="V105" s="608"/>
      <c r="W105" s="37" t="s">
        <v>70</v>
      </c>
      <c r="X105" s="593">
        <f>IFERROR(SUM(X96:X103),"0")</f>
        <v>132</v>
      </c>
      <c r="Y105" s="593">
        <f>IFERROR(SUM(Y96:Y103),"0")</f>
        <v>136.20000000000002</v>
      </c>
      <c r="Z105" s="37"/>
      <c r="AA105" s="594"/>
      <c r="AB105" s="594"/>
      <c r="AC105" s="594"/>
    </row>
    <row r="106" spans="1:68" ht="16.5" customHeight="1" x14ac:dyDescent="0.25">
      <c r="A106" s="605" t="s">
        <v>212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102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213</v>
      </c>
      <c r="B108" s="54" t="s">
        <v>214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70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216</v>
      </c>
      <c r="B109" s="54" t="s">
        <v>217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110</v>
      </c>
      <c r="L109" s="32" t="s">
        <v>111</v>
      </c>
      <c r="M109" s="33" t="s">
        <v>112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70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215</v>
      </c>
      <c r="AG109" s="64"/>
      <c r="AJ109" s="68" t="s">
        <v>113</v>
      </c>
      <c r="AK109" s="68">
        <v>45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218</v>
      </c>
      <c r="B110" s="54" t="s">
        <v>219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110</v>
      </c>
      <c r="L110" s="32"/>
      <c r="M110" s="33" t="s">
        <v>112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70</v>
      </c>
      <c r="X110" s="591">
        <v>68</v>
      </c>
      <c r="Y110" s="592">
        <f>IFERROR(IF(X110="",0,CEILING((X110/$H110),1)*$H110),"")</f>
        <v>72</v>
      </c>
      <c r="Z110" s="36">
        <f>IFERROR(IF(Y110=0,"",ROUNDUP(Y110/H110,0)*0.00902),"")</f>
        <v>0.14432</v>
      </c>
      <c r="AA110" s="56"/>
      <c r="AB110" s="57"/>
      <c r="AC110" s="163" t="s">
        <v>215</v>
      </c>
      <c r="AG110" s="64"/>
      <c r="AJ110" s="68"/>
      <c r="AK110" s="68">
        <v>0</v>
      </c>
      <c r="BB110" s="164" t="s">
        <v>1</v>
      </c>
      <c r="BM110" s="64">
        <f>IFERROR(X110*I110/H110,"0")</f>
        <v>71.173333333333332</v>
      </c>
      <c r="BN110" s="64">
        <f>IFERROR(Y110*I110/H110,"0")</f>
        <v>75.36</v>
      </c>
      <c r="BO110" s="64">
        <f>IFERROR(1/J110*(X110/H110),"0")</f>
        <v>0.11447811447811448</v>
      </c>
      <c r="BP110" s="64">
        <f>IFERROR(1/J110*(Y110/H110),"0")</f>
        <v>0.12121212121212122</v>
      </c>
    </row>
    <row r="111" spans="1:68" ht="16.5" customHeight="1" x14ac:dyDescent="0.25">
      <c r="A111" s="54" t="s">
        <v>220</v>
      </c>
      <c r="B111" s="54" t="s">
        <v>221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110</v>
      </c>
      <c r="L111" s="32"/>
      <c r="M111" s="33" t="s">
        <v>112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70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72</v>
      </c>
      <c r="Q112" s="607"/>
      <c r="R112" s="607"/>
      <c r="S112" s="607"/>
      <c r="T112" s="607"/>
      <c r="U112" s="607"/>
      <c r="V112" s="608"/>
      <c r="W112" s="37" t="s">
        <v>73</v>
      </c>
      <c r="X112" s="593">
        <f>IFERROR(X108/H108,"0")+IFERROR(X109/H109,"0")+IFERROR(X110/H110,"0")+IFERROR(X111/H111,"0")</f>
        <v>15.111111111111111</v>
      </c>
      <c r="Y112" s="593">
        <f>IFERROR(Y108/H108,"0")+IFERROR(Y109/H109,"0")+IFERROR(Y110/H110,"0")+IFERROR(Y111/H111,"0")</f>
        <v>16</v>
      </c>
      <c r="Z112" s="593">
        <f>IFERROR(IF(Z108="",0,Z108),"0")+IFERROR(IF(Z109="",0,Z109),"0")+IFERROR(IF(Z110="",0,Z110),"0")+IFERROR(IF(Z111="",0,Z111),"0")</f>
        <v>0.14432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72</v>
      </c>
      <c r="Q113" s="607"/>
      <c r="R113" s="607"/>
      <c r="S113" s="607"/>
      <c r="T113" s="607"/>
      <c r="U113" s="607"/>
      <c r="V113" s="608"/>
      <c r="W113" s="37" t="s">
        <v>70</v>
      </c>
      <c r="X113" s="593">
        <f>IFERROR(SUM(X108:X111),"0")</f>
        <v>68</v>
      </c>
      <c r="Y113" s="593">
        <f>IFERROR(SUM(Y108:Y111),"0")</f>
        <v>72</v>
      </c>
      <c r="Z113" s="37"/>
      <c r="AA113" s="594"/>
      <c r="AB113" s="594"/>
      <c r="AC113" s="594"/>
    </row>
    <row r="114" spans="1:68" ht="14.25" customHeight="1" x14ac:dyDescent="0.25">
      <c r="A114" s="609" t="s">
        <v>143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222</v>
      </c>
      <c r="B115" s="54" t="s">
        <v>223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105</v>
      </c>
      <c r="L115" s="32"/>
      <c r="M115" s="33" t="s">
        <v>106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70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224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225</v>
      </c>
      <c r="B116" s="54" t="s">
        <v>226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67</v>
      </c>
      <c r="L116" s="32"/>
      <c r="M116" s="33" t="s">
        <v>106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70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224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227</v>
      </c>
      <c r="B117" s="54" t="s">
        <v>228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77</v>
      </c>
      <c r="L117" s="32"/>
      <c r="M117" s="33" t="s">
        <v>106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70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224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72</v>
      </c>
      <c r="Q118" s="607"/>
      <c r="R118" s="607"/>
      <c r="S118" s="607"/>
      <c r="T118" s="607"/>
      <c r="U118" s="607"/>
      <c r="V118" s="608"/>
      <c r="W118" s="37" t="s">
        <v>73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72</v>
      </c>
      <c r="Q119" s="607"/>
      <c r="R119" s="607"/>
      <c r="S119" s="607"/>
      <c r="T119" s="607"/>
      <c r="U119" s="607"/>
      <c r="V119" s="608"/>
      <c r="W119" s="37" t="s">
        <v>70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customHeight="1" x14ac:dyDescent="0.25">
      <c r="A120" s="609" t="s">
        <v>74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27" customHeight="1" x14ac:dyDescent="0.25">
      <c r="A121" s="54" t="s">
        <v>229</v>
      </c>
      <c r="B121" s="54" t="s">
        <v>230</v>
      </c>
      <c r="C121" s="31">
        <v>4301051360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105</v>
      </c>
      <c r="L121" s="32"/>
      <c r="M121" s="33" t="s">
        <v>112</v>
      </c>
      <c r="N121" s="33"/>
      <c r="O121" s="32">
        <v>45</v>
      </c>
      <c r="P121" s="90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596"/>
      <c r="R121" s="596"/>
      <c r="S121" s="596"/>
      <c r="T121" s="597"/>
      <c r="U121" s="34"/>
      <c r="V121" s="34"/>
      <c r="W121" s="35" t="s">
        <v>70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231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229</v>
      </c>
      <c r="B122" s="54" t="s">
        <v>232</v>
      </c>
      <c r="C122" s="31">
        <v>4301051724</v>
      </c>
      <c r="D122" s="598">
        <v>4607091385168</v>
      </c>
      <c r="E122" s="599"/>
      <c r="F122" s="590">
        <v>1.35</v>
      </c>
      <c r="G122" s="32">
        <v>6</v>
      </c>
      <c r="H122" s="590">
        <v>8.1</v>
      </c>
      <c r="I122" s="590">
        <v>8.6129999999999995</v>
      </c>
      <c r="J122" s="32">
        <v>64</v>
      </c>
      <c r="K122" s="32" t="s">
        <v>105</v>
      </c>
      <c r="L122" s="32"/>
      <c r="M122" s="33" t="s">
        <v>138</v>
      </c>
      <c r="N122" s="33"/>
      <c r="O122" s="32">
        <v>45</v>
      </c>
      <c r="P122" s="7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596"/>
      <c r="R122" s="596"/>
      <c r="S122" s="596"/>
      <c r="T122" s="597"/>
      <c r="U122" s="34"/>
      <c r="V122" s="34"/>
      <c r="W122" s="35" t="s">
        <v>70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233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16.5" customHeight="1" x14ac:dyDescent="0.25">
      <c r="A123" s="54" t="s">
        <v>229</v>
      </c>
      <c r="B123" s="54" t="s">
        <v>234</v>
      </c>
      <c r="C123" s="31">
        <v>4301051625</v>
      </c>
      <c r="D123" s="598">
        <v>4607091385168</v>
      </c>
      <c r="E123" s="599"/>
      <c r="F123" s="590">
        <v>1.4</v>
      </c>
      <c r="G123" s="32">
        <v>6</v>
      </c>
      <c r="H123" s="590">
        <v>8.4</v>
      </c>
      <c r="I123" s="590">
        <v>8.9130000000000003</v>
      </c>
      <c r="J123" s="32">
        <v>64</v>
      </c>
      <c r="K123" s="32" t="s">
        <v>105</v>
      </c>
      <c r="L123" s="32"/>
      <c r="M123" s="33" t="s">
        <v>112</v>
      </c>
      <c r="N123" s="33"/>
      <c r="O123" s="32">
        <v>45</v>
      </c>
      <c r="P123" s="90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596"/>
      <c r="R123" s="596"/>
      <c r="S123" s="596"/>
      <c r="T123" s="597"/>
      <c r="U123" s="34"/>
      <c r="V123" s="34"/>
      <c r="W123" s="35" t="s">
        <v>70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233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235</v>
      </c>
      <c r="B124" s="54" t="s">
        <v>236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77</v>
      </c>
      <c r="L124" s="32"/>
      <c r="M124" s="33" t="s">
        <v>138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70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233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237</v>
      </c>
      <c r="B125" s="54" t="s">
        <v>238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77</v>
      </c>
      <c r="L125" s="32"/>
      <c r="M125" s="33" t="s">
        <v>138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70</v>
      </c>
      <c r="X125" s="591">
        <v>113</v>
      </c>
      <c r="Y125" s="592">
        <f t="shared" si="21"/>
        <v>113.4</v>
      </c>
      <c r="Z125" s="36">
        <f>IFERROR(IF(Y125=0,"",ROUNDUP(Y125/H125,0)*0.00651),"")</f>
        <v>0.27342</v>
      </c>
      <c r="AA125" s="56"/>
      <c r="AB125" s="57"/>
      <c r="AC125" s="181" t="s">
        <v>233</v>
      </c>
      <c r="AG125" s="64"/>
      <c r="AJ125" s="68"/>
      <c r="AK125" s="68">
        <v>0</v>
      </c>
      <c r="BB125" s="182" t="s">
        <v>1</v>
      </c>
      <c r="BM125" s="64">
        <f t="shared" si="22"/>
        <v>123.54666666666667</v>
      </c>
      <c r="BN125" s="64">
        <f t="shared" si="23"/>
        <v>123.98399999999999</v>
      </c>
      <c r="BO125" s="64">
        <f t="shared" si="24"/>
        <v>0.22995522995522996</v>
      </c>
      <c r="BP125" s="64">
        <f t="shared" si="25"/>
        <v>0.23076923076923078</v>
      </c>
    </row>
    <row r="126" spans="1:68" ht="16.5" customHeight="1" x14ac:dyDescent="0.25">
      <c r="A126" s="54" t="s">
        <v>239</v>
      </c>
      <c r="B126" s="54" t="s">
        <v>240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77</v>
      </c>
      <c r="L126" s="32"/>
      <c r="M126" s="33" t="s">
        <v>112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70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241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242</v>
      </c>
      <c r="B127" s="54" t="s">
        <v>243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77</v>
      </c>
      <c r="L127" s="32"/>
      <c r="M127" s="33" t="s">
        <v>112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70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72</v>
      </c>
      <c r="Q128" s="607"/>
      <c r="R128" s="607"/>
      <c r="S128" s="607"/>
      <c r="T128" s="607"/>
      <c r="U128" s="607"/>
      <c r="V128" s="608"/>
      <c r="W128" s="37" t="s">
        <v>73</v>
      </c>
      <c r="X128" s="593">
        <f>IFERROR(X121/H121,"0")+IFERROR(X122/H122,"0")+IFERROR(X123/H123,"0")+IFERROR(X124/H124,"0")+IFERROR(X125/H125,"0")+IFERROR(X126/H126,"0")+IFERROR(X127/H127,"0")</f>
        <v>41.851851851851848</v>
      </c>
      <c r="Y128" s="593">
        <f>IFERROR(Y121/H121,"0")+IFERROR(Y122/H122,"0")+IFERROR(Y123/H123,"0")+IFERROR(Y124/H124,"0")+IFERROR(Y125/H125,"0")+IFERROR(Y126/H126,"0")+IFERROR(Y127/H127,"0")</f>
        <v>42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0.27342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72</v>
      </c>
      <c r="Q129" s="607"/>
      <c r="R129" s="607"/>
      <c r="S129" s="607"/>
      <c r="T129" s="607"/>
      <c r="U129" s="607"/>
      <c r="V129" s="608"/>
      <c r="W129" s="37" t="s">
        <v>70</v>
      </c>
      <c r="X129" s="593">
        <f>IFERROR(SUM(X121:X127),"0")</f>
        <v>113</v>
      </c>
      <c r="Y129" s="593">
        <f>IFERROR(SUM(Y121:Y127),"0")</f>
        <v>113.4</v>
      </c>
      <c r="Z129" s="37"/>
      <c r="AA129" s="594"/>
      <c r="AB129" s="594"/>
      <c r="AC129" s="594"/>
    </row>
    <row r="130" spans="1:68" ht="14.25" customHeight="1" x14ac:dyDescent="0.25">
      <c r="A130" s="609" t="s">
        <v>178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245</v>
      </c>
      <c r="B131" s="54" t="s">
        <v>246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77</v>
      </c>
      <c r="L131" s="32"/>
      <c r="M131" s="33" t="s">
        <v>112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70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247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77</v>
      </c>
      <c r="L132" s="32"/>
      <c r="M132" s="33" t="s">
        <v>112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70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250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72</v>
      </c>
      <c r="Q133" s="607"/>
      <c r="R133" s="607"/>
      <c r="S133" s="607"/>
      <c r="T133" s="607"/>
      <c r="U133" s="607"/>
      <c r="V133" s="608"/>
      <c r="W133" s="37" t="s">
        <v>73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72</v>
      </c>
      <c r="Q134" s="607"/>
      <c r="R134" s="607"/>
      <c r="S134" s="607"/>
      <c r="T134" s="607"/>
      <c r="U134" s="607"/>
      <c r="V134" s="608"/>
      <c r="W134" s="37" t="s">
        <v>70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251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102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77</v>
      </c>
      <c r="L137" s="32"/>
      <c r="M137" s="33" t="s">
        <v>97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70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254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77</v>
      </c>
      <c r="L138" s="32"/>
      <c r="M138" s="33" t="s">
        <v>97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70</v>
      </c>
      <c r="X138" s="591">
        <v>60</v>
      </c>
      <c r="Y138" s="592">
        <f>IFERROR(IF(X138="",0,CEILING((X138/$H138),1)*$H138),"")</f>
        <v>60.800000000000004</v>
      </c>
      <c r="Z138" s="36">
        <f>IFERROR(IF(Y138=0,"",ROUNDUP(Y138/H138,0)*0.00651),"")</f>
        <v>0.12369000000000001</v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63.374999999999993</v>
      </c>
      <c r="BN138" s="64">
        <f>IFERROR(Y138*I138/H138,"0")</f>
        <v>64.22</v>
      </c>
      <c r="BO138" s="64">
        <f>IFERROR(1/J138*(X138/H138),"0")</f>
        <v>0.10302197802197803</v>
      </c>
      <c r="BP138" s="64">
        <f>IFERROR(1/J138*(Y138/H138),"0")</f>
        <v>0.1043956043956044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72</v>
      </c>
      <c r="Q139" s="607"/>
      <c r="R139" s="607"/>
      <c r="S139" s="607"/>
      <c r="T139" s="607"/>
      <c r="U139" s="607"/>
      <c r="V139" s="608"/>
      <c r="W139" s="37" t="s">
        <v>73</v>
      </c>
      <c r="X139" s="593">
        <f>IFERROR(X137/H137,"0")+IFERROR(X138/H138,"0")</f>
        <v>18.75</v>
      </c>
      <c r="Y139" s="593">
        <f>IFERROR(Y137/H137,"0")+IFERROR(Y138/H138,"0")</f>
        <v>19</v>
      </c>
      <c r="Z139" s="593">
        <f>IFERROR(IF(Z137="",0,Z137),"0")+IFERROR(IF(Z138="",0,Z138),"0")</f>
        <v>0.12369000000000001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72</v>
      </c>
      <c r="Q140" s="607"/>
      <c r="R140" s="607"/>
      <c r="S140" s="607"/>
      <c r="T140" s="607"/>
      <c r="U140" s="607"/>
      <c r="V140" s="608"/>
      <c r="W140" s="37" t="s">
        <v>70</v>
      </c>
      <c r="X140" s="593">
        <f>IFERROR(SUM(X137:X138),"0")</f>
        <v>60</v>
      </c>
      <c r="Y140" s="593">
        <f>IFERROR(SUM(Y137:Y138),"0")</f>
        <v>60.800000000000004</v>
      </c>
      <c r="Z140" s="37"/>
      <c r="AA140" s="594"/>
      <c r="AB140" s="594"/>
      <c r="AC140" s="594"/>
    </row>
    <row r="141" spans="1:68" ht="14.25" customHeight="1" x14ac:dyDescent="0.25">
      <c r="A141" s="609" t="s">
        <v>64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256</v>
      </c>
      <c r="B142" s="54" t="s">
        <v>257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77</v>
      </c>
      <c r="L142" s="32"/>
      <c r="M142" s="33" t="s">
        <v>97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70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258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77</v>
      </c>
      <c r="L143" s="32"/>
      <c r="M143" s="33" t="s">
        <v>97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70</v>
      </c>
      <c r="X143" s="591">
        <v>13</v>
      </c>
      <c r="Y143" s="592">
        <f>IFERROR(IF(X143="",0,CEILING((X143/$H143),1)*$H143),"")</f>
        <v>14</v>
      </c>
      <c r="Z143" s="36">
        <f>IFERROR(IF(Y143=0,"",ROUNDUP(Y143/H143,0)*0.00651),"")</f>
        <v>3.2550000000000003E-2</v>
      </c>
      <c r="AA143" s="56"/>
      <c r="AB143" s="57"/>
      <c r="AC143" s="197" t="s">
        <v>258</v>
      </c>
      <c r="AG143" s="64"/>
      <c r="AJ143" s="68"/>
      <c r="AK143" s="68">
        <v>0</v>
      </c>
      <c r="BB143" s="198" t="s">
        <v>1</v>
      </c>
      <c r="BM143" s="64">
        <f>IFERROR(X143*I143/H143,"0")</f>
        <v>14.244285714285715</v>
      </c>
      <c r="BN143" s="64">
        <f>IFERROR(Y143*I143/H143,"0")</f>
        <v>15.34</v>
      </c>
      <c r="BO143" s="64">
        <f>IFERROR(1/J143*(X143/H143),"0")</f>
        <v>2.5510204081632657E-2</v>
      </c>
      <c r="BP143" s="64">
        <f>IFERROR(1/J143*(Y143/H143),"0")</f>
        <v>2.7472527472527476E-2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72</v>
      </c>
      <c r="Q144" s="607"/>
      <c r="R144" s="607"/>
      <c r="S144" s="607"/>
      <c r="T144" s="607"/>
      <c r="U144" s="607"/>
      <c r="V144" s="608"/>
      <c r="W144" s="37" t="s">
        <v>73</v>
      </c>
      <c r="X144" s="593">
        <f>IFERROR(X142/H142,"0")+IFERROR(X143/H143,"0")</f>
        <v>4.6428571428571432</v>
      </c>
      <c r="Y144" s="593">
        <f>IFERROR(Y142/H142,"0")+IFERROR(Y143/H143,"0")</f>
        <v>5</v>
      </c>
      <c r="Z144" s="593">
        <f>IFERROR(IF(Z142="",0,Z142),"0")+IFERROR(IF(Z143="",0,Z143),"0")</f>
        <v>3.2550000000000003E-2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72</v>
      </c>
      <c r="Q145" s="607"/>
      <c r="R145" s="607"/>
      <c r="S145" s="607"/>
      <c r="T145" s="607"/>
      <c r="U145" s="607"/>
      <c r="V145" s="608"/>
      <c r="W145" s="37" t="s">
        <v>70</v>
      </c>
      <c r="X145" s="593">
        <f>IFERROR(SUM(X142:X143),"0")</f>
        <v>13</v>
      </c>
      <c r="Y145" s="593">
        <f>IFERROR(SUM(Y142:Y143),"0")</f>
        <v>14</v>
      </c>
      <c r="Z145" s="37"/>
      <c r="AA145" s="594"/>
      <c r="AB145" s="594"/>
      <c r="AC145" s="594"/>
    </row>
    <row r="146" spans="1:68" ht="14.25" customHeight="1" x14ac:dyDescent="0.25">
      <c r="A146" s="609" t="s">
        <v>74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77</v>
      </c>
      <c r="L147" s="32"/>
      <c r="M147" s="33" t="s">
        <v>97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70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254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77</v>
      </c>
      <c r="L148" s="32"/>
      <c r="M148" s="33" t="s">
        <v>97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70</v>
      </c>
      <c r="X148" s="591">
        <v>26</v>
      </c>
      <c r="Y148" s="592">
        <f>IFERROR(IF(X148="",0,CEILING((X148/$H148),1)*$H148),"")</f>
        <v>26.400000000000002</v>
      </c>
      <c r="Z148" s="36">
        <f>IFERROR(IF(Y148=0,"",ROUNDUP(Y148/H148,0)*0.00651),"")</f>
        <v>6.5100000000000005E-2</v>
      </c>
      <c r="AA148" s="56"/>
      <c r="AB148" s="57"/>
      <c r="AC148" s="201" t="s">
        <v>254</v>
      </c>
      <c r="AG148" s="64"/>
      <c r="AJ148" s="68"/>
      <c r="AK148" s="68">
        <v>0</v>
      </c>
      <c r="BB148" s="202" t="s">
        <v>1</v>
      </c>
      <c r="BM148" s="64">
        <f>IFERROR(X148*I148/H148,"0")</f>
        <v>28.639393939393941</v>
      </c>
      <c r="BN148" s="64">
        <f>IFERROR(Y148*I148/H148,"0")</f>
        <v>29.080000000000002</v>
      </c>
      <c r="BO148" s="64">
        <f>IFERROR(1/J148*(X148/H148),"0")</f>
        <v>5.4112554112554112E-2</v>
      </c>
      <c r="BP148" s="64">
        <f>IFERROR(1/J148*(Y148/H148),"0")</f>
        <v>5.4945054945054951E-2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72</v>
      </c>
      <c r="Q149" s="607"/>
      <c r="R149" s="607"/>
      <c r="S149" s="607"/>
      <c r="T149" s="607"/>
      <c r="U149" s="607"/>
      <c r="V149" s="608"/>
      <c r="W149" s="37" t="s">
        <v>73</v>
      </c>
      <c r="X149" s="593">
        <f>IFERROR(X147/H147,"0")+IFERROR(X148/H148,"0")</f>
        <v>9.8484848484848477</v>
      </c>
      <c r="Y149" s="593">
        <f>IFERROR(Y147/H147,"0")+IFERROR(Y148/H148,"0")</f>
        <v>10</v>
      </c>
      <c r="Z149" s="593">
        <f>IFERROR(IF(Z147="",0,Z147),"0")+IFERROR(IF(Z148="",0,Z148),"0")</f>
        <v>6.5100000000000005E-2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72</v>
      </c>
      <c r="Q150" s="607"/>
      <c r="R150" s="607"/>
      <c r="S150" s="607"/>
      <c r="T150" s="607"/>
      <c r="U150" s="607"/>
      <c r="V150" s="608"/>
      <c r="W150" s="37" t="s">
        <v>70</v>
      </c>
      <c r="X150" s="593">
        <f>IFERROR(SUM(X147:X148),"0")</f>
        <v>26</v>
      </c>
      <c r="Y150" s="593">
        <f>IFERROR(SUM(Y147:Y148),"0")</f>
        <v>26.400000000000002</v>
      </c>
      <c r="Z150" s="37"/>
      <c r="AA150" s="594"/>
      <c r="AB150" s="594"/>
      <c r="AC150" s="594"/>
    </row>
    <row r="151" spans="1:68" ht="16.5" customHeight="1" x14ac:dyDescent="0.25">
      <c r="A151" s="605" t="s">
        <v>100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102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110</v>
      </c>
      <c r="L153" s="32"/>
      <c r="M153" s="33" t="s">
        <v>106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70</v>
      </c>
      <c r="X153" s="591">
        <v>62</v>
      </c>
      <c r="Y153" s="592">
        <f>IFERROR(IF(X153="",0,CEILING((X153/$H153),1)*$H153),"")</f>
        <v>64</v>
      </c>
      <c r="Z153" s="36">
        <f>IFERROR(IF(Y153=0,"",ROUNDUP(Y153/H153,0)*0.00902),"")</f>
        <v>0.14432</v>
      </c>
      <c r="AA153" s="56"/>
      <c r="AB153" s="57"/>
      <c r="AC153" s="203" t="s">
        <v>265</v>
      </c>
      <c r="AG153" s="64"/>
      <c r="AJ153" s="68"/>
      <c r="AK153" s="68">
        <v>0</v>
      </c>
      <c r="BB153" s="204" t="s">
        <v>1</v>
      </c>
      <c r="BM153" s="64">
        <f>IFERROR(X153*I153/H153,"0")</f>
        <v>65.254999999999995</v>
      </c>
      <c r="BN153" s="64">
        <f>IFERROR(Y153*I153/H153,"0")</f>
        <v>67.36</v>
      </c>
      <c r="BO153" s="64">
        <f>IFERROR(1/J153*(X153/H153),"0")</f>
        <v>0.11742424242424243</v>
      </c>
      <c r="BP153" s="64">
        <f>IFERROR(1/J153*(Y153/H153),"0")</f>
        <v>0.12121212121212122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72</v>
      </c>
      <c r="Q154" s="607"/>
      <c r="R154" s="607"/>
      <c r="S154" s="607"/>
      <c r="T154" s="607"/>
      <c r="U154" s="607"/>
      <c r="V154" s="608"/>
      <c r="W154" s="37" t="s">
        <v>73</v>
      </c>
      <c r="X154" s="593">
        <f>IFERROR(X153/H153,"0")</f>
        <v>15.5</v>
      </c>
      <c r="Y154" s="593">
        <f>IFERROR(Y153/H153,"0")</f>
        <v>16</v>
      </c>
      <c r="Z154" s="593">
        <f>IFERROR(IF(Z153="",0,Z153),"0")</f>
        <v>0.14432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72</v>
      </c>
      <c r="Q155" s="607"/>
      <c r="R155" s="607"/>
      <c r="S155" s="607"/>
      <c r="T155" s="607"/>
      <c r="U155" s="607"/>
      <c r="V155" s="608"/>
      <c r="W155" s="37" t="s">
        <v>70</v>
      </c>
      <c r="X155" s="593">
        <f>IFERROR(SUM(X153:X153),"0")</f>
        <v>62</v>
      </c>
      <c r="Y155" s="593">
        <f>IFERROR(SUM(Y153:Y153),"0")</f>
        <v>64</v>
      </c>
      <c r="Z155" s="37"/>
      <c r="AA155" s="594"/>
      <c r="AB155" s="594"/>
      <c r="AC155" s="594"/>
    </row>
    <row r="156" spans="1:68" ht="14.25" customHeight="1" x14ac:dyDescent="0.25">
      <c r="A156" s="609" t="s">
        <v>64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105</v>
      </c>
      <c r="L157" s="32"/>
      <c r="M157" s="33" t="s">
        <v>106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70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268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269</v>
      </c>
      <c r="B158" s="54" t="s">
        <v>270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77</v>
      </c>
      <c r="L158" s="32"/>
      <c r="M158" s="33" t="s">
        <v>68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70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271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272</v>
      </c>
      <c r="B159" s="54" t="s">
        <v>273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105</v>
      </c>
      <c r="L159" s="32"/>
      <c r="M159" s="33" t="s">
        <v>68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70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274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72</v>
      </c>
      <c r="Q160" s="607"/>
      <c r="R160" s="607"/>
      <c r="S160" s="607"/>
      <c r="T160" s="607"/>
      <c r="U160" s="607"/>
      <c r="V160" s="608"/>
      <c r="W160" s="37" t="s">
        <v>73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72</v>
      </c>
      <c r="Q161" s="607"/>
      <c r="R161" s="607"/>
      <c r="S161" s="607"/>
      <c r="T161" s="607"/>
      <c r="U161" s="607"/>
      <c r="V161" s="608"/>
      <c r="W161" s="37" t="s">
        <v>70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275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276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143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277</v>
      </c>
      <c r="B165" s="54" t="s">
        <v>278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70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279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72</v>
      </c>
      <c r="Q166" s="607"/>
      <c r="R166" s="607"/>
      <c r="S166" s="607"/>
      <c r="T166" s="607"/>
      <c r="U166" s="607"/>
      <c r="V166" s="608"/>
      <c r="W166" s="37" t="s">
        <v>73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72</v>
      </c>
      <c r="Q167" s="607"/>
      <c r="R167" s="607"/>
      <c r="S167" s="607"/>
      <c r="T167" s="607"/>
      <c r="U167" s="607"/>
      <c r="V167" s="608"/>
      <c r="W167" s="37" t="s">
        <v>70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64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280</v>
      </c>
      <c r="B169" s="54" t="s">
        <v>281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110</v>
      </c>
      <c r="L169" s="32"/>
      <c r="M169" s="33" t="s">
        <v>68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70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282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110</v>
      </c>
      <c r="L170" s="32"/>
      <c r="M170" s="33" t="s">
        <v>68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70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110</v>
      </c>
      <c r="L171" s="32"/>
      <c r="M171" s="33" t="s">
        <v>68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70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70</v>
      </c>
      <c r="X172" s="591">
        <v>31</v>
      </c>
      <c r="Y172" s="592">
        <f t="shared" si="26"/>
        <v>31.5</v>
      </c>
      <c r="Z172" s="36">
        <f>IFERROR(IF(Y172=0,"",ROUNDUP(Y172/H172,0)*0.00502),"")</f>
        <v>7.5300000000000006E-2</v>
      </c>
      <c r="AA172" s="56"/>
      <c r="AB172" s="57"/>
      <c r="AC172" s="219" t="s">
        <v>282</v>
      </c>
      <c r="AG172" s="64"/>
      <c r="AJ172" s="68"/>
      <c r="AK172" s="68">
        <v>0</v>
      </c>
      <c r="BB172" s="220" t="s">
        <v>1</v>
      </c>
      <c r="BM172" s="64">
        <f t="shared" si="27"/>
        <v>32.919047619047618</v>
      </c>
      <c r="BN172" s="64">
        <f t="shared" si="28"/>
        <v>33.450000000000003</v>
      </c>
      <c r="BO172" s="64">
        <f t="shared" si="29"/>
        <v>6.3085063085063092E-2</v>
      </c>
      <c r="BP172" s="64">
        <f t="shared" si="30"/>
        <v>6.4102564102564111E-2</v>
      </c>
    </row>
    <row r="173" spans="1:68" ht="27" customHeight="1" x14ac:dyDescent="0.25">
      <c r="A173" s="54" t="s">
        <v>291</v>
      </c>
      <c r="B173" s="54" t="s">
        <v>292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70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285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293</v>
      </c>
      <c r="B174" s="54" t="s">
        <v>294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70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295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296</v>
      </c>
      <c r="B175" s="54" t="s">
        <v>297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70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288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298</v>
      </c>
      <c r="B176" s="54" t="s">
        <v>299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77</v>
      </c>
      <c r="L176" s="32"/>
      <c r="M176" s="33" t="s">
        <v>68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70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288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300</v>
      </c>
      <c r="B177" s="54" t="s">
        <v>301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70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302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72</v>
      </c>
      <c r="Q178" s="607"/>
      <c r="R178" s="607"/>
      <c r="S178" s="607"/>
      <c r="T178" s="607"/>
      <c r="U178" s="607"/>
      <c r="V178" s="608"/>
      <c r="W178" s="37" t="s">
        <v>73</v>
      </c>
      <c r="X178" s="593">
        <f>IFERROR(X169/H169,"0")+IFERROR(X170/H170,"0")+IFERROR(X171/H171,"0")+IFERROR(X172/H172,"0")+IFERROR(X173/H173,"0")+IFERROR(X174/H174,"0")+IFERROR(X175/H175,"0")+IFERROR(X176/H176,"0")+IFERROR(X177/H177,"0")</f>
        <v>14.761904761904761</v>
      </c>
      <c r="Y178" s="593">
        <f>IFERROR(Y169/H169,"0")+IFERROR(Y170/H170,"0")+IFERROR(Y171/H171,"0")+IFERROR(Y172/H172,"0")+IFERROR(Y173/H173,"0")+IFERROR(Y174/H174,"0")+IFERROR(Y175/H175,"0")+IFERROR(Y176/H176,"0")+IFERROR(Y177/H177,"0")</f>
        <v>15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7.5300000000000006E-2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72</v>
      </c>
      <c r="Q179" s="607"/>
      <c r="R179" s="607"/>
      <c r="S179" s="607"/>
      <c r="T179" s="607"/>
      <c r="U179" s="607"/>
      <c r="V179" s="608"/>
      <c r="W179" s="37" t="s">
        <v>70</v>
      </c>
      <c r="X179" s="593">
        <f>IFERROR(SUM(X169:X177),"0")</f>
        <v>31</v>
      </c>
      <c r="Y179" s="593">
        <f>IFERROR(SUM(Y169:Y177),"0")</f>
        <v>31.5</v>
      </c>
      <c r="Z179" s="37"/>
      <c r="AA179" s="594"/>
      <c r="AB179" s="594"/>
      <c r="AC179" s="594"/>
    </row>
    <row r="180" spans="1:68" ht="14.25" customHeight="1" x14ac:dyDescent="0.25">
      <c r="A180" s="609" t="s">
        <v>94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303</v>
      </c>
      <c r="B181" s="54" t="s">
        <v>304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305</v>
      </c>
      <c r="L181" s="32"/>
      <c r="M181" s="33" t="s">
        <v>306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70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307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308</v>
      </c>
      <c r="B182" s="54" t="s">
        <v>309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305</v>
      </c>
      <c r="L182" s="32"/>
      <c r="M182" s="33" t="s">
        <v>306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70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310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311</v>
      </c>
      <c r="B183" s="54" t="s">
        <v>312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305</v>
      </c>
      <c r="L183" s="32"/>
      <c r="M183" s="33" t="s">
        <v>306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70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72</v>
      </c>
      <c r="Q184" s="607"/>
      <c r="R184" s="607"/>
      <c r="S184" s="607"/>
      <c r="T184" s="607"/>
      <c r="U184" s="607"/>
      <c r="V184" s="608"/>
      <c r="W184" s="37" t="s">
        <v>73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72</v>
      </c>
      <c r="Q185" s="607"/>
      <c r="R185" s="607"/>
      <c r="S185" s="607"/>
      <c r="T185" s="607"/>
      <c r="U185" s="607"/>
      <c r="V185" s="608"/>
      <c r="W185" s="37" t="s">
        <v>70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313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314</v>
      </c>
      <c r="B187" s="54" t="s">
        <v>315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305</v>
      </c>
      <c r="L187" s="32"/>
      <c r="M187" s="33" t="s">
        <v>306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70</v>
      </c>
      <c r="X187" s="591">
        <v>3</v>
      </c>
      <c r="Y187" s="592">
        <f>IFERROR(IF(X187="",0,CEILING((X187/$H187),1)*$H187),"")</f>
        <v>3.7800000000000002</v>
      </c>
      <c r="Z187" s="36">
        <f>IFERROR(IF(Y187=0,"",ROUNDUP(Y187/H187,0)*0.0059),"")</f>
        <v>1.77E-2</v>
      </c>
      <c r="AA187" s="56"/>
      <c r="AB187" s="57"/>
      <c r="AC187" s="237" t="s">
        <v>310</v>
      </c>
      <c r="AG187" s="64"/>
      <c r="AJ187" s="68"/>
      <c r="AK187" s="68">
        <v>0</v>
      </c>
      <c r="BB187" s="238" t="s">
        <v>1</v>
      </c>
      <c r="BM187" s="64">
        <f>IFERROR(X187*I187/H187,"0")</f>
        <v>3.4523809523809521</v>
      </c>
      <c r="BN187" s="64">
        <f>IFERROR(Y187*I187/H187,"0")</f>
        <v>4.3499999999999996</v>
      </c>
      <c r="BO187" s="64">
        <f>IFERROR(1/J187*(X187/H187),"0")</f>
        <v>1.1022927689594356E-2</v>
      </c>
      <c r="BP187" s="64">
        <f>IFERROR(1/J187*(Y187/H187),"0")</f>
        <v>1.3888888888888888E-2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72</v>
      </c>
      <c r="Q188" s="607"/>
      <c r="R188" s="607"/>
      <c r="S188" s="607"/>
      <c r="T188" s="607"/>
      <c r="U188" s="607"/>
      <c r="V188" s="608"/>
      <c r="W188" s="37" t="s">
        <v>73</v>
      </c>
      <c r="X188" s="593">
        <f>IFERROR(X187/H187,"0")</f>
        <v>2.3809523809523809</v>
      </c>
      <c r="Y188" s="593">
        <f>IFERROR(Y187/H187,"0")</f>
        <v>3</v>
      </c>
      <c r="Z188" s="593">
        <f>IFERROR(IF(Z187="",0,Z187),"0")</f>
        <v>1.77E-2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72</v>
      </c>
      <c r="Q189" s="607"/>
      <c r="R189" s="607"/>
      <c r="S189" s="607"/>
      <c r="T189" s="607"/>
      <c r="U189" s="607"/>
      <c r="V189" s="608"/>
      <c r="W189" s="37" t="s">
        <v>70</v>
      </c>
      <c r="X189" s="593">
        <f>IFERROR(SUM(X187:X187),"0")</f>
        <v>3</v>
      </c>
      <c r="Y189" s="593">
        <f>IFERROR(SUM(Y187:Y187),"0")</f>
        <v>3.7800000000000002</v>
      </c>
      <c r="Z189" s="37"/>
      <c r="AA189" s="594"/>
      <c r="AB189" s="594"/>
      <c r="AC189" s="594"/>
    </row>
    <row r="190" spans="1:68" ht="16.5" customHeight="1" x14ac:dyDescent="0.25">
      <c r="A190" s="605" t="s">
        <v>316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102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317</v>
      </c>
      <c r="B192" s="54" t="s">
        <v>318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105</v>
      </c>
      <c r="L192" s="32"/>
      <c r="M192" s="33" t="s">
        <v>106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70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319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320</v>
      </c>
      <c r="B193" s="54" t="s">
        <v>321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77</v>
      </c>
      <c r="L193" s="32"/>
      <c r="M193" s="33" t="s">
        <v>106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70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319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72</v>
      </c>
      <c r="Q194" s="607"/>
      <c r="R194" s="607"/>
      <c r="S194" s="607"/>
      <c r="T194" s="607"/>
      <c r="U194" s="607"/>
      <c r="V194" s="608"/>
      <c r="W194" s="37" t="s">
        <v>73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72</v>
      </c>
      <c r="Q195" s="607"/>
      <c r="R195" s="607"/>
      <c r="S195" s="607"/>
      <c r="T195" s="607"/>
      <c r="U195" s="607"/>
      <c r="V195" s="608"/>
      <c r="W195" s="37" t="s">
        <v>70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143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322</v>
      </c>
      <c r="B197" s="54" t="s">
        <v>323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105</v>
      </c>
      <c r="L197" s="32"/>
      <c r="M197" s="33" t="s">
        <v>112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70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324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325</v>
      </c>
      <c r="B198" s="54" t="s">
        <v>326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77</v>
      </c>
      <c r="L198" s="32"/>
      <c r="M198" s="33" t="s">
        <v>106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70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324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72</v>
      </c>
      <c r="Q199" s="607"/>
      <c r="R199" s="607"/>
      <c r="S199" s="607"/>
      <c r="T199" s="607"/>
      <c r="U199" s="607"/>
      <c r="V199" s="608"/>
      <c r="W199" s="37" t="s">
        <v>73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72</v>
      </c>
      <c r="Q200" s="607"/>
      <c r="R200" s="607"/>
      <c r="S200" s="607"/>
      <c r="T200" s="607"/>
      <c r="U200" s="607"/>
      <c r="V200" s="608"/>
      <c r="W200" s="37" t="s">
        <v>70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64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327</v>
      </c>
      <c r="B202" s="54" t="s">
        <v>328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110</v>
      </c>
      <c r="L202" s="32"/>
      <c r="M202" s="33" t="s">
        <v>68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70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329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330</v>
      </c>
      <c r="B203" s="54" t="s">
        <v>331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110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70</v>
      </c>
      <c r="X203" s="591">
        <v>40</v>
      </c>
      <c r="Y203" s="592">
        <f t="shared" si="31"/>
        <v>43.2</v>
      </c>
      <c r="Z203" s="36">
        <f>IFERROR(IF(Y203=0,"",ROUNDUP(Y203/H203,0)*0.00902),"")</f>
        <v>7.2160000000000002E-2</v>
      </c>
      <c r="AA203" s="56"/>
      <c r="AB203" s="57"/>
      <c r="AC203" s="249" t="s">
        <v>332</v>
      </c>
      <c r="AG203" s="64"/>
      <c r="AJ203" s="68"/>
      <c r="AK203" s="68">
        <v>0</v>
      </c>
      <c r="BB203" s="250" t="s">
        <v>1</v>
      </c>
      <c r="BM203" s="64">
        <f t="shared" si="32"/>
        <v>41.555555555555557</v>
      </c>
      <c r="BN203" s="64">
        <f t="shared" si="33"/>
        <v>44.88</v>
      </c>
      <c r="BO203" s="64">
        <f t="shared" si="34"/>
        <v>5.6116722783389444E-2</v>
      </c>
      <c r="BP203" s="64">
        <f t="shared" si="35"/>
        <v>6.0606060606060608E-2</v>
      </c>
    </row>
    <row r="204" spans="1:68" ht="27" customHeight="1" x14ac:dyDescent="0.25">
      <c r="A204" s="54" t="s">
        <v>333</v>
      </c>
      <c r="B204" s="54" t="s">
        <v>334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110</v>
      </c>
      <c r="L204" s="32"/>
      <c r="M204" s="33" t="s">
        <v>68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70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335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336</v>
      </c>
      <c r="B205" s="54" t="s">
        <v>337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110</v>
      </c>
      <c r="L205" s="32"/>
      <c r="M205" s="33" t="s">
        <v>68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70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338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339</v>
      </c>
      <c r="B206" s="54" t="s">
        <v>340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67</v>
      </c>
      <c r="L206" s="32"/>
      <c r="M206" s="33" t="s">
        <v>68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70</v>
      </c>
      <c r="X206" s="591">
        <v>21</v>
      </c>
      <c r="Y206" s="592">
        <f t="shared" si="31"/>
        <v>21.6</v>
      </c>
      <c r="Z206" s="36">
        <f>IFERROR(IF(Y206=0,"",ROUNDUP(Y206/H206,0)*0.00502),"")</f>
        <v>6.0240000000000002E-2</v>
      </c>
      <c r="AA206" s="56"/>
      <c r="AB206" s="57"/>
      <c r="AC206" s="255" t="s">
        <v>329</v>
      </c>
      <c r="AG206" s="64"/>
      <c r="AJ206" s="68"/>
      <c r="AK206" s="68">
        <v>0</v>
      </c>
      <c r="BB206" s="256" t="s">
        <v>1</v>
      </c>
      <c r="BM206" s="64">
        <f t="shared" si="32"/>
        <v>22.516666666666666</v>
      </c>
      <c r="BN206" s="64">
        <f t="shared" si="33"/>
        <v>23.16</v>
      </c>
      <c r="BO206" s="64">
        <f t="shared" si="34"/>
        <v>4.9857549857549859E-2</v>
      </c>
      <c r="BP206" s="64">
        <f t="shared" si="35"/>
        <v>5.1282051282051287E-2</v>
      </c>
    </row>
    <row r="207" spans="1:68" ht="27" customHeight="1" x14ac:dyDescent="0.25">
      <c r="A207" s="54" t="s">
        <v>341</v>
      </c>
      <c r="B207" s="54" t="s">
        <v>342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67</v>
      </c>
      <c r="L207" s="32"/>
      <c r="M207" s="33" t="s">
        <v>68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70</v>
      </c>
      <c r="X207" s="591">
        <v>12</v>
      </c>
      <c r="Y207" s="592">
        <f t="shared" si="31"/>
        <v>12.6</v>
      </c>
      <c r="Z207" s="36">
        <f>IFERROR(IF(Y207=0,"",ROUNDUP(Y207/H207,0)*0.00502),"")</f>
        <v>3.5140000000000005E-2</v>
      </c>
      <c r="AA207" s="56"/>
      <c r="AB207" s="57"/>
      <c r="AC207" s="257" t="s">
        <v>332</v>
      </c>
      <c r="AG207" s="64"/>
      <c r="AJ207" s="68"/>
      <c r="AK207" s="68">
        <v>0</v>
      </c>
      <c r="BB207" s="258" t="s">
        <v>1</v>
      </c>
      <c r="BM207" s="64">
        <f t="shared" si="32"/>
        <v>12.666666666666664</v>
      </c>
      <c r="BN207" s="64">
        <f t="shared" si="33"/>
        <v>13.299999999999999</v>
      </c>
      <c r="BO207" s="64">
        <f t="shared" si="34"/>
        <v>2.8490028490028491E-2</v>
      </c>
      <c r="BP207" s="64">
        <f t="shared" si="35"/>
        <v>2.9914529914529919E-2</v>
      </c>
    </row>
    <row r="208" spans="1:68" ht="27" customHeight="1" x14ac:dyDescent="0.25">
      <c r="A208" s="54" t="s">
        <v>343</v>
      </c>
      <c r="B208" s="54" t="s">
        <v>344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67</v>
      </c>
      <c r="L208" s="32"/>
      <c r="M208" s="33" t="s">
        <v>68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70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335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345</v>
      </c>
      <c r="B209" s="54" t="s">
        <v>346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67</v>
      </c>
      <c r="L209" s="32"/>
      <c r="M209" s="33" t="s">
        <v>68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70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338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72</v>
      </c>
      <c r="Q210" s="607"/>
      <c r="R210" s="607"/>
      <c r="S210" s="607"/>
      <c r="T210" s="607"/>
      <c r="U210" s="607"/>
      <c r="V210" s="608"/>
      <c r="W210" s="37" t="s">
        <v>73</v>
      </c>
      <c r="X210" s="593">
        <f>IFERROR(X202/H202,"0")+IFERROR(X203/H203,"0")+IFERROR(X204/H204,"0")+IFERROR(X205/H205,"0")+IFERROR(X206/H206,"0")+IFERROR(X207/H207,"0")+IFERROR(X208/H208,"0")+IFERROR(X209/H209,"0")</f>
        <v>25.74074074074074</v>
      </c>
      <c r="Y210" s="593">
        <f>IFERROR(Y202/H202,"0")+IFERROR(Y203/H203,"0")+IFERROR(Y204/H204,"0")+IFERROR(Y205/H205,"0")+IFERROR(Y206/H206,"0")+IFERROR(Y207/H207,"0")+IFERROR(Y208/H208,"0")+IFERROR(Y209/H209,"0")</f>
        <v>27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0.16754000000000002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72</v>
      </c>
      <c r="Q211" s="607"/>
      <c r="R211" s="607"/>
      <c r="S211" s="607"/>
      <c r="T211" s="607"/>
      <c r="U211" s="607"/>
      <c r="V211" s="608"/>
      <c r="W211" s="37" t="s">
        <v>70</v>
      </c>
      <c r="X211" s="593">
        <f>IFERROR(SUM(X202:X209),"0")</f>
        <v>73</v>
      </c>
      <c r="Y211" s="593">
        <f>IFERROR(SUM(Y202:Y209),"0")</f>
        <v>77.400000000000006</v>
      </c>
      <c r="Z211" s="37"/>
      <c r="AA211" s="594"/>
      <c r="AB211" s="594"/>
      <c r="AC211" s="594"/>
    </row>
    <row r="212" spans="1:68" ht="14.25" customHeight="1" x14ac:dyDescent="0.25">
      <c r="A212" s="609" t="s">
        <v>74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347</v>
      </c>
      <c r="B213" s="54" t="s">
        <v>348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105</v>
      </c>
      <c r="L213" s="32"/>
      <c r="M213" s="33" t="s">
        <v>112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70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350</v>
      </c>
      <c r="B214" s="54" t="s">
        <v>351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105</v>
      </c>
      <c r="L214" s="32"/>
      <c r="M214" s="33" t="s">
        <v>112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70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353</v>
      </c>
      <c r="B215" s="54" t="s">
        <v>354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105</v>
      </c>
      <c r="L215" s="32"/>
      <c r="M215" s="33" t="s">
        <v>112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70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77</v>
      </c>
      <c r="L216" s="32"/>
      <c r="M216" s="33" t="s">
        <v>112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70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349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358</v>
      </c>
      <c r="B217" s="54" t="s">
        <v>359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77</v>
      </c>
      <c r="L217" s="32"/>
      <c r="M217" s="33" t="s">
        <v>138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70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360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361</v>
      </c>
      <c r="B218" s="54" t="s">
        <v>362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77</v>
      </c>
      <c r="L218" s="32"/>
      <c r="M218" s="33" t="s">
        <v>112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70</v>
      </c>
      <c r="X218" s="591">
        <v>93</v>
      </c>
      <c r="Y218" s="592">
        <f t="shared" si="36"/>
        <v>93.6</v>
      </c>
      <c r="Z218" s="36">
        <f t="shared" si="41"/>
        <v>0.25389</v>
      </c>
      <c r="AA218" s="56"/>
      <c r="AB218" s="57"/>
      <c r="AC218" s="273" t="s">
        <v>355</v>
      </c>
      <c r="AG218" s="64"/>
      <c r="AJ218" s="68"/>
      <c r="AK218" s="68">
        <v>0</v>
      </c>
      <c r="BB218" s="274" t="s">
        <v>1</v>
      </c>
      <c r="BM218" s="64">
        <f t="shared" si="37"/>
        <v>102.76500000000001</v>
      </c>
      <c r="BN218" s="64">
        <f t="shared" si="38"/>
        <v>103.42800000000001</v>
      </c>
      <c r="BO218" s="64">
        <f t="shared" si="39"/>
        <v>0.21291208791208793</v>
      </c>
      <c r="BP218" s="64">
        <f t="shared" si="40"/>
        <v>0.2142857142857143</v>
      </c>
    </row>
    <row r="219" spans="1:68" ht="27" customHeight="1" x14ac:dyDescent="0.25">
      <c r="A219" s="54" t="s">
        <v>363</v>
      </c>
      <c r="B219" s="54" t="s">
        <v>364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77</v>
      </c>
      <c r="L219" s="32"/>
      <c r="M219" s="33" t="s">
        <v>112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70</v>
      </c>
      <c r="X219" s="591">
        <v>92</v>
      </c>
      <c r="Y219" s="592">
        <f t="shared" si="36"/>
        <v>93.6</v>
      </c>
      <c r="Z219" s="36">
        <f t="shared" si="41"/>
        <v>0.25389</v>
      </c>
      <c r="AA219" s="56"/>
      <c r="AB219" s="57"/>
      <c r="AC219" s="275" t="s">
        <v>355</v>
      </c>
      <c r="AG219" s="64"/>
      <c r="AJ219" s="68"/>
      <c r="AK219" s="68">
        <v>0</v>
      </c>
      <c r="BB219" s="276" t="s">
        <v>1</v>
      </c>
      <c r="BM219" s="64">
        <f t="shared" si="37"/>
        <v>101.66000000000001</v>
      </c>
      <c r="BN219" s="64">
        <f t="shared" si="38"/>
        <v>103.42800000000001</v>
      </c>
      <c r="BO219" s="64">
        <f t="shared" si="39"/>
        <v>0.21062271062271065</v>
      </c>
      <c r="BP219" s="64">
        <f t="shared" si="40"/>
        <v>0.2142857142857143</v>
      </c>
    </row>
    <row r="220" spans="1:68" ht="27" customHeight="1" x14ac:dyDescent="0.25">
      <c r="A220" s="54" t="s">
        <v>365</v>
      </c>
      <c r="B220" s="54" t="s">
        <v>366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77</v>
      </c>
      <c r="L220" s="32"/>
      <c r="M220" s="33" t="s">
        <v>138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70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367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368</v>
      </c>
      <c r="B221" s="54" t="s">
        <v>369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77</v>
      </c>
      <c r="L221" s="32"/>
      <c r="M221" s="33" t="s">
        <v>112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70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370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72</v>
      </c>
      <c r="Q222" s="607"/>
      <c r="R222" s="607"/>
      <c r="S222" s="607"/>
      <c r="T222" s="607"/>
      <c r="U222" s="607"/>
      <c r="V222" s="608"/>
      <c r="W222" s="37" t="s">
        <v>73</v>
      </c>
      <c r="X222" s="593">
        <f>IFERROR(X213/H213,"0")+IFERROR(X214/H214,"0")+IFERROR(X215/H215,"0")+IFERROR(X216/H216,"0")+IFERROR(X217/H217,"0")+IFERROR(X218/H218,"0")+IFERROR(X219/H219,"0")+IFERROR(X220/H220,"0")+IFERROR(X221/H221,"0")</f>
        <v>77.083333333333343</v>
      </c>
      <c r="Y222" s="593">
        <f>IFERROR(Y213/H213,"0")+IFERROR(Y214/H214,"0")+IFERROR(Y215/H215,"0")+IFERROR(Y216/H216,"0")+IFERROR(Y217/H217,"0")+IFERROR(Y218/H218,"0")+IFERROR(Y219/H219,"0")+IFERROR(Y220/H220,"0")+IFERROR(Y221/H221,"0")</f>
        <v>78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0.50778000000000001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72</v>
      </c>
      <c r="Q223" s="607"/>
      <c r="R223" s="607"/>
      <c r="S223" s="607"/>
      <c r="T223" s="607"/>
      <c r="U223" s="607"/>
      <c r="V223" s="608"/>
      <c r="W223" s="37" t="s">
        <v>70</v>
      </c>
      <c r="X223" s="593">
        <f>IFERROR(SUM(X213:X221),"0")</f>
        <v>185</v>
      </c>
      <c r="Y223" s="593">
        <f>IFERROR(SUM(Y213:Y221),"0")</f>
        <v>187.2</v>
      </c>
      <c r="Z223" s="37"/>
      <c r="AA223" s="594"/>
      <c r="AB223" s="594"/>
      <c r="AC223" s="594"/>
    </row>
    <row r="224" spans="1:68" ht="14.25" customHeight="1" x14ac:dyDescent="0.25">
      <c r="A224" s="609" t="s">
        <v>178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371</v>
      </c>
      <c r="B225" s="54" t="s">
        <v>372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77</v>
      </c>
      <c r="L225" s="32"/>
      <c r="M225" s="33" t="s">
        <v>138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70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373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374</v>
      </c>
      <c r="B226" s="54" t="s">
        <v>375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77</v>
      </c>
      <c r="L226" s="32"/>
      <c r="M226" s="33" t="s">
        <v>112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70</v>
      </c>
      <c r="X226" s="591">
        <v>13</v>
      </c>
      <c r="Y226" s="592">
        <f>IFERROR(IF(X226="",0,CEILING((X226/$H226),1)*$H226),"")</f>
        <v>14.399999999999999</v>
      </c>
      <c r="Z226" s="36">
        <f>IFERROR(IF(Y226=0,"",ROUNDUP(Y226/H226,0)*0.00651),"")</f>
        <v>3.9059999999999997E-2</v>
      </c>
      <c r="AA226" s="56"/>
      <c r="AB226" s="57"/>
      <c r="AC226" s="283" t="s">
        <v>376</v>
      </c>
      <c r="AG226" s="64"/>
      <c r="AJ226" s="68"/>
      <c r="AK226" s="68">
        <v>0</v>
      </c>
      <c r="BB226" s="284" t="s">
        <v>1</v>
      </c>
      <c r="BM226" s="64">
        <f>IFERROR(X226*I226/H226,"0")</f>
        <v>14.365</v>
      </c>
      <c r="BN226" s="64">
        <f>IFERROR(Y226*I226/H226,"0")</f>
        <v>15.912000000000001</v>
      </c>
      <c r="BO226" s="64">
        <f>IFERROR(1/J226*(X226/H226),"0")</f>
        <v>2.9761904761904767E-2</v>
      </c>
      <c r="BP226" s="64">
        <f>IFERROR(1/J226*(Y226/H226),"0")</f>
        <v>3.2967032967032968E-2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72</v>
      </c>
      <c r="Q227" s="607"/>
      <c r="R227" s="607"/>
      <c r="S227" s="607"/>
      <c r="T227" s="607"/>
      <c r="U227" s="607"/>
      <c r="V227" s="608"/>
      <c r="W227" s="37" t="s">
        <v>73</v>
      </c>
      <c r="X227" s="593">
        <f>IFERROR(X225/H225,"0")+IFERROR(X226/H226,"0")</f>
        <v>5.416666666666667</v>
      </c>
      <c r="Y227" s="593">
        <f>IFERROR(Y225/H225,"0")+IFERROR(Y226/H226,"0")</f>
        <v>6</v>
      </c>
      <c r="Z227" s="593">
        <f>IFERROR(IF(Z225="",0,Z225),"0")+IFERROR(IF(Z226="",0,Z226),"0")</f>
        <v>3.9059999999999997E-2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72</v>
      </c>
      <c r="Q228" s="607"/>
      <c r="R228" s="607"/>
      <c r="S228" s="607"/>
      <c r="T228" s="607"/>
      <c r="U228" s="607"/>
      <c r="V228" s="608"/>
      <c r="W228" s="37" t="s">
        <v>70</v>
      </c>
      <c r="X228" s="593">
        <f>IFERROR(SUM(X225:X226),"0")</f>
        <v>13</v>
      </c>
      <c r="Y228" s="593">
        <f>IFERROR(SUM(Y225:Y226),"0")</f>
        <v>14.399999999999999</v>
      </c>
      <c r="Z228" s="37"/>
      <c r="AA228" s="594"/>
      <c r="AB228" s="594"/>
      <c r="AC228" s="594"/>
    </row>
    <row r="229" spans="1:68" ht="16.5" customHeight="1" x14ac:dyDescent="0.25">
      <c r="A229" s="605" t="s">
        <v>377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102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378</v>
      </c>
      <c r="B231" s="54" t="s">
        <v>379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105</v>
      </c>
      <c r="L231" s="32"/>
      <c r="M231" s="33" t="s">
        <v>106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70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380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378</v>
      </c>
      <c r="B232" s="54" t="s">
        <v>381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105</v>
      </c>
      <c r="L232" s="32"/>
      <c r="M232" s="33" t="s">
        <v>382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70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383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384</v>
      </c>
      <c r="B233" s="54" t="s">
        <v>385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105</v>
      </c>
      <c r="L233" s="32"/>
      <c r="M233" s="33" t="s">
        <v>106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70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386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387</v>
      </c>
      <c r="B234" s="54" t="s">
        <v>388</v>
      </c>
      <c r="C234" s="31">
        <v>4301011941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12.08</v>
      </c>
      <c r="J234" s="32">
        <v>48</v>
      </c>
      <c r="K234" s="32" t="s">
        <v>105</v>
      </c>
      <c r="L234" s="32"/>
      <c r="M234" s="33" t="s">
        <v>382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70</v>
      </c>
      <c r="X234" s="591">
        <v>0</v>
      </c>
      <c r="Y234" s="59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383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387</v>
      </c>
      <c r="B235" s="54" t="s">
        <v>389</v>
      </c>
      <c r="C235" s="31">
        <v>4301011721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12.035</v>
      </c>
      <c r="J235" s="32">
        <v>64</v>
      </c>
      <c r="K235" s="32" t="s">
        <v>105</v>
      </c>
      <c r="L235" s="32"/>
      <c r="M235" s="33" t="s">
        <v>106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70</v>
      </c>
      <c r="X235" s="591">
        <v>0</v>
      </c>
      <c r="Y235" s="59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390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391</v>
      </c>
      <c r="B236" s="54" t="s">
        <v>392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110</v>
      </c>
      <c r="L236" s="32"/>
      <c r="M236" s="33" t="s">
        <v>106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70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380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393</v>
      </c>
      <c r="B237" s="54" t="s">
        <v>394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110</v>
      </c>
      <c r="L237" s="32"/>
      <c r="M237" s="33" t="s">
        <v>106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70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386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395</v>
      </c>
      <c r="B238" s="54" t="s">
        <v>396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110</v>
      </c>
      <c r="L238" s="32"/>
      <c r="M238" s="33" t="s">
        <v>106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70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390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72</v>
      </c>
      <c r="Q239" s="607"/>
      <c r="R239" s="607"/>
      <c r="S239" s="607"/>
      <c r="T239" s="607"/>
      <c r="U239" s="607"/>
      <c r="V239" s="608"/>
      <c r="W239" s="37" t="s">
        <v>73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72</v>
      </c>
      <c r="Q240" s="607"/>
      <c r="R240" s="607"/>
      <c r="S240" s="607"/>
      <c r="T240" s="607"/>
      <c r="U240" s="607"/>
      <c r="V240" s="608"/>
      <c r="W240" s="37" t="s">
        <v>70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customHeight="1" x14ac:dyDescent="0.25">
      <c r="A241" s="609" t="s">
        <v>143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397</v>
      </c>
      <c r="B242" s="54" t="s">
        <v>398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67</v>
      </c>
      <c r="L242" s="32"/>
      <c r="M242" s="33" t="s">
        <v>112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70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399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397</v>
      </c>
      <c r="B243" s="54" t="s">
        <v>400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67</v>
      </c>
      <c r="L243" s="32"/>
      <c r="M243" s="33" t="s">
        <v>112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70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399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72</v>
      </c>
      <c r="Q244" s="607"/>
      <c r="R244" s="607"/>
      <c r="S244" s="607"/>
      <c r="T244" s="607"/>
      <c r="U244" s="607"/>
      <c r="V244" s="608"/>
      <c r="W244" s="37" t="s">
        <v>73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72</v>
      </c>
      <c r="Q245" s="607"/>
      <c r="R245" s="607"/>
      <c r="S245" s="607"/>
      <c r="T245" s="607"/>
      <c r="U245" s="607"/>
      <c r="V245" s="608"/>
      <c r="W245" s="37" t="s">
        <v>70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401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402</v>
      </c>
      <c r="B247" s="54" t="s">
        <v>403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305</v>
      </c>
      <c r="L247" s="32"/>
      <c r="M247" s="33" t="s">
        <v>306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70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72</v>
      </c>
      <c r="Q248" s="607"/>
      <c r="R248" s="607"/>
      <c r="S248" s="607"/>
      <c r="T248" s="607"/>
      <c r="U248" s="607"/>
      <c r="V248" s="608"/>
      <c r="W248" s="37" t="s">
        <v>73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72</v>
      </c>
      <c r="Q249" s="607"/>
      <c r="R249" s="607"/>
      <c r="S249" s="607"/>
      <c r="T249" s="607"/>
      <c r="U249" s="607"/>
      <c r="V249" s="608"/>
      <c r="W249" s="37" t="s">
        <v>70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405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406</v>
      </c>
      <c r="B251" s="54" t="s">
        <v>407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305</v>
      </c>
      <c r="L251" s="32"/>
      <c r="M251" s="33" t="s">
        <v>306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70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305</v>
      </c>
      <c r="L252" s="32"/>
      <c r="M252" s="33" t="s">
        <v>306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70</v>
      </c>
      <c r="X252" s="591">
        <v>3</v>
      </c>
      <c r="Y252" s="592">
        <f>IFERROR(IF(X252="",0,CEILING((X252/$H252),1)*$H252),"")</f>
        <v>4.32</v>
      </c>
      <c r="Z252" s="36">
        <f>IFERROR(IF(Y252=0,"",ROUNDUP(Y252/H252,0)*0.0059),"")</f>
        <v>1.18E-2</v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3.2638888888888888</v>
      </c>
      <c r="BN252" s="64">
        <f>IFERROR(Y252*I252/H252,"0")</f>
        <v>4.7</v>
      </c>
      <c r="BO252" s="64">
        <f>IFERROR(1/J252*(X252/H252),"0")</f>
        <v>6.4300411522633738E-3</v>
      </c>
      <c r="BP252" s="64">
        <f>IFERROR(1/J252*(Y252/H252),"0")</f>
        <v>9.2592592592592587E-3</v>
      </c>
    </row>
    <row r="253" spans="1:68" ht="27" customHeight="1" x14ac:dyDescent="0.25">
      <c r="A253" s="54" t="s">
        <v>411</v>
      </c>
      <c r="B253" s="54" t="s">
        <v>412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305</v>
      </c>
      <c r="L253" s="32"/>
      <c r="M253" s="33" t="s">
        <v>306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70</v>
      </c>
      <c r="X253" s="591">
        <v>2</v>
      </c>
      <c r="Y253" s="592">
        <f>IFERROR(IF(X253="",0,CEILING((X253/$H253),1)*$H253),"")</f>
        <v>2.7</v>
      </c>
      <c r="Z253" s="36">
        <f>IFERROR(IF(Y253=0,"",ROUNDUP(Y253/H253,0)*0.0059),"")</f>
        <v>1.77E-2</v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2.4222222222222225</v>
      </c>
      <c r="BN253" s="64">
        <f>IFERROR(Y253*I253/H253,"0")</f>
        <v>3.2700000000000005</v>
      </c>
      <c r="BO253" s="64">
        <f>IFERROR(1/J253*(X253/H253),"0")</f>
        <v>1.0288065843621399E-2</v>
      </c>
      <c r="BP253" s="64">
        <f>IFERROR(1/J253*(Y253/H253),"0")</f>
        <v>1.3888888888888888E-2</v>
      </c>
    </row>
    <row r="254" spans="1:68" ht="27" customHeight="1" x14ac:dyDescent="0.25">
      <c r="A254" s="54" t="s">
        <v>413</v>
      </c>
      <c r="B254" s="54" t="s">
        <v>414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305</v>
      </c>
      <c r="L254" s="32"/>
      <c r="M254" s="33" t="s">
        <v>306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70</v>
      </c>
      <c r="X254" s="591">
        <v>2</v>
      </c>
      <c r="Y254" s="592">
        <f>IFERROR(IF(X254="",0,CEILING((X254/$H254),1)*$H254),"")</f>
        <v>2.9699999999999998</v>
      </c>
      <c r="Z254" s="36">
        <f>IFERROR(IF(Y254=0,"",ROUNDUP(Y254/H254,0)*0.0059),"")</f>
        <v>1.77E-2</v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2.3838383838383836</v>
      </c>
      <c r="BN254" s="64">
        <f>IFERROR(Y254*I254/H254,"0")</f>
        <v>3.5399999999999996</v>
      </c>
      <c r="BO254" s="64">
        <f>IFERROR(1/J254*(X254/H254),"0")</f>
        <v>9.3527871305649091E-3</v>
      </c>
      <c r="BP254" s="64">
        <f>IFERROR(1/J254*(Y254/H254),"0")</f>
        <v>1.3888888888888886E-2</v>
      </c>
    </row>
    <row r="255" spans="1:68" ht="27" customHeight="1" x14ac:dyDescent="0.25">
      <c r="A255" s="54" t="s">
        <v>415</v>
      </c>
      <c r="B255" s="54" t="s">
        <v>416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305</v>
      </c>
      <c r="L255" s="32"/>
      <c r="M255" s="33" t="s">
        <v>306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70</v>
      </c>
      <c r="X255" s="591">
        <v>2</v>
      </c>
      <c r="Y255" s="592">
        <f>IFERROR(IF(X255="",0,CEILING((X255/$H255),1)*$H255),"")</f>
        <v>2.9699999999999998</v>
      </c>
      <c r="Z255" s="36">
        <f>IFERROR(IF(Y255=0,"",ROUNDUP(Y255/H255,0)*0.0059),"")</f>
        <v>1.77E-2</v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2.3838383838383836</v>
      </c>
      <c r="BN255" s="64">
        <f>IFERROR(Y255*I255/H255,"0")</f>
        <v>3.5399999999999996</v>
      </c>
      <c r="BO255" s="64">
        <f>IFERROR(1/J255*(X255/H255),"0")</f>
        <v>9.3527871305649091E-3</v>
      </c>
      <c r="BP255" s="64">
        <f>IFERROR(1/J255*(Y255/H255),"0")</f>
        <v>1.3888888888888886E-2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72</v>
      </c>
      <c r="Q256" s="607"/>
      <c r="R256" s="607"/>
      <c r="S256" s="607"/>
      <c r="T256" s="607"/>
      <c r="U256" s="607"/>
      <c r="V256" s="608"/>
      <c r="W256" s="37" t="s">
        <v>73</v>
      </c>
      <c r="X256" s="593">
        <f>IFERROR(X251/H251,"0")+IFERROR(X252/H252,"0")+IFERROR(X253/H253,"0")+IFERROR(X254/H254,"0")+IFERROR(X255/H255,"0")</f>
        <v>7.6515151515151523</v>
      </c>
      <c r="Y256" s="593">
        <f>IFERROR(Y251/H251,"0")+IFERROR(Y252/H252,"0")+IFERROR(Y253/H253,"0")+IFERROR(Y254/H254,"0")+IFERROR(Y255/H255,"0")</f>
        <v>11</v>
      </c>
      <c r="Z256" s="593">
        <f>IFERROR(IF(Z251="",0,Z251),"0")+IFERROR(IF(Z252="",0,Z252),"0")+IFERROR(IF(Z253="",0,Z253),"0")+IFERROR(IF(Z254="",0,Z254),"0")+IFERROR(IF(Z255="",0,Z255),"0")</f>
        <v>6.4899999999999999E-2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72</v>
      </c>
      <c r="Q257" s="607"/>
      <c r="R257" s="607"/>
      <c r="S257" s="607"/>
      <c r="T257" s="607"/>
      <c r="U257" s="607"/>
      <c r="V257" s="608"/>
      <c r="W257" s="37" t="s">
        <v>70</v>
      </c>
      <c r="X257" s="593">
        <f>IFERROR(SUM(X251:X255),"0")</f>
        <v>9</v>
      </c>
      <c r="Y257" s="593">
        <f>IFERROR(SUM(Y251:Y255),"0")</f>
        <v>12.96</v>
      </c>
      <c r="Z257" s="37"/>
      <c r="AA257" s="594"/>
      <c r="AB257" s="594"/>
      <c r="AC257" s="594"/>
    </row>
    <row r="258" spans="1:68" ht="16.5" customHeight="1" x14ac:dyDescent="0.25">
      <c r="A258" s="605" t="s">
        <v>417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102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418</v>
      </c>
      <c r="B260" s="54" t="s">
        <v>419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70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421</v>
      </c>
      <c r="B261" s="54" t="s">
        <v>422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105</v>
      </c>
      <c r="L261" s="32"/>
      <c r="M261" s="33" t="s">
        <v>382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70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421</v>
      </c>
      <c r="B262" s="54" t="s">
        <v>424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70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426</v>
      </c>
      <c r="B263" s="54" t="s">
        <v>427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70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429</v>
      </c>
      <c r="B264" s="54" t="s">
        <v>430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110</v>
      </c>
      <c r="L264" s="32"/>
      <c r="M264" s="33" t="s">
        <v>106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70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432</v>
      </c>
      <c r="B265" s="54" t="s">
        <v>433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110</v>
      </c>
      <c r="L265" s="32"/>
      <c r="M265" s="33" t="s">
        <v>106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70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72</v>
      </c>
      <c r="Q266" s="607"/>
      <c r="R266" s="607"/>
      <c r="S266" s="607"/>
      <c r="T266" s="607"/>
      <c r="U266" s="607"/>
      <c r="V266" s="608"/>
      <c r="W266" s="37" t="s">
        <v>73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72</v>
      </c>
      <c r="Q267" s="607"/>
      <c r="R267" s="607"/>
      <c r="S267" s="607"/>
      <c r="T267" s="607"/>
      <c r="U267" s="607"/>
      <c r="V267" s="608"/>
      <c r="W267" s="37" t="s">
        <v>70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435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102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436</v>
      </c>
      <c r="B270" s="54" t="s">
        <v>437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105</v>
      </c>
      <c r="L270" s="32"/>
      <c r="M270" s="33" t="s">
        <v>112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70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107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438</v>
      </c>
      <c r="B271" s="54" t="s">
        <v>439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105</v>
      </c>
      <c r="L271" s="32"/>
      <c r="M271" s="33" t="s">
        <v>112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70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441</v>
      </c>
      <c r="B272" s="54" t="s">
        <v>442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105</v>
      </c>
      <c r="L272" s="32"/>
      <c r="M272" s="33" t="s">
        <v>112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70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444</v>
      </c>
      <c r="B273" s="54" t="s">
        <v>445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105</v>
      </c>
      <c r="L273" s="32"/>
      <c r="M273" s="33" t="s">
        <v>106</v>
      </c>
      <c r="N273" s="33"/>
      <c r="O273" s="32">
        <v>31</v>
      </c>
      <c r="P273" s="686" t="s">
        <v>446</v>
      </c>
      <c r="Q273" s="596"/>
      <c r="R273" s="596"/>
      <c r="S273" s="596"/>
      <c r="T273" s="597"/>
      <c r="U273" s="34"/>
      <c r="V273" s="34"/>
      <c r="W273" s="35" t="s">
        <v>70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72</v>
      </c>
      <c r="Q274" s="607"/>
      <c r="R274" s="607"/>
      <c r="S274" s="607"/>
      <c r="T274" s="607"/>
      <c r="U274" s="607"/>
      <c r="V274" s="608"/>
      <c r="W274" s="37" t="s">
        <v>73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72</v>
      </c>
      <c r="Q275" s="607"/>
      <c r="R275" s="607"/>
      <c r="S275" s="607"/>
      <c r="T275" s="607"/>
      <c r="U275" s="607"/>
      <c r="V275" s="608"/>
      <c r="W275" s="37" t="s">
        <v>70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448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74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449</v>
      </c>
      <c r="B278" s="54" t="s">
        <v>450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77</v>
      </c>
      <c r="L278" s="32"/>
      <c r="M278" s="33" t="s">
        <v>112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70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452</v>
      </c>
      <c r="B279" s="54" t="s">
        <v>453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77</v>
      </c>
      <c r="L279" s="32"/>
      <c r="M279" s="33" t="s">
        <v>138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70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455</v>
      </c>
      <c r="B280" s="54" t="s">
        <v>456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77</v>
      </c>
      <c r="L280" s="32" t="s">
        <v>111</v>
      </c>
      <c r="M280" s="33" t="s">
        <v>112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70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457</v>
      </c>
      <c r="AG280" s="64"/>
      <c r="AJ280" s="68" t="s">
        <v>113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72</v>
      </c>
      <c r="Q281" s="607"/>
      <c r="R281" s="607"/>
      <c r="S281" s="607"/>
      <c r="T281" s="607"/>
      <c r="U281" s="607"/>
      <c r="V281" s="608"/>
      <c r="W281" s="37" t="s">
        <v>73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72</v>
      </c>
      <c r="Q282" s="607"/>
      <c r="R282" s="607"/>
      <c r="S282" s="607"/>
      <c r="T282" s="607"/>
      <c r="U282" s="607"/>
      <c r="V282" s="608"/>
      <c r="W282" s="37" t="s">
        <v>70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customHeight="1" x14ac:dyDescent="0.25">
      <c r="A283" s="605" t="s">
        <v>458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64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459</v>
      </c>
      <c r="B285" s="54" t="s">
        <v>460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67</v>
      </c>
      <c r="L285" s="32"/>
      <c r="M285" s="33" t="s">
        <v>68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70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461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72</v>
      </c>
      <c r="Q286" s="607"/>
      <c r="R286" s="607"/>
      <c r="S286" s="607"/>
      <c r="T286" s="607"/>
      <c r="U286" s="607"/>
      <c r="V286" s="608"/>
      <c r="W286" s="37" t="s">
        <v>73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72</v>
      </c>
      <c r="Q287" s="607"/>
      <c r="R287" s="607"/>
      <c r="S287" s="607"/>
      <c r="T287" s="607"/>
      <c r="U287" s="607"/>
      <c r="V287" s="608"/>
      <c r="W287" s="37" t="s">
        <v>70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74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462</v>
      </c>
      <c r="B289" s="54" t="s">
        <v>463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110</v>
      </c>
      <c r="L289" s="32"/>
      <c r="M289" s="33" t="s">
        <v>112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70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464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72</v>
      </c>
      <c r="Q290" s="607"/>
      <c r="R290" s="607"/>
      <c r="S290" s="607"/>
      <c r="T290" s="607"/>
      <c r="U290" s="607"/>
      <c r="V290" s="608"/>
      <c r="W290" s="37" t="s">
        <v>73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72</v>
      </c>
      <c r="Q291" s="607"/>
      <c r="R291" s="607"/>
      <c r="S291" s="607"/>
      <c r="T291" s="607"/>
      <c r="U291" s="607"/>
      <c r="V291" s="608"/>
      <c r="W291" s="37" t="s">
        <v>70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465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74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466</v>
      </c>
      <c r="B294" s="54" t="s">
        <v>467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77</v>
      </c>
      <c r="L294" s="32"/>
      <c r="M294" s="33" t="s">
        <v>112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70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468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72</v>
      </c>
      <c r="Q295" s="607"/>
      <c r="R295" s="607"/>
      <c r="S295" s="607"/>
      <c r="T295" s="607"/>
      <c r="U295" s="607"/>
      <c r="V295" s="608"/>
      <c r="W295" s="37" t="s">
        <v>73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72</v>
      </c>
      <c r="Q296" s="607"/>
      <c r="R296" s="607"/>
      <c r="S296" s="607"/>
      <c r="T296" s="607"/>
      <c r="U296" s="607"/>
      <c r="V296" s="608"/>
      <c r="W296" s="37" t="s">
        <v>70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469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64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470</v>
      </c>
      <c r="B299" s="54" t="s">
        <v>471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70</v>
      </c>
      <c r="X299" s="591">
        <v>12</v>
      </c>
      <c r="Y299" s="592">
        <f>IFERROR(IF(X299="",0,CEILING((X299/$H299),1)*$H299),"")</f>
        <v>12.600000000000001</v>
      </c>
      <c r="Z299" s="36">
        <f>IFERROR(IF(Y299=0,"",ROUNDUP(Y299/H299,0)*0.00502),"")</f>
        <v>3.0120000000000001E-2</v>
      </c>
      <c r="AA299" s="56"/>
      <c r="AB299" s="57"/>
      <c r="AC299" s="349" t="s">
        <v>472</v>
      </c>
      <c r="AG299" s="64"/>
      <c r="AJ299" s="68"/>
      <c r="AK299" s="68">
        <v>0</v>
      </c>
      <c r="BB299" s="350" t="s">
        <v>1</v>
      </c>
      <c r="BM299" s="64">
        <f>IFERROR(X299*I299/H299,"0")</f>
        <v>12.571428571428571</v>
      </c>
      <c r="BN299" s="64">
        <f>IFERROR(Y299*I299/H299,"0")</f>
        <v>13.200000000000003</v>
      </c>
      <c r="BO299" s="64">
        <f>IFERROR(1/J299*(X299/H299),"0")</f>
        <v>2.4420024420024423E-2</v>
      </c>
      <c r="BP299" s="64">
        <f>IFERROR(1/J299*(Y299/H299),"0")</f>
        <v>2.5641025641025644E-2</v>
      </c>
    </row>
    <row r="300" spans="1:68" ht="37.5" customHeight="1" x14ac:dyDescent="0.25">
      <c r="A300" s="54" t="s">
        <v>473</v>
      </c>
      <c r="B300" s="54" t="s">
        <v>474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70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472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72</v>
      </c>
      <c r="Q301" s="607"/>
      <c r="R301" s="607"/>
      <c r="S301" s="607"/>
      <c r="T301" s="607"/>
      <c r="U301" s="607"/>
      <c r="V301" s="608"/>
      <c r="W301" s="37" t="s">
        <v>73</v>
      </c>
      <c r="X301" s="593">
        <f>IFERROR(X299/H299,"0")+IFERROR(X300/H300,"0")</f>
        <v>5.7142857142857144</v>
      </c>
      <c r="Y301" s="593">
        <f>IFERROR(Y299/H299,"0")+IFERROR(Y300/H300,"0")</f>
        <v>6</v>
      </c>
      <c r="Z301" s="593">
        <f>IFERROR(IF(Z299="",0,Z299),"0")+IFERROR(IF(Z300="",0,Z300),"0")</f>
        <v>3.0120000000000001E-2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72</v>
      </c>
      <c r="Q302" s="607"/>
      <c r="R302" s="607"/>
      <c r="S302" s="607"/>
      <c r="T302" s="607"/>
      <c r="U302" s="607"/>
      <c r="V302" s="608"/>
      <c r="W302" s="37" t="s">
        <v>70</v>
      </c>
      <c r="X302" s="593">
        <f>IFERROR(SUM(X299:X300),"0")</f>
        <v>12</v>
      </c>
      <c r="Y302" s="593">
        <f>IFERROR(SUM(Y299:Y300),"0")</f>
        <v>12.600000000000001</v>
      </c>
      <c r="Z302" s="37"/>
      <c r="AA302" s="594"/>
      <c r="AB302" s="594"/>
      <c r="AC302" s="594"/>
    </row>
    <row r="303" spans="1:68" ht="16.5" customHeight="1" x14ac:dyDescent="0.25">
      <c r="A303" s="605" t="s">
        <v>475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102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476</v>
      </c>
      <c r="B305" s="54" t="s">
        <v>477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105</v>
      </c>
      <c r="L305" s="32"/>
      <c r="M305" s="33" t="s">
        <v>106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70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478</v>
      </c>
      <c r="AB305" s="57"/>
      <c r="AC305" s="353" t="s">
        <v>479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72</v>
      </c>
      <c r="Q306" s="607"/>
      <c r="R306" s="607"/>
      <c r="S306" s="607"/>
      <c r="T306" s="607"/>
      <c r="U306" s="607"/>
      <c r="V306" s="608"/>
      <c r="W306" s="37" t="s">
        <v>73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72</v>
      </c>
      <c r="Q307" s="607"/>
      <c r="R307" s="607"/>
      <c r="S307" s="607"/>
      <c r="T307" s="607"/>
      <c r="U307" s="607"/>
      <c r="V307" s="608"/>
      <c r="W307" s="37" t="s">
        <v>70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480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102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481</v>
      </c>
      <c r="B310" s="54" t="s">
        <v>482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105</v>
      </c>
      <c r="L310" s="32"/>
      <c r="M310" s="33" t="s">
        <v>112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70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483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484</v>
      </c>
      <c r="B311" s="54" t="s">
        <v>485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105</v>
      </c>
      <c r="L311" s="32" t="s">
        <v>128</v>
      </c>
      <c r="M311" s="33" t="s">
        <v>112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70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486</v>
      </c>
      <c r="AG311" s="64"/>
      <c r="AJ311" s="68" t="s">
        <v>130</v>
      </c>
      <c r="AK311" s="68">
        <v>691.2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484</v>
      </c>
      <c r="B312" s="54" t="s">
        <v>487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105</v>
      </c>
      <c r="L312" s="32"/>
      <c r="M312" s="33" t="s">
        <v>382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70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489</v>
      </c>
      <c r="B313" s="54" t="s">
        <v>490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105</v>
      </c>
      <c r="L313" s="32"/>
      <c r="M313" s="33" t="s">
        <v>106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70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491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492</v>
      </c>
      <c r="B314" s="54" t="s">
        <v>493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110</v>
      </c>
      <c r="L314" s="32"/>
      <c r="M314" s="33" t="s">
        <v>106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70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494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495</v>
      </c>
      <c r="B315" s="54" t="s">
        <v>496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110</v>
      </c>
      <c r="L315" s="32"/>
      <c r="M315" s="33" t="s">
        <v>106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70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72</v>
      </c>
      <c r="Q316" s="607"/>
      <c r="R316" s="607"/>
      <c r="S316" s="607"/>
      <c r="T316" s="607"/>
      <c r="U316" s="607"/>
      <c r="V316" s="608"/>
      <c r="W316" s="37" t="s">
        <v>73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72</v>
      </c>
      <c r="Q317" s="607"/>
      <c r="R317" s="607"/>
      <c r="S317" s="607"/>
      <c r="T317" s="607"/>
      <c r="U317" s="607"/>
      <c r="V317" s="608"/>
      <c r="W317" s="37" t="s">
        <v>70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64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497</v>
      </c>
      <c r="B319" s="54" t="s">
        <v>498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110</v>
      </c>
      <c r="L319" s="32"/>
      <c r="M319" s="33" t="s">
        <v>68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70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499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500</v>
      </c>
      <c r="B320" s="54" t="s">
        <v>501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110</v>
      </c>
      <c r="L320" s="32"/>
      <c r="M320" s="33" t="s">
        <v>68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70</v>
      </c>
      <c r="X320" s="591">
        <v>140</v>
      </c>
      <c r="Y320" s="592">
        <f>IFERROR(IF(X320="",0,CEILING((X320/$H320),1)*$H320),"")</f>
        <v>142.80000000000001</v>
      </c>
      <c r="Z320" s="36">
        <f>IFERROR(IF(Y320=0,"",ROUNDUP(Y320/H320,0)*0.00902),"")</f>
        <v>0.30668000000000001</v>
      </c>
      <c r="AA320" s="56"/>
      <c r="AB320" s="57"/>
      <c r="AC320" s="369" t="s">
        <v>502</v>
      </c>
      <c r="AG320" s="64"/>
      <c r="AJ320" s="68"/>
      <c r="AK320" s="68">
        <v>0</v>
      </c>
      <c r="BB320" s="370" t="s">
        <v>1</v>
      </c>
      <c r="BM320" s="64">
        <f>IFERROR(X320*I320/H320,"0")</f>
        <v>148.99999999999997</v>
      </c>
      <c r="BN320" s="64">
        <f>IFERROR(Y320*I320/H320,"0")</f>
        <v>151.97999999999999</v>
      </c>
      <c r="BO320" s="64">
        <f>IFERROR(1/J320*(X320/H320),"0")</f>
        <v>0.25252525252525249</v>
      </c>
      <c r="BP320" s="64">
        <f>IFERROR(1/J320*(Y320/H320),"0")</f>
        <v>0.25757575757575757</v>
      </c>
    </row>
    <row r="321" spans="1:68" ht="27" customHeight="1" x14ac:dyDescent="0.25">
      <c r="A321" s="54" t="s">
        <v>503</v>
      </c>
      <c r="B321" s="54" t="s">
        <v>504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110</v>
      </c>
      <c r="L321" s="32"/>
      <c r="M321" s="33" t="s">
        <v>68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70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505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506</v>
      </c>
      <c r="B322" s="54" t="s">
        <v>507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70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502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72</v>
      </c>
      <c r="Q323" s="607"/>
      <c r="R323" s="607"/>
      <c r="S323" s="607"/>
      <c r="T323" s="607"/>
      <c r="U323" s="607"/>
      <c r="V323" s="608"/>
      <c r="W323" s="37" t="s">
        <v>73</v>
      </c>
      <c r="X323" s="593">
        <f>IFERROR(X319/H319,"0")+IFERROR(X320/H320,"0")+IFERROR(X321/H321,"0")+IFERROR(X322/H322,"0")</f>
        <v>33.333333333333329</v>
      </c>
      <c r="Y323" s="593">
        <f>IFERROR(Y319/H319,"0")+IFERROR(Y320/H320,"0")+IFERROR(Y321/H321,"0")+IFERROR(Y322/H322,"0")</f>
        <v>34</v>
      </c>
      <c r="Z323" s="593">
        <f>IFERROR(IF(Z319="",0,Z319),"0")+IFERROR(IF(Z320="",0,Z320),"0")+IFERROR(IF(Z321="",0,Z321),"0")+IFERROR(IF(Z322="",0,Z322),"0")</f>
        <v>0.30668000000000001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72</v>
      </c>
      <c r="Q324" s="607"/>
      <c r="R324" s="607"/>
      <c r="S324" s="607"/>
      <c r="T324" s="607"/>
      <c r="U324" s="607"/>
      <c r="V324" s="608"/>
      <c r="W324" s="37" t="s">
        <v>70</v>
      </c>
      <c r="X324" s="593">
        <f>IFERROR(SUM(X319:X322),"0")</f>
        <v>140</v>
      </c>
      <c r="Y324" s="593">
        <f>IFERROR(SUM(Y319:Y322),"0")</f>
        <v>142.80000000000001</v>
      </c>
      <c r="Z324" s="37"/>
      <c r="AA324" s="594"/>
      <c r="AB324" s="594"/>
      <c r="AC324" s="594"/>
    </row>
    <row r="325" spans="1:68" ht="14.25" customHeight="1" x14ac:dyDescent="0.25">
      <c r="A325" s="609" t="s">
        <v>74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508</v>
      </c>
      <c r="B326" s="54" t="s">
        <v>509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105</v>
      </c>
      <c r="L326" s="32"/>
      <c r="M326" s="33" t="s">
        <v>112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70</v>
      </c>
      <c r="X326" s="591">
        <v>559</v>
      </c>
      <c r="Y326" s="592">
        <f>IFERROR(IF(X326="",0,CEILING((X326/$H326),1)*$H326),"")</f>
        <v>561.6</v>
      </c>
      <c r="Z326" s="36">
        <f>IFERROR(IF(Y326=0,"",ROUNDUP(Y326/H326,0)*0.01898),"")</f>
        <v>1.36656</v>
      </c>
      <c r="AA326" s="56"/>
      <c r="AB326" s="57"/>
      <c r="AC326" s="375" t="s">
        <v>510</v>
      </c>
      <c r="AG326" s="64"/>
      <c r="AJ326" s="68"/>
      <c r="AK326" s="68">
        <v>0</v>
      </c>
      <c r="BB326" s="376" t="s">
        <v>1</v>
      </c>
      <c r="BM326" s="64">
        <f>IFERROR(X326*I326/H326,"0")</f>
        <v>595.7650000000001</v>
      </c>
      <c r="BN326" s="64">
        <f>IFERROR(Y326*I326/H326,"0")</f>
        <v>598.53600000000006</v>
      </c>
      <c r="BO326" s="64">
        <f>IFERROR(1/J326*(X326/H326),"0")</f>
        <v>1.1197916666666667</v>
      </c>
      <c r="BP326" s="64">
        <f>IFERROR(1/J326*(Y326/H326),"0")</f>
        <v>1.125</v>
      </c>
    </row>
    <row r="327" spans="1:68" ht="27" customHeight="1" x14ac:dyDescent="0.25">
      <c r="A327" s="54" t="s">
        <v>511</v>
      </c>
      <c r="B327" s="54" t="s">
        <v>512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105</v>
      </c>
      <c r="L327" s="32"/>
      <c r="M327" s="33" t="s">
        <v>112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70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513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514</v>
      </c>
      <c r="B328" s="54" t="s">
        <v>515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105</v>
      </c>
      <c r="L328" s="32"/>
      <c r="M328" s="33" t="s">
        <v>112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70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516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517</v>
      </c>
      <c r="B329" s="54" t="s">
        <v>518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77</v>
      </c>
      <c r="L329" s="32"/>
      <c r="M329" s="33" t="s">
        <v>112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70</v>
      </c>
      <c r="X329" s="591">
        <v>45</v>
      </c>
      <c r="Y329" s="592">
        <f>IFERROR(IF(X329="",0,CEILING((X329/$H329),1)*$H329),"")</f>
        <v>45</v>
      </c>
      <c r="Z329" s="36">
        <f>IFERROR(IF(Y329=0,"",ROUNDUP(Y329/H329,0)*0.00651),"")</f>
        <v>9.7650000000000001E-2</v>
      </c>
      <c r="AA329" s="56"/>
      <c r="AB329" s="57"/>
      <c r="AC329" s="381" t="s">
        <v>519</v>
      </c>
      <c r="AG329" s="64"/>
      <c r="AJ329" s="68"/>
      <c r="AK329" s="68">
        <v>0</v>
      </c>
      <c r="BB329" s="382" t="s">
        <v>1</v>
      </c>
      <c r="BM329" s="64">
        <f>IFERROR(X329*I329/H329,"0")</f>
        <v>48.69</v>
      </c>
      <c r="BN329" s="64">
        <f>IFERROR(Y329*I329/H329,"0")</f>
        <v>48.69</v>
      </c>
      <c r="BO329" s="64">
        <f>IFERROR(1/J329*(X329/H329),"0")</f>
        <v>8.241758241758243E-2</v>
      </c>
      <c r="BP329" s="64">
        <f>IFERROR(1/J329*(Y329/H329),"0")</f>
        <v>8.241758241758243E-2</v>
      </c>
    </row>
    <row r="330" spans="1:68" ht="27" customHeight="1" x14ac:dyDescent="0.25">
      <c r="A330" s="54" t="s">
        <v>520</v>
      </c>
      <c r="B330" s="54" t="s">
        <v>521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77</v>
      </c>
      <c r="L330" s="32"/>
      <c r="M330" s="33" t="s">
        <v>138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70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522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72</v>
      </c>
      <c r="Q331" s="607"/>
      <c r="R331" s="607"/>
      <c r="S331" s="607"/>
      <c r="T331" s="607"/>
      <c r="U331" s="607"/>
      <c r="V331" s="608"/>
      <c r="W331" s="37" t="s">
        <v>73</v>
      </c>
      <c r="X331" s="593">
        <f>IFERROR(X326/H326,"0")+IFERROR(X327/H327,"0")+IFERROR(X328/H328,"0")+IFERROR(X329/H329,"0")+IFERROR(X330/H330,"0")</f>
        <v>86.666666666666671</v>
      </c>
      <c r="Y331" s="593">
        <f>IFERROR(Y326/H326,"0")+IFERROR(Y327/H327,"0")+IFERROR(Y328/H328,"0")+IFERROR(Y329/H329,"0")+IFERROR(Y330/H330,"0")</f>
        <v>87</v>
      </c>
      <c r="Z331" s="593">
        <f>IFERROR(IF(Z326="",0,Z326),"0")+IFERROR(IF(Z327="",0,Z327),"0")+IFERROR(IF(Z328="",0,Z328),"0")+IFERROR(IF(Z329="",0,Z329),"0")+IFERROR(IF(Z330="",0,Z330),"0")</f>
        <v>1.46421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72</v>
      </c>
      <c r="Q332" s="607"/>
      <c r="R332" s="607"/>
      <c r="S332" s="607"/>
      <c r="T332" s="607"/>
      <c r="U332" s="607"/>
      <c r="V332" s="608"/>
      <c r="W332" s="37" t="s">
        <v>70</v>
      </c>
      <c r="X332" s="593">
        <f>IFERROR(SUM(X326:X330),"0")</f>
        <v>604</v>
      </c>
      <c r="Y332" s="593">
        <f>IFERROR(SUM(Y326:Y330),"0")</f>
        <v>606.6</v>
      </c>
      <c r="Z332" s="37"/>
      <c r="AA332" s="594"/>
      <c r="AB332" s="594"/>
      <c r="AC332" s="594"/>
    </row>
    <row r="333" spans="1:68" ht="14.25" customHeight="1" x14ac:dyDescent="0.25">
      <c r="A333" s="609" t="s">
        <v>178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523</v>
      </c>
      <c r="B334" s="54" t="s">
        <v>524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105</v>
      </c>
      <c r="L334" s="32"/>
      <c r="M334" s="33" t="s">
        <v>112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70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525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526</v>
      </c>
      <c r="B335" s="54" t="s">
        <v>527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105</v>
      </c>
      <c r="L335" s="32"/>
      <c r="M335" s="33" t="s">
        <v>112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70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528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529</v>
      </c>
      <c r="B336" s="54" t="s">
        <v>530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105</v>
      </c>
      <c r="L336" s="32"/>
      <c r="M336" s="33" t="s">
        <v>138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70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531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72</v>
      </c>
      <c r="Q337" s="607"/>
      <c r="R337" s="607"/>
      <c r="S337" s="607"/>
      <c r="T337" s="607"/>
      <c r="U337" s="607"/>
      <c r="V337" s="608"/>
      <c r="W337" s="37" t="s">
        <v>73</v>
      </c>
      <c r="X337" s="593">
        <f>IFERROR(X334/H334,"0")+IFERROR(X335/H335,"0")+IFERROR(X336/H336,"0")</f>
        <v>0</v>
      </c>
      <c r="Y337" s="593">
        <f>IFERROR(Y334/H334,"0")+IFERROR(Y335/H335,"0")+IFERROR(Y336/H336,"0")</f>
        <v>0</v>
      </c>
      <c r="Z337" s="593">
        <f>IFERROR(IF(Z334="",0,Z334),"0")+IFERROR(IF(Z335="",0,Z335),"0")+IFERROR(IF(Z336="",0,Z336),"0")</f>
        <v>0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72</v>
      </c>
      <c r="Q338" s="607"/>
      <c r="R338" s="607"/>
      <c r="S338" s="607"/>
      <c r="T338" s="607"/>
      <c r="U338" s="607"/>
      <c r="V338" s="608"/>
      <c r="W338" s="37" t="s">
        <v>70</v>
      </c>
      <c r="X338" s="593">
        <f>IFERROR(SUM(X334:X336),"0")</f>
        <v>0</v>
      </c>
      <c r="Y338" s="593">
        <f>IFERROR(SUM(Y334:Y336),"0")</f>
        <v>0</v>
      </c>
      <c r="Z338" s="37"/>
      <c r="AA338" s="594"/>
      <c r="AB338" s="594"/>
      <c r="AC338" s="594"/>
    </row>
    <row r="339" spans="1:68" ht="14.25" customHeight="1" x14ac:dyDescent="0.25">
      <c r="A339" s="609" t="s">
        <v>94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532</v>
      </c>
      <c r="B340" s="54" t="s">
        <v>533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110</v>
      </c>
      <c r="L340" s="32"/>
      <c r="M340" s="33" t="s">
        <v>97</v>
      </c>
      <c r="N340" s="33"/>
      <c r="O340" s="32">
        <v>180</v>
      </c>
      <c r="P340" s="732" t="s">
        <v>534</v>
      </c>
      <c r="Q340" s="596"/>
      <c r="R340" s="596"/>
      <c r="S340" s="596"/>
      <c r="T340" s="597"/>
      <c r="U340" s="34"/>
      <c r="V340" s="34"/>
      <c r="W340" s="35" t="s">
        <v>70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535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536</v>
      </c>
      <c r="B341" s="54" t="s">
        <v>537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110</v>
      </c>
      <c r="L341" s="32"/>
      <c r="M341" s="33" t="s">
        <v>97</v>
      </c>
      <c r="N341" s="33"/>
      <c r="O341" s="32">
        <v>180</v>
      </c>
      <c r="P341" s="868" t="s">
        <v>538</v>
      </c>
      <c r="Q341" s="596"/>
      <c r="R341" s="596"/>
      <c r="S341" s="596"/>
      <c r="T341" s="597"/>
      <c r="U341" s="34"/>
      <c r="V341" s="34"/>
      <c r="W341" s="35" t="s">
        <v>70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539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540</v>
      </c>
      <c r="B342" s="54" t="s">
        <v>541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77</v>
      </c>
      <c r="L342" s="32"/>
      <c r="M342" s="33" t="s">
        <v>97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70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542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77</v>
      </c>
      <c r="L343" s="32"/>
      <c r="M343" s="33" t="s">
        <v>97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70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72</v>
      </c>
      <c r="Q344" s="607"/>
      <c r="R344" s="607"/>
      <c r="S344" s="607"/>
      <c r="T344" s="607"/>
      <c r="U344" s="607"/>
      <c r="V344" s="608"/>
      <c r="W344" s="37" t="s">
        <v>73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72</v>
      </c>
      <c r="Q345" s="607"/>
      <c r="R345" s="607"/>
      <c r="S345" s="607"/>
      <c r="T345" s="607"/>
      <c r="U345" s="607"/>
      <c r="V345" s="608"/>
      <c r="W345" s="37" t="s">
        <v>70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customHeight="1" x14ac:dyDescent="0.25">
      <c r="A346" s="609" t="s">
        <v>545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546</v>
      </c>
      <c r="B347" s="54" t="s">
        <v>547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77</v>
      </c>
      <c r="L347" s="32"/>
      <c r="M347" s="33" t="s">
        <v>548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70</v>
      </c>
      <c r="X347" s="591">
        <v>10</v>
      </c>
      <c r="Y347" s="592">
        <f>IFERROR(IF(X347="",0,CEILING((X347/$H347),1)*$H347),"")</f>
        <v>10</v>
      </c>
      <c r="Z347" s="36">
        <f>IFERROR(IF(Y347=0,"",ROUNDUP(Y347/H347,0)*0.00474),"")</f>
        <v>2.3700000000000002E-2</v>
      </c>
      <c r="AA347" s="56"/>
      <c r="AB347" s="57"/>
      <c r="AC347" s="399" t="s">
        <v>549</v>
      </c>
      <c r="AG347" s="64"/>
      <c r="AJ347" s="68"/>
      <c r="AK347" s="68">
        <v>0</v>
      </c>
      <c r="BB347" s="400" t="s">
        <v>1</v>
      </c>
      <c r="BM347" s="64">
        <f>IFERROR(X347*I347/H347,"0")</f>
        <v>11.200000000000001</v>
      </c>
      <c r="BN347" s="64">
        <f>IFERROR(Y347*I347/H347,"0")</f>
        <v>11.200000000000001</v>
      </c>
      <c r="BO347" s="64">
        <f>IFERROR(1/J347*(X347/H347),"0")</f>
        <v>2.1008403361344536E-2</v>
      </c>
      <c r="BP347" s="64">
        <f>IFERROR(1/J347*(Y347/H347),"0")</f>
        <v>2.1008403361344536E-2</v>
      </c>
    </row>
    <row r="348" spans="1:68" ht="27" customHeight="1" x14ac:dyDescent="0.25">
      <c r="A348" s="54" t="s">
        <v>550</v>
      </c>
      <c r="B348" s="54" t="s">
        <v>551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77</v>
      </c>
      <c r="L348" s="32"/>
      <c r="M348" s="33" t="s">
        <v>548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70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549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552</v>
      </c>
      <c r="B349" s="54" t="s">
        <v>553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77</v>
      </c>
      <c r="L349" s="32"/>
      <c r="M349" s="33" t="s">
        <v>548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70</v>
      </c>
      <c r="X349" s="591">
        <v>15</v>
      </c>
      <c r="Y349" s="592">
        <f>IFERROR(IF(X349="",0,CEILING((X349/$H349),1)*$H349),"")</f>
        <v>16</v>
      </c>
      <c r="Z349" s="36">
        <f>IFERROR(IF(Y349=0,"",ROUNDUP(Y349/H349,0)*0.00474),"")</f>
        <v>3.7920000000000002E-2</v>
      </c>
      <c r="AA349" s="56"/>
      <c r="AB349" s="57"/>
      <c r="AC349" s="403" t="s">
        <v>549</v>
      </c>
      <c r="AG349" s="64"/>
      <c r="AJ349" s="68"/>
      <c r="AK349" s="68">
        <v>0</v>
      </c>
      <c r="BB349" s="404" t="s">
        <v>1</v>
      </c>
      <c r="BM349" s="64">
        <f>IFERROR(X349*I349/H349,"0")</f>
        <v>16.8</v>
      </c>
      <c r="BN349" s="64">
        <f>IFERROR(Y349*I349/H349,"0")</f>
        <v>17.920000000000002</v>
      </c>
      <c r="BO349" s="64">
        <f>IFERROR(1/J349*(X349/H349),"0")</f>
        <v>3.1512605042016806E-2</v>
      </c>
      <c r="BP349" s="64">
        <f>IFERROR(1/J349*(Y349/H349),"0")</f>
        <v>3.3613445378151259E-2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72</v>
      </c>
      <c r="Q350" s="607"/>
      <c r="R350" s="607"/>
      <c r="S350" s="607"/>
      <c r="T350" s="607"/>
      <c r="U350" s="607"/>
      <c r="V350" s="608"/>
      <c r="W350" s="37" t="s">
        <v>73</v>
      </c>
      <c r="X350" s="593">
        <f>IFERROR(X347/H347,"0")+IFERROR(X348/H348,"0")+IFERROR(X349/H349,"0")</f>
        <v>12.5</v>
      </c>
      <c r="Y350" s="593">
        <f>IFERROR(Y347/H347,"0")+IFERROR(Y348/H348,"0")+IFERROR(Y349/H349,"0")</f>
        <v>13</v>
      </c>
      <c r="Z350" s="593">
        <f>IFERROR(IF(Z347="",0,Z347),"0")+IFERROR(IF(Z348="",0,Z348),"0")+IFERROR(IF(Z349="",0,Z349),"0")</f>
        <v>6.1620000000000008E-2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72</v>
      </c>
      <c r="Q351" s="607"/>
      <c r="R351" s="607"/>
      <c r="S351" s="607"/>
      <c r="T351" s="607"/>
      <c r="U351" s="607"/>
      <c r="V351" s="608"/>
      <c r="W351" s="37" t="s">
        <v>70</v>
      </c>
      <c r="X351" s="593">
        <f>IFERROR(SUM(X347:X349),"0")</f>
        <v>25</v>
      </c>
      <c r="Y351" s="593">
        <f>IFERROR(SUM(Y347:Y349),"0")</f>
        <v>26</v>
      </c>
      <c r="Z351" s="37"/>
      <c r="AA351" s="594"/>
      <c r="AB351" s="594"/>
      <c r="AC351" s="594"/>
    </row>
    <row r="352" spans="1:68" ht="16.5" customHeight="1" x14ac:dyDescent="0.25">
      <c r="A352" s="605" t="s">
        <v>554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64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555</v>
      </c>
      <c r="B354" s="54" t="s">
        <v>556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77</v>
      </c>
      <c r="L354" s="32"/>
      <c r="M354" s="33" t="s">
        <v>68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70</v>
      </c>
      <c r="X354" s="591">
        <v>14</v>
      </c>
      <c r="Y354" s="592">
        <f>IFERROR(IF(X354="",0,CEILING((X354/$H354),1)*$H354),"")</f>
        <v>14.4</v>
      </c>
      <c r="Z354" s="36">
        <f>IFERROR(IF(Y354=0,"",ROUNDUP(Y354/H354,0)*0.00651),"")</f>
        <v>5.2080000000000001E-2</v>
      </c>
      <c r="AA354" s="56"/>
      <c r="AB354" s="57"/>
      <c r="AC354" s="405" t="s">
        <v>557</v>
      </c>
      <c r="AG354" s="64"/>
      <c r="AJ354" s="68"/>
      <c r="AK354" s="68">
        <v>0</v>
      </c>
      <c r="BB354" s="406" t="s">
        <v>1</v>
      </c>
      <c r="BM354" s="64">
        <f>IFERROR(X354*I354/H354,"0")</f>
        <v>15.773333333333333</v>
      </c>
      <c r="BN354" s="64">
        <f>IFERROR(Y354*I354/H354,"0")</f>
        <v>16.224</v>
      </c>
      <c r="BO354" s="64">
        <f>IFERROR(1/J354*(X354/H354),"0")</f>
        <v>4.2735042735042736E-2</v>
      </c>
      <c r="BP354" s="64">
        <f>IFERROR(1/J354*(Y354/H354),"0")</f>
        <v>4.3956043956043959E-2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72</v>
      </c>
      <c r="Q355" s="607"/>
      <c r="R355" s="607"/>
      <c r="S355" s="607"/>
      <c r="T355" s="607"/>
      <c r="U355" s="607"/>
      <c r="V355" s="608"/>
      <c r="W355" s="37" t="s">
        <v>73</v>
      </c>
      <c r="X355" s="593">
        <f>IFERROR(X354/H354,"0")</f>
        <v>7.7777777777777777</v>
      </c>
      <c r="Y355" s="593">
        <f>IFERROR(Y354/H354,"0")</f>
        <v>8</v>
      </c>
      <c r="Z355" s="593">
        <f>IFERROR(IF(Z354="",0,Z354),"0")</f>
        <v>5.2080000000000001E-2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72</v>
      </c>
      <c r="Q356" s="607"/>
      <c r="R356" s="607"/>
      <c r="S356" s="607"/>
      <c r="T356" s="607"/>
      <c r="U356" s="607"/>
      <c r="V356" s="608"/>
      <c r="W356" s="37" t="s">
        <v>70</v>
      </c>
      <c r="X356" s="593">
        <f>IFERROR(SUM(X354:X354),"0")</f>
        <v>14</v>
      </c>
      <c r="Y356" s="593">
        <f>IFERROR(SUM(Y354:Y354),"0")</f>
        <v>14.4</v>
      </c>
      <c r="Z356" s="37"/>
      <c r="AA356" s="594"/>
      <c r="AB356" s="594"/>
      <c r="AC356" s="594"/>
    </row>
    <row r="357" spans="1:68" ht="14.25" customHeight="1" x14ac:dyDescent="0.25">
      <c r="A357" s="609" t="s">
        <v>74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558</v>
      </c>
      <c r="B358" s="54" t="s">
        <v>559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105</v>
      </c>
      <c r="L358" s="32"/>
      <c r="M358" s="33" t="s">
        <v>138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70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560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77</v>
      </c>
      <c r="L359" s="32"/>
      <c r="M359" s="33" t="s">
        <v>112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70</v>
      </c>
      <c r="X359" s="591">
        <v>53</v>
      </c>
      <c r="Y359" s="592">
        <f>IFERROR(IF(X359="",0,CEILING((X359/$H359),1)*$H359),"")</f>
        <v>54.6</v>
      </c>
      <c r="Z359" s="36">
        <f>IFERROR(IF(Y359=0,"",ROUNDUP(Y359/H359,0)*0.00651),"")</f>
        <v>0.16925999999999999</v>
      </c>
      <c r="AA359" s="56"/>
      <c r="AB359" s="57"/>
      <c r="AC359" s="409" t="s">
        <v>563</v>
      </c>
      <c r="AG359" s="64"/>
      <c r="AJ359" s="68"/>
      <c r="AK359" s="68">
        <v>0</v>
      </c>
      <c r="BB359" s="410" t="s">
        <v>1</v>
      </c>
      <c r="BM359" s="64">
        <f>IFERROR(X359*I359/H359,"0")</f>
        <v>59.359999999999992</v>
      </c>
      <c r="BN359" s="64">
        <f>IFERROR(Y359*I359/H359,"0")</f>
        <v>61.151999999999994</v>
      </c>
      <c r="BO359" s="64">
        <f>IFERROR(1/J359*(X359/H359),"0")</f>
        <v>0.13867085295656725</v>
      </c>
      <c r="BP359" s="64">
        <f>IFERROR(1/J359*(Y359/H359),"0")</f>
        <v>0.14285714285714288</v>
      </c>
    </row>
    <row r="360" spans="1:68" ht="27" customHeight="1" x14ac:dyDescent="0.25">
      <c r="A360" s="54" t="s">
        <v>564</v>
      </c>
      <c r="B360" s="54" t="s">
        <v>565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77</v>
      </c>
      <c r="L360" s="32"/>
      <c r="M360" s="33" t="s">
        <v>138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70</v>
      </c>
      <c r="X360" s="591">
        <v>25</v>
      </c>
      <c r="Y360" s="592">
        <f>IFERROR(IF(X360="",0,CEILING((X360/$H360),1)*$H360),"")</f>
        <v>25.200000000000003</v>
      </c>
      <c r="Z360" s="36">
        <f>IFERROR(IF(Y360=0,"",ROUNDUP(Y360/H360,0)*0.00651),"")</f>
        <v>7.8119999999999995E-2</v>
      </c>
      <c r="AA360" s="56"/>
      <c r="AB360" s="57"/>
      <c r="AC360" s="411" t="s">
        <v>566</v>
      </c>
      <c r="AG360" s="64"/>
      <c r="AJ360" s="68"/>
      <c r="AK360" s="68">
        <v>0</v>
      </c>
      <c r="BB360" s="412" t="s">
        <v>1</v>
      </c>
      <c r="BM360" s="64">
        <f>IFERROR(X360*I360/H360,"0")</f>
        <v>27.857142857142858</v>
      </c>
      <c r="BN360" s="64">
        <f>IFERROR(Y360*I360/H360,"0")</f>
        <v>28.080000000000002</v>
      </c>
      <c r="BO360" s="64">
        <f>IFERROR(1/J360*(X360/H360),"0")</f>
        <v>6.541077969649399E-2</v>
      </c>
      <c r="BP360" s="64">
        <f>IFERROR(1/J360*(Y360/H360),"0")</f>
        <v>6.5934065934065936E-2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72</v>
      </c>
      <c r="Q361" s="607"/>
      <c r="R361" s="607"/>
      <c r="S361" s="607"/>
      <c r="T361" s="607"/>
      <c r="U361" s="607"/>
      <c r="V361" s="608"/>
      <c r="W361" s="37" t="s">
        <v>73</v>
      </c>
      <c r="X361" s="593">
        <f>IFERROR(X358/H358,"0")+IFERROR(X359/H359,"0")+IFERROR(X360/H360,"0")</f>
        <v>37.142857142857139</v>
      </c>
      <c r="Y361" s="593">
        <f>IFERROR(Y358/H358,"0")+IFERROR(Y359/H359,"0")+IFERROR(Y360/H360,"0")</f>
        <v>38</v>
      </c>
      <c r="Z361" s="593">
        <f>IFERROR(IF(Z358="",0,Z358),"0")+IFERROR(IF(Z359="",0,Z359),"0")+IFERROR(IF(Z360="",0,Z360),"0")</f>
        <v>0.24737999999999999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72</v>
      </c>
      <c r="Q362" s="607"/>
      <c r="R362" s="607"/>
      <c r="S362" s="607"/>
      <c r="T362" s="607"/>
      <c r="U362" s="607"/>
      <c r="V362" s="608"/>
      <c r="W362" s="37" t="s">
        <v>70</v>
      </c>
      <c r="X362" s="593">
        <f>IFERROR(SUM(X358:X360),"0")</f>
        <v>78</v>
      </c>
      <c r="Y362" s="593">
        <f>IFERROR(SUM(Y358:Y360),"0")</f>
        <v>79.800000000000011</v>
      </c>
      <c r="Z362" s="37"/>
      <c r="AA362" s="594"/>
      <c r="AB362" s="594"/>
      <c r="AC362" s="594"/>
    </row>
    <row r="363" spans="1:68" ht="27.75" customHeight="1" x14ac:dyDescent="0.2">
      <c r="A363" s="614" t="s">
        <v>567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568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102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569</v>
      </c>
      <c r="B366" s="54" t="s">
        <v>570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105</v>
      </c>
      <c r="L366" s="32" t="s">
        <v>128</v>
      </c>
      <c r="M366" s="33" t="s">
        <v>68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70</v>
      </c>
      <c r="X366" s="591">
        <v>0</v>
      </c>
      <c r="Y366" s="592">
        <f t="shared" ref="Y366:Y372" si="57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413" t="s">
        <v>571</v>
      </c>
      <c r="AG366" s="64"/>
      <c r="AJ366" s="68" t="s">
        <v>130</v>
      </c>
      <c r="AK366" s="68">
        <v>720</v>
      </c>
      <c r="BB366" s="414" t="s">
        <v>1</v>
      </c>
      <c r="BM366" s="64">
        <f t="shared" ref="BM366:BM372" si="58">IFERROR(X366*I366/H366,"0")</f>
        <v>0</v>
      </c>
      <c r="BN366" s="64">
        <f t="shared" ref="BN366:BN372" si="59">IFERROR(Y366*I366/H366,"0")</f>
        <v>0</v>
      </c>
      <c r="BO366" s="64">
        <f t="shared" ref="BO366:BO372" si="60">IFERROR(1/J366*(X366/H366),"0")</f>
        <v>0</v>
      </c>
      <c r="BP366" s="64">
        <f t="shared" ref="BP366:BP372" si="61">IFERROR(1/J366*(Y366/H366),"0")</f>
        <v>0</v>
      </c>
    </row>
    <row r="367" spans="1:68" ht="27" customHeight="1" x14ac:dyDescent="0.25">
      <c r="A367" s="54" t="s">
        <v>572</v>
      </c>
      <c r="B367" s="54" t="s">
        <v>573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105</v>
      </c>
      <c r="L367" s="32" t="s">
        <v>128</v>
      </c>
      <c r="M367" s="33" t="s">
        <v>68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70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574</v>
      </c>
      <c r="AG367" s="64"/>
      <c r="AJ367" s="68" t="s">
        <v>130</v>
      </c>
      <c r="AK367" s="68">
        <v>720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105</v>
      </c>
      <c r="L368" s="32" t="s">
        <v>128</v>
      </c>
      <c r="M368" s="33" t="s">
        <v>68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70</v>
      </c>
      <c r="X368" s="591">
        <v>120</v>
      </c>
      <c r="Y368" s="592">
        <f t="shared" si="57"/>
        <v>120</v>
      </c>
      <c r="Z368" s="36">
        <f>IFERROR(IF(Y368=0,"",ROUNDUP(Y368/H368,0)*0.02175),"")</f>
        <v>0.17399999999999999</v>
      </c>
      <c r="AA368" s="56"/>
      <c r="AB368" s="57"/>
      <c r="AC368" s="417" t="s">
        <v>577</v>
      </c>
      <c r="AG368" s="64"/>
      <c r="AJ368" s="68" t="s">
        <v>130</v>
      </c>
      <c r="AK368" s="68">
        <v>720</v>
      </c>
      <c r="BB368" s="418" t="s">
        <v>1</v>
      </c>
      <c r="BM368" s="64">
        <f t="shared" si="58"/>
        <v>123.84</v>
      </c>
      <c r="BN368" s="64">
        <f t="shared" si="59"/>
        <v>123.84</v>
      </c>
      <c r="BO368" s="64">
        <f t="shared" si="60"/>
        <v>0.16666666666666666</v>
      </c>
      <c r="BP368" s="64">
        <f t="shared" si="61"/>
        <v>0.16666666666666666</v>
      </c>
    </row>
    <row r="369" spans="1:68" ht="27" customHeight="1" x14ac:dyDescent="0.25">
      <c r="A369" s="54" t="s">
        <v>578</v>
      </c>
      <c r="B369" s="54" t="s">
        <v>579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105</v>
      </c>
      <c r="L369" s="32"/>
      <c r="M369" s="33" t="s">
        <v>138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70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580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581</v>
      </c>
      <c r="B370" s="54" t="s">
        <v>582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110</v>
      </c>
      <c r="L370" s="32"/>
      <c r="M370" s="33" t="s">
        <v>106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70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583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70</v>
      </c>
      <c r="X371" s="591">
        <v>6</v>
      </c>
      <c r="Y371" s="592">
        <f t="shared" si="57"/>
        <v>10</v>
      </c>
      <c r="Z371" s="36">
        <f>IFERROR(IF(Y371=0,"",ROUNDUP(Y371/H371,0)*0.00902),"")</f>
        <v>1.804E-2</v>
      </c>
      <c r="AA371" s="56"/>
      <c r="AB371" s="57"/>
      <c r="AC371" s="423" t="s">
        <v>574</v>
      </c>
      <c r="AG371" s="64"/>
      <c r="AJ371" s="68"/>
      <c r="AK371" s="68">
        <v>0</v>
      </c>
      <c r="BB371" s="424" t="s">
        <v>1</v>
      </c>
      <c r="BM371" s="64">
        <f t="shared" si="58"/>
        <v>6.2519999999999998</v>
      </c>
      <c r="BN371" s="64">
        <f t="shared" si="59"/>
        <v>10.42</v>
      </c>
      <c r="BO371" s="64">
        <f t="shared" si="60"/>
        <v>9.0909090909090905E-3</v>
      </c>
      <c r="BP371" s="64">
        <f t="shared" si="61"/>
        <v>1.5151515151515152E-2</v>
      </c>
    </row>
    <row r="372" spans="1:68" ht="37.5" customHeight="1" x14ac:dyDescent="0.25">
      <c r="A372" s="54" t="s">
        <v>586</v>
      </c>
      <c r="B372" s="54" t="s">
        <v>587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70</v>
      </c>
      <c r="X372" s="591">
        <v>4</v>
      </c>
      <c r="Y372" s="592">
        <f t="shared" si="57"/>
        <v>5</v>
      </c>
      <c r="Z372" s="36">
        <f>IFERROR(IF(Y372=0,"",ROUNDUP(Y372/H372,0)*0.00902),"")</f>
        <v>9.0200000000000002E-3</v>
      </c>
      <c r="AA372" s="56"/>
      <c r="AB372" s="57"/>
      <c r="AC372" s="425" t="s">
        <v>577</v>
      </c>
      <c r="AG372" s="64"/>
      <c r="AJ372" s="68"/>
      <c r="AK372" s="68">
        <v>0</v>
      </c>
      <c r="BB372" s="426" t="s">
        <v>1</v>
      </c>
      <c r="BM372" s="64">
        <f t="shared" si="58"/>
        <v>4.1680000000000001</v>
      </c>
      <c r="BN372" s="64">
        <f t="shared" si="59"/>
        <v>5.21</v>
      </c>
      <c r="BO372" s="64">
        <f t="shared" si="60"/>
        <v>6.0606060606060615E-3</v>
      </c>
      <c r="BP372" s="64">
        <f t="shared" si="61"/>
        <v>7.575757575757576E-3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72</v>
      </c>
      <c r="Q373" s="607"/>
      <c r="R373" s="607"/>
      <c r="S373" s="607"/>
      <c r="T373" s="607"/>
      <c r="U373" s="607"/>
      <c r="V373" s="608"/>
      <c r="W373" s="37" t="s">
        <v>73</v>
      </c>
      <c r="X373" s="593">
        <f>IFERROR(X366/H366,"0")+IFERROR(X367/H367,"0")+IFERROR(X368/H368,"0")+IFERROR(X369/H369,"0")+IFERROR(X370/H370,"0")+IFERROR(X371/H371,"0")+IFERROR(X372/H372,"0")</f>
        <v>10</v>
      </c>
      <c r="Y373" s="593">
        <f>IFERROR(Y366/H366,"0")+IFERROR(Y367/H367,"0")+IFERROR(Y368/H368,"0")+IFERROR(Y369/H369,"0")+IFERROR(Y370/H370,"0")+IFERROR(Y371/H371,"0")+IFERROR(Y372/H372,"0")</f>
        <v>11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0.20105999999999999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72</v>
      </c>
      <c r="Q374" s="607"/>
      <c r="R374" s="607"/>
      <c r="S374" s="607"/>
      <c r="T374" s="607"/>
      <c r="U374" s="607"/>
      <c r="V374" s="608"/>
      <c r="W374" s="37" t="s">
        <v>70</v>
      </c>
      <c r="X374" s="593">
        <f>IFERROR(SUM(X366:X372),"0")</f>
        <v>130</v>
      </c>
      <c r="Y374" s="593">
        <f>IFERROR(SUM(Y366:Y372),"0")</f>
        <v>135</v>
      </c>
      <c r="Z374" s="37"/>
      <c r="AA374" s="594"/>
      <c r="AB374" s="594"/>
      <c r="AC374" s="594"/>
    </row>
    <row r="375" spans="1:68" ht="14.25" customHeight="1" x14ac:dyDescent="0.25">
      <c r="A375" s="609" t="s">
        <v>143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588</v>
      </c>
      <c r="B376" s="54" t="s">
        <v>589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105</v>
      </c>
      <c r="L376" s="32" t="s">
        <v>128</v>
      </c>
      <c r="M376" s="33" t="s">
        <v>106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70</v>
      </c>
      <c r="X376" s="591">
        <v>0</v>
      </c>
      <c r="Y376" s="592">
        <f>IFERROR(IF(X376="",0,CEILING((X376/$H376),1)*$H376),"")</f>
        <v>0</v>
      </c>
      <c r="Z376" s="36" t="str">
        <f>IFERROR(IF(Y376=0,"",ROUNDUP(Y376/H376,0)*0.02175),"")</f>
        <v/>
      </c>
      <c r="AA376" s="56"/>
      <c r="AB376" s="57"/>
      <c r="AC376" s="427" t="s">
        <v>590</v>
      </c>
      <c r="AG376" s="64"/>
      <c r="AJ376" s="68" t="s">
        <v>130</v>
      </c>
      <c r="AK376" s="68">
        <v>720</v>
      </c>
      <c r="BB376" s="42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16.5" customHeight="1" x14ac:dyDescent="0.25">
      <c r="A377" s="54" t="s">
        <v>591</v>
      </c>
      <c r="B377" s="54" t="s">
        <v>592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110</v>
      </c>
      <c r="L377" s="32"/>
      <c r="M377" s="33" t="s">
        <v>106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70</v>
      </c>
      <c r="X377" s="591">
        <v>4</v>
      </c>
      <c r="Y377" s="592">
        <f>IFERROR(IF(X377="",0,CEILING((X377/$H377),1)*$H377),"")</f>
        <v>4</v>
      </c>
      <c r="Z377" s="36">
        <f>IFERROR(IF(Y377=0,"",ROUNDUP(Y377/H377,0)*0.00902),"")</f>
        <v>9.0200000000000002E-3</v>
      </c>
      <c r="AA377" s="56"/>
      <c r="AB377" s="57"/>
      <c r="AC377" s="429" t="s">
        <v>590</v>
      </c>
      <c r="AG377" s="64"/>
      <c r="AJ377" s="68"/>
      <c r="AK377" s="68">
        <v>0</v>
      </c>
      <c r="BB377" s="430" t="s">
        <v>1</v>
      </c>
      <c r="BM377" s="64">
        <f>IFERROR(X377*I377/H377,"0")</f>
        <v>4.21</v>
      </c>
      <c r="BN377" s="64">
        <f>IFERROR(Y377*I377/H377,"0")</f>
        <v>4.21</v>
      </c>
      <c r="BO377" s="64">
        <f>IFERROR(1/J377*(X377/H377),"0")</f>
        <v>7.575757575757576E-3</v>
      </c>
      <c r="BP377" s="64">
        <f>IFERROR(1/J377*(Y377/H377),"0")</f>
        <v>7.575757575757576E-3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72</v>
      </c>
      <c r="Q378" s="607"/>
      <c r="R378" s="607"/>
      <c r="S378" s="607"/>
      <c r="T378" s="607"/>
      <c r="U378" s="607"/>
      <c r="V378" s="608"/>
      <c r="W378" s="37" t="s">
        <v>73</v>
      </c>
      <c r="X378" s="593">
        <f>IFERROR(X376/H376,"0")+IFERROR(X377/H377,"0")</f>
        <v>1</v>
      </c>
      <c r="Y378" s="593">
        <f>IFERROR(Y376/H376,"0")+IFERROR(Y377/H377,"0")</f>
        <v>1</v>
      </c>
      <c r="Z378" s="593">
        <f>IFERROR(IF(Z376="",0,Z376),"0")+IFERROR(IF(Z377="",0,Z377),"0")</f>
        <v>9.0200000000000002E-3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72</v>
      </c>
      <c r="Q379" s="607"/>
      <c r="R379" s="607"/>
      <c r="S379" s="607"/>
      <c r="T379" s="607"/>
      <c r="U379" s="607"/>
      <c r="V379" s="608"/>
      <c r="W379" s="37" t="s">
        <v>70</v>
      </c>
      <c r="X379" s="593">
        <f>IFERROR(SUM(X376:X377),"0")</f>
        <v>4</v>
      </c>
      <c r="Y379" s="593">
        <f>IFERROR(SUM(Y376:Y377),"0")</f>
        <v>4</v>
      </c>
      <c r="Z379" s="37"/>
      <c r="AA379" s="594"/>
      <c r="AB379" s="594"/>
      <c r="AC379" s="594"/>
    </row>
    <row r="380" spans="1:68" ht="14.25" customHeight="1" x14ac:dyDescent="0.25">
      <c r="A380" s="609" t="s">
        <v>74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593</v>
      </c>
      <c r="B381" s="54" t="s">
        <v>594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105</v>
      </c>
      <c r="L381" s="32"/>
      <c r="M381" s="33" t="s">
        <v>112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70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595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596</v>
      </c>
      <c r="B382" s="54" t="s">
        <v>597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105</v>
      </c>
      <c r="L382" s="32"/>
      <c r="M382" s="33" t="s">
        <v>112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70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598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72</v>
      </c>
      <c r="Q383" s="607"/>
      <c r="R383" s="607"/>
      <c r="S383" s="607"/>
      <c r="T383" s="607"/>
      <c r="U383" s="607"/>
      <c r="V383" s="608"/>
      <c r="W383" s="37" t="s">
        <v>73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72</v>
      </c>
      <c r="Q384" s="607"/>
      <c r="R384" s="607"/>
      <c r="S384" s="607"/>
      <c r="T384" s="607"/>
      <c r="U384" s="607"/>
      <c r="V384" s="608"/>
      <c r="W384" s="37" t="s">
        <v>70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customHeight="1" x14ac:dyDescent="0.25">
      <c r="A385" s="609" t="s">
        <v>178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599</v>
      </c>
      <c r="B386" s="54" t="s">
        <v>600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105</v>
      </c>
      <c r="L386" s="32"/>
      <c r="M386" s="33" t="s">
        <v>112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70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601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72</v>
      </c>
      <c r="Q387" s="607"/>
      <c r="R387" s="607"/>
      <c r="S387" s="607"/>
      <c r="T387" s="607"/>
      <c r="U387" s="607"/>
      <c r="V387" s="608"/>
      <c r="W387" s="37" t="s">
        <v>73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72</v>
      </c>
      <c r="Q388" s="607"/>
      <c r="R388" s="607"/>
      <c r="S388" s="607"/>
      <c r="T388" s="607"/>
      <c r="U388" s="607"/>
      <c r="V388" s="608"/>
      <c r="W388" s="37" t="s">
        <v>70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customHeight="1" x14ac:dyDescent="0.25">
      <c r="A389" s="605" t="s">
        <v>602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102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603</v>
      </c>
      <c r="B391" s="54" t="s">
        <v>604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105</v>
      </c>
      <c r="L391" s="32"/>
      <c r="M391" s="33" t="s">
        <v>68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70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605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606</v>
      </c>
      <c r="B392" s="54" t="s">
        <v>607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105</v>
      </c>
      <c r="L392" s="32"/>
      <c r="M392" s="33" t="s">
        <v>68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70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609</v>
      </c>
      <c r="B393" s="54" t="s">
        <v>610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105</v>
      </c>
      <c r="L393" s="32"/>
      <c r="M393" s="33" t="s">
        <v>68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70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608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611</v>
      </c>
      <c r="B394" s="54" t="s">
        <v>612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70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608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72</v>
      </c>
      <c r="Q395" s="607"/>
      <c r="R395" s="607"/>
      <c r="S395" s="607"/>
      <c r="T395" s="607"/>
      <c r="U395" s="607"/>
      <c r="V395" s="608"/>
      <c r="W395" s="37" t="s">
        <v>73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72</v>
      </c>
      <c r="Q396" s="607"/>
      <c r="R396" s="607"/>
      <c r="S396" s="607"/>
      <c r="T396" s="607"/>
      <c r="U396" s="607"/>
      <c r="V396" s="608"/>
      <c r="W396" s="37" t="s">
        <v>70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09" t="s">
        <v>64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613</v>
      </c>
      <c r="B398" s="54" t="s">
        <v>614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110</v>
      </c>
      <c r="L398" s="32"/>
      <c r="M398" s="33" t="s">
        <v>68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70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72</v>
      </c>
      <c r="Q399" s="607"/>
      <c r="R399" s="607"/>
      <c r="S399" s="607"/>
      <c r="T399" s="607"/>
      <c r="U399" s="607"/>
      <c r="V399" s="608"/>
      <c r="W399" s="37" t="s">
        <v>73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72</v>
      </c>
      <c r="Q400" s="607"/>
      <c r="R400" s="607"/>
      <c r="S400" s="607"/>
      <c r="T400" s="607"/>
      <c r="U400" s="607"/>
      <c r="V400" s="608"/>
      <c r="W400" s="37" t="s">
        <v>70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74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616</v>
      </c>
      <c r="B402" s="54" t="s">
        <v>617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105</v>
      </c>
      <c r="L402" s="32"/>
      <c r="M402" s="33" t="s">
        <v>112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70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619</v>
      </c>
      <c r="B403" s="54" t="s">
        <v>620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105</v>
      </c>
      <c r="L403" s="32"/>
      <c r="M403" s="33" t="s">
        <v>112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70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622</v>
      </c>
      <c r="B404" s="54" t="s">
        <v>623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77</v>
      </c>
      <c r="L404" s="32"/>
      <c r="M404" s="33" t="s">
        <v>112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70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72</v>
      </c>
      <c r="Q405" s="607"/>
      <c r="R405" s="607"/>
      <c r="S405" s="607"/>
      <c r="T405" s="607"/>
      <c r="U405" s="607"/>
      <c r="V405" s="608"/>
      <c r="W405" s="37" t="s">
        <v>73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72</v>
      </c>
      <c r="Q406" s="607"/>
      <c r="R406" s="607"/>
      <c r="S406" s="607"/>
      <c r="T406" s="607"/>
      <c r="U406" s="607"/>
      <c r="V406" s="608"/>
      <c r="W406" s="37" t="s">
        <v>70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customHeight="1" x14ac:dyDescent="0.25">
      <c r="A407" s="609" t="s">
        <v>178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624</v>
      </c>
      <c r="B408" s="54" t="s">
        <v>625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105</v>
      </c>
      <c r="L408" s="32"/>
      <c r="M408" s="33" t="s">
        <v>112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70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626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72</v>
      </c>
      <c r="Q409" s="607"/>
      <c r="R409" s="607"/>
      <c r="S409" s="607"/>
      <c r="T409" s="607"/>
      <c r="U409" s="607"/>
      <c r="V409" s="608"/>
      <c r="W409" s="37" t="s">
        <v>73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72</v>
      </c>
      <c r="Q410" s="607"/>
      <c r="R410" s="607"/>
      <c r="S410" s="607"/>
      <c r="T410" s="607"/>
      <c r="U410" s="607"/>
      <c r="V410" s="608"/>
      <c r="W410" s="37" t="s">
        <v>70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627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628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64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629</v>
      </c>
      <c r="B414" s="54" t="s">
        <v>630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110</v>
      </c>
      <c r="L414" s="32"/>
      <c r="M414" s="33" t="s">
        <v>68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70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631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632</v>
      </c>
      <c r="B415" s="54" t="s">
        <v>633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110</v>
      </c>
      <c r="L415" s="32"/>
      <c r="M415" s="33" t="s">
        <v>68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70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634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632</v>
      </c>
      <c r="B416" s="54" t="s">
        <v>635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110</v>
      </c>
      <c r="L416" s="32"/>
      <c r="M416" s="33" t="s">
        <v>68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70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634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636</v>
      </c>
      <c r="B417" s="54" t="s">
        <v>637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110</v>
      </c>
      <c r="L417" s="32"/>
      <c r="M417" s="33" t="s">
        <v>68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70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638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639</v>
      </c>
      <c r="B418" s="54" t="s">
        <v>640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70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631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641</v>
      </c>
      <c r="B419" s="54" t="s">
        <v>642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70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631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643</v>
      </c>
      <c r="B420" s="54" t="s">
        <v>644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70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646</v>
      </c>
      <c r="B421" s="54" t="s">
        <v>647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70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649</v>
      </c>
      <c r="B422" s="54" t="s">
        <v>650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70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651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652</v>
      </c>
      <c r="B423" s="54" t="s">
        <v>653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70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648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72</v>
      </c>
      <c r="Q424" s="607"/>
      <c r="R424" s="607"/>
      <c r="S424" s="607"/>
      <c r="T424" s="607"/>
      <c r="U424" s="607"/>
      <c r="V424" s="608"/>
      <c r="W424" s="37" t="s">
        <v>73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72</v>
      </c>
      <c r="Q425" s="607"/>
      <c r="R425" s="607"/>
      <c r="S425" s="607"/>
      <c r="T425" s="607"/>
      <c r="U425" s="607"/>
      <c r="V425" s="608"/>
      <c r="W425" s="37" t="s">
        <v>70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customHeight="1" x14ac:dyDescent="0.25">
      <c r="A426" s="609" t="s">
        <v>74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654</v>
      </c>
      <c r="B427" s="54" t="s">
        <v>655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110</v>
      </c>
      <c r="L427" s="32"/>
      <c r="M427" s="33" t="s">
        <v>112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70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656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657</v>
      </c>
      <c r="B428" s="54" t="s">
        <v>658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77</v>
      </c>
      <c r="L428" s="32"/>
      <c r="M428" s="33" t="s">
        <v>112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70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659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72</v>
      </c>
      <c r="Q429" s="607"/>
      <c r="R429" s="607"/>
      <c r="S429" s="607"/>
      <c r="T429" s="607"/>
      <c r="U429" s="607"/>
      <c r="V429" s="608"/>
      <c r="W429" s="37" t="s">
        <v>73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72</v>
      </c>
      <c r="Q430" s="607"/>
      <c r="R430" s="607"/>
      <c r="S430" s="607"/>
      <c r="T430" s="607"/>
      <c r="U430" s="607"/>
      <c r="V430" s="608"/>
      <c r="W430" s="37" t="s">
        <v>70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660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143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661</v>
      </c>
      <c r="B433" s="54" t="s">
        <v>662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70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663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70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666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72</v>
      </c>
      <c r="Q435" s="607"/>
      <c r="R435" s="607"/>
      <c r="S435" s="607"/>
      <c r="T435" s="607"/>
      <c r="U435" s="607"/>
      <c r="V435" s="608"/>
      <c r="W435" s="37" t="s">
        <v>73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72</v>
      </c>
      <c r="Q436" s="607"/>
      <c r="R436" s="607"/>
      <c r="S436" s="607"/>
      <c r="T436" s="607"/>
      <c r="U436" s="607"/>
      <c r="V436" s="608"/>
      <c r="W436" s="37" t="s">
        <v>70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64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667</v>
      </c>
      <c r="B438" s="54" t="s">
        <v>668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70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669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670</v>
      </c>
      <c r="B439" s="54" t="s">
        <v>671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70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672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673</v>
      </c>
      <c r="B440" s="54" t="s">
        <v>674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70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675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676</v>
      </c>
      <c r="B441" s="54" t="s">
        <v>677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70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675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72</v>
      </c>
      <c r="Q442" s="607"/>
      <c r="R442" s="607"/>
      <c r="S442" s="607"/>
      <c r="T442" s="607"/>
      <c r="U442" s="607"/>
      <c r="V442" s="608"/>
      <c r="W442" s="37" t="s">
        <v>73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72</v>
      </c>
      <c r="Q443" s="607"/>
      <c r="R443" s="607"/>
      <c r="S443" s="607"/>
      <c r="T443" s="607"/>
      <c r="U443" s="607"/>
      <c r="V443" s="608"/>
      <c r="W443" s="37" t="s">
        <v>70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customHeight="1" x14ac:dyDescent="0.25">
      <c r="A444" s="605" t="s">
        <v>678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64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679</v>
      </c>
      <c r="B446" s="54" t="s">
        <v>680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77</v>
      </c>
      <c r="L446" s="32"/>
      <c r="M446" s="33" t="s">
        <v>68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70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681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72</v>
      </c>
      <c r="Q447" s="607"/>
      <c r="R447" s="607"/>
      <c r="S447" s="607"/>
      <c r="T447" s="607"/>
      <c r="U447" s="607"/>
      <c r="V447" s="608"/>
      <c r="W447" s="37" t="s">
        <v>73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72</v>
      </c>
      <c r="Q448" s="607"/>
      <c r="R448" s="607"/>
      <c r="S448" s="607"/>
      <c r="T448" s="607"/>
      <c r="U448" s="607"/>
      <c r="V448" s="608"/>
      <c r="W448" s="37" t="s">
        <v>70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682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64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683</v>
      </c>
      <c r="B451" s="54" t="s">
        <v>684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77</v>
      </c>
      <c r="L451" s="32"/>
      <c r="M451" s="33" t="s">
        <v>68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70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685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72</v>
      </c>
      <c r="Q452" s="607"/>
      <c r="R452" s="607"/>
      <c r="S452" s="607"/>
      <c r="T452" s="607"/>
      <c r="U452" s="607"/>
      <c r="V452" s="608"/>
      <c r="W452" s="37" t="s">
        <v>73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72</v>
      </c>
      <c r="Q453" s="607"/>
      <c r="R453" s="607"/>
      <c r="S453" s="607"/>
      <c r="T453" s="607"/>
      <c r="U453" s="607"/>
      <c r="V453" s="608"/>
      <c r="W453" s="37" t="s">
        <v>70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686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686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102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687</v>
      </c>
      <c r="B457" s="54" t="s">
        <v>688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105</v>
      </c>
      <c r="L457" s="32"/>
      <c r="M457" s="33" t="s">
        <v>106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70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689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customHeight="1" x14ac:dyDescent="0.25">
      <c r="A458" s="54" t="s">
        <v>690</v>
      </c>
      <c r="B458" s="54" t="s">
        <v>691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105</v>
      </c>
      <c r="L458" s="32"/>
      <c r="M458" s="33" t="s">
        <v>106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70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692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693</v>
      </c>
      <c r="B459" s="54" t="s">
        <v>694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105</v>
      </c>
      <c r="L459" s="32"/>
      <c r="M459" s="33" t="s">
        <v>112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70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695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customHeight="1" x14ac:dyDescent="0.25">
      <c r="A460" s="54" t="s">
        <v>696</v>
      </c>
      <c r="B460" s="54" t="s">
        <v>697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105</v>
      </c>
      <c r="L460" s="32"/>
      <c r="M460" s="33" t="s">
        <v>106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70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698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699</v>
      </c>
      <c r="B461" s="54" t="s">
        <v>700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70</v>
      </c>
      <c r="X461" s="591">
        <v>0</v>
      </c>
      <c r="Y461" s="592">
        <f t="shared" si="68"/>
        <v>0</v>
      </c>
      <c r="Z461" s="36" t="str">
        <f t="shared" si="69"/>
        <v/>
      </c>
      <c r="AA461" s="56"/>
      <c r="AB461" s="57"/>
      <c r="AC461" s="503" t="s">
        <v>701</v>
      </c>
      <c r="AG461" s="64"/>
      <c r="AJ461" s="68"/>
      <c r="AK461" s="68">
        <v>0</v>
      </c>
      <c r="BB461" s="50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16.5" customHeight="1" x14ac:dyDescent="0.25">
      <c r="A462" s="54" t="s">
        <v>702</v>
      </c>
      <c r="B462" s="54" t="s">
        <v>703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105</v>
      </c>
      <c r="L462" s="32"/>
      <c r="M462" s="33" t="s">
        <v>112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70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704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705</v>
      </c>
      <c r="B463" s="54" t="s">
        <v>706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77</v>
      </c>
      <c r="L463" s="32"/>
      <c r="M463" s="33" t="s">
        <v>112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70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689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707</v>
      </c>
      <c r="B464" s="54" t="s">
        <v>708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70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689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707</v>
      </c>
      <c r="B465" s="54" t="s">
        <v>709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70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689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710</v>
      </c>
      <c r="B466" s="54" t="s">
        <v>711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110</v>
      </c>
      <c r="L466" s="32"/>
      <c r="M466" s="33" t="s">
        <v>106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70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692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712</v>
      </c>
      <c r="B467" s="54" t="s">
        <v>713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77</v>
      </c>
      <c r="L467" s="32"/>
      <c r="M467" s="33" t="s">
        <v>106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70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701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714</v>
      </c>
      <c r="B468" s="54" t="s">
        <v>715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70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701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714</v>
      </c>
      <c r="B469" s="54" t="s">
        <v>716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110</v>
      </c>
      <c r="L469" s="32"/>
      <c r="M469" s="33" t="s">
        <v>106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70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701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72</v>
      </c>
      <c r="Q470" s="607"/>
      <c r="R470" s="607"/>
      <c r="S470" s="607"/>
      <c r="T470" s="607"/>
      <c r="U470" s="607"/>
      <c r="V470" s="608"/>
      <c r="W470" s="37" t="s">
        <v>73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0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0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72</v>
      </c>
      <c r="Q471" s="607"/>
      <c r="R471" s="607"/>
      <c r="S471" s="607"/>
      <c r="T471" s="607"/>
      <c r="U471" s="607"/>
      <c r="V471" s="608"/>
      <c r="W471" s="37" t="s">
        <v>70</v>
      </c>
      <c r="X471" s="593">
        <f>IFERROR(SUM(X457:X469),"0")</f>
        <v>0</v>
      </c>
      <c r="Y471" s="593">
        <f>IFERROR(SUM(Y457:Y469),"0")</f>
        <v>0</v>
      </c>
      <c r="Z471" s="37"/>
      <c r="AA471" s="594"/>
      <c r="AB471" s="594"/>
      <c r="AC471" s="594"/>
    </row>
    <row r="472" spans="1:68" ht="14.25" customHeight="1" x14ac:dyDescent="0.25">
      <c r="A472" s="609" t="s">
        <v>143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717</v>
      </c>
      <c r="B473" s="54" t="s">
        <v>718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105</v>
      </c>
      <c r="L473" s="32"/>
      <c r="M473" s="33" t="s">
        <v>112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70</v>
      </c>
      <c r="X473" s="591">
        <v>0</v>
      </c>
      <c r="Y473" s="592">
        <f>IFERROR(IF(X473="",0,CEILING((X473/$H473),1)*$H473),"")</f>
        <v>0</v>
      </c>
      <c r="Z473" s="36" t="str">
        <f>IFERROR(IF(Y473=0,"",ROUNDUP(Y473/H473,0)*0.01196),"")</f>
        <v/>
      </c>
      <c r="AA473" s="56"/>
      <c r="AB473" s="57"/>
      <c r="AC473" s="521" t="s">
        <v>719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16.5" customHeight="1" x14ac:dyDescent="0.25">
      <c r="A474" s="54" t="s">
        <v>720</v>
      </c>
      <c r="B474" s="54" t="s">
        <v>721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77</v>
      </c>
      <c r="L474" s="32"/>
      <c r="M474" s="33" t="s">
        <v>112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70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722</v>
      </c>
      <c r="B475" s="54" t="s">
        <v>723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110</v>
      </c>
      <c r="L475" s="32"/>
      <c r="M475" s="33" t="s">
        <v>106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70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72</v>
      </c>
      <c r="Q476" s="607"/>
      <c r="R476" s="607"/>
      <c r="S476" s="607"/>
      <c r="T476" s="607"/>
      <c r="U476" s="607"/>
      <c r="V476" s="608"/>
      <c r="W476" s="37" t="s">
        <v>73</v>
      </c>
      <c r="X476" s="593">
        <f>IFERROR(X473/H473,"0")+IFERROR(X474/H474,"0")+IFERROR(X475/H475,"0")</f>
        <v>0</v>
      </c>
      <c r="Y476" s="593">
        <f>IFERROR(Y473/H473,"0")+IFERROR(Y474/H474,"0")+IFERROR(Y475/H475,"0")</f>
        <v>0</v>
      </c>
      <c r="Z476" s="593">
        <f>IFERROR(IF(Z473="",0,Z473),"0")+IFERROR(IF(Z474="",0,Z474),"0")+IFERROR(IF(Z475="",0,Z475),"0")</f>
        <v>0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72</v>
      </c>
      <c r="Q477" s="607"/>
      <c r="R477" s="607"/>
      <c r="S477" s="607"/>
      <c r="T477" s="607"/>
      <c r="U477" s="607"/>
      <c r="V477" s="608"/>
      <c r="W477" s="37" t="s">
        <v>70</v>
      </c>
      <c r="X477" s="593">
        <f>IFERROR(SUM(X473:X475),"0")</f>
        <v>0</v>
      </c>
      <c r="Y477" s="593">
        <f>IFERROR(SUM(Y473:Y475),"0")</f>
        <v>0</v>
      </c>
      <c r="Z477" s="37"/>
      <c r="AA477" s="594"/>
      <c r="AB477" s="594"/>
      <c r="AC477" s="594"/>
    </row>
    <row r="478" spans="1:68" ht="14.25" customHeight="1" x14ac:dyDescent="0.25">
      <c r="A478" s="609" t="s">
        <v>64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724</v>
      </c>
      <c r="B479" s="54" t="s">
        <v>725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105</v>
      </c>
      <c r="L479" s="32"/>
      <c r="M479" s="33" t="s">
        <v>106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70</v>
      </c>
      <c r="X479" s="591">
        <v>0</v>
      </c>
      <c r="Y479" s="592">
        <f t="shared" ref="Y479:Y486" si="74">IFERROR(IF(X479="",0,CEILING((X479/$H479),1)*$H479),"")</f>
        <v>0</v>
      </c>
      <c r="Z479" s="36" t="str">
        <f>IFERROR(IF(Y479=0,"",ROUNDUP(Y479/H479,0)*0.01196),"")</f>
        <v/>
      </c>
      <c r="AA479" s="56"/>
      <c r="AB479" s="57"/>
      <c r="AC479" s="527" t="s">
        <v>726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0</v>
      </c>
      <c r="BN479" s="64">
        <f t="shared" ref="BN479:BN486" si="76">IFERROR(Y479*I479/H479,"0")</f>
        <v>0</v>
      </c>
      <c r="BO479" s="64">
        <f t="shared" ref="BO479:BO486" si="77">IFERROR(1/J479*(X479/H479),"0")</f>
        <v>0</v>
      </c>
      <c r="BP479" s="64">
        <f t="shared" ref="BP479:BP486" si="78">IFERROR(1/J479*(Y479/H479),"0")</f>
        <v>0</v>
      </c>
    </row>
    <row r="480" spans="1:68" ht="27" customHeight="1" x14ac:dyDescent="0.25">
      <c r="A480" s="54" t="s">
        <v>727</v>
      </c>
      <c r="B480" s="54" t="s">
        <v>728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105</v>
      </c>
      <c r="L480" s="32"/>
      <c r="M480" s="33" t="s">
        <v>68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70</v>
      </c>
      <c r="X480" s="591">
        <v>0</v>
      </c>
      <c r="Y480" s="592">
        <f t="shared" si="74"/>
        <v>0</v>
      </c>
      <c r="Z480" s="36" t="str">
        <f>IFERROR(IF(Y480=0,"",ROUNDUP(Y480/H480,0)*0.01196),"")</f>
        <v/>
      </c>
      <c r="AA480" s="56"/>
      <c r="AB480" s="57"/>
      <c r="AC480" s="529" t="s">
        <v>729</v>
      </c>
      <c r="AG480" s="64"/>
      <c r="AJ480" s="68"/>
      <c r="AK480" s="68">
        <v>0</v>
      </c>
      <c r="BB480" s="530" t="s">
        <v>1</v>
      </c>
      <c r="BM480" s="64">
        <f t="shared" si="75"/>
        <v>0</v>
      </c>
      <c r="BN480" s="64">
        <f t="shared" si="76"/>
        <v>0</v>
      </c>
      <c r="BO480" s="64">
        <f t="shared" si="77"/>
        <v>0</v>
      </c>
      <c r="BP480" s="64">
        <f t="shared" si="78"/>
        <v>0</v>
      </c>
    </row>
    <row r="481" spans="1:68" ht="27" customHeight="1" x14ac:dyDescent="0.25">
      <c r="A481" s="54" t="s">
        <v>730</v>
      </c>
      <c r="B481" s="54" t="s">
        <v>731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105</v>
      </c>
      <c r="L481" s="32"/>
      <c r="M481" s="33" t="s">
        <v>68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70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732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customHeight="1" x14ac:dyDescent="0.25">
      <c r="A482" s="54" t="s">
        <v>733</v>
      </c>
      <c r="B482" s="54" t="s">
        <v>734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70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726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733</v>
      </c>
      <c r="B483" s="54" t="s">
        <v>735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70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726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736</v>
      </c>
      <c r="B484" s="54" t="s">
        <v>737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110</v>
      </c>
      <c r="L484" s="32"/>
      <c r="M484" s="33" t="s">
        <v>68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70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729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738</v>
      </c>
      <c r="B485" s="54" t="s">
        <v>739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110</v>
      </c>
      <c r="L485" s="32"/>
      <c r="M485" s="33" t="s">
        <v>68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70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732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738</v>
      </c>
      <c r="B486" s="54" t="s">
        <v>740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70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732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72</v>
      </c>
      <c r="Q487" s="607"/>
      <c r="R487" s="607"/>
      <c r="S487" s="607"/>
      <c r="T487" s="607"/>
      <c r="U487" s="607"/>
      <c r="V487" s="608"/>
      <c r="W487" s="37" t="s">
        <v>73</v>
      </c>
      <c r="X487" s="593">
        <f>IFERROR(X479/H479,"0")+IFERROR(X480/H480,"0")+IFERROR(X481/H481,"0")+IFERROR(X482/H482,"0")+IFERROR(X483/H483,"0")+IFERROR(X484/H484,"0")+IFERROR(X485/H485,"0")+IFERROR(X486/H486,"0")</f>
        <v>0</v>
      </c>
      <c r="Y487" s="593">
        <f>IFERROR(Y479/H479,"0")+IFERROR(Y480/H480,"0")+IFERROR(Y481/H481,"0")+IFERROR(Y482/H482,"0")+IFERROR(Y483/H483,"0")+IFERROR(Y484/H484,"0")+IFERROR(Y485/H485,"0")+IFERROR(Y486/H486,"0")</f>
        <v>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72</v>
      </c>
      <c r="Q488" s="607"/>
      <c r="R488" s="607"/>
      <c r="S488" s="607"/>
      <c r="T488" s="607"/>
      <c r="U488" s="607"/>
      <c r="V488" s="608"/>
      <c r="W488" s="37" t="s">
        <v>70</v>
      </c>
      <c r="X488" s="593">
        <f>IFERROR(SUM(X479:X486),"0")</f>
        <v>0</v>
      </c>
      <c r="Y488" s="593">
        <f>IFERROR(SUM(Y479:Y486),"0")</f>
        <v>0</v>
      </c>
      <c r="Z488" s="37"/>
      <c r="AA488" s="594"/>
      <c r="AB488" s="594"/>
      <c r="AC488" s="594"/>
    </row>
    <row r="489" spans="1:68" ht="14.25" customHeight="1" x14ac:dyDescent="0.25">
      <c r="A489" s="609" t="s">
        <v>74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741</v>
      </c>
      <c r="B490" s="54" t="s">
        <v>742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105</v>
      </c>
      <c r="L490" s="32"/>
      <c r="M490" s="33" t="s">
        <v>112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70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743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744</v>
      </c>
      <c r="B491" s="54" t="s">
        <v>745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105</v>
      </c>
      <c r="L491" s="32"/>
      <c r="M491" s="33" t="s">
        <v>112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70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746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747</v>
      </c>
      <c r="B492" s="54" t="s">
        <v>748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77</v>
      </c>
      <c r="L492" s="32"/>
      <c r="M492" s="33" t="s">
        <v>112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70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749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72</v>
      </c>
      <c r="Q493" s="607"/>
      <c r="R493" s="607"/>
      <c r="S493" s="607"/>
      <c r="T493" s="607"/>
      <c r="U493" s="607"/>
      <c r="V493" s="608"/>
      <c r="W493" s="37" t="s">
        <v>73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72</v>
      </c>
      <c r="Q494" s="607"/>
      <c r="R494" s="607"/>
      <c r="S494" s="607"/>
      <c r="T494" s="607"/>
      <c r="U494" s="607"/>
      <c r="V494" s="608"/>
      <c r="W494" s="37" t="s">
        <v>70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178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750</v>
      </c>
      <c r="B496" s="54" t="s">
        <v>751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105</v>
      </c>
      <c r="L496" s="32"/>
      <c r="M496" s="33" t="s">
        <v>112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70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752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72</v>
      </c>
      <c r="Q497" s="607"/>
      <c r="R497" s="607"/>
      <c r="S497" s="607"/>
      <c r="T497" s="607"/>
      <c r="U497" s="607"/>
      <c r="V497" s="608"/>
      <c r="W497" s="37" t="s">
        <v>73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72</v>
      </c>
      <c r="Q498" s="607"/>
      <c r="R498" s="607"/>
      <c r="S498" s="607"/>
      <c r="T498" s="607"/>
      <c r="U498" s="607"/>
      <c r="V498" s="608"/>
      <c r="W498" s="37" t="s">
        <v>70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753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753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102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754</v>
      </c>
      <c r="B502" s="54" t="s">
        <v>755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105</v>
      </c>
      <c r="L502" s="32"/>
      <c r="M502" s="33" t="s">
        <v>112</v>
      </c>
      <c r="N502" s="33"/>
      <c r="O502" s="32">
        <v>55</v>
      </c>
      <c r="P502" s="673" t="s">
        <v>756</v>
      </c>
      <c r="Q502" s="596"/>
      <c r="R502" s="596"/>
      <c r="S502" s="596"/>
      <c r="T502" s="597"/>
      <c r="U502" s="34"/>
      <c r="V502" s="34"/>
      <c r="W502" s="35" t="s">
        <v>70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757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758</v>
      </c>
      <c r="B503" s="54" t="s">
        <v>759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807" t="s">
        <v>760</v>
      </c>
      <c r="Q503" s="596"/>
      <c r="R503" s="596"/>
      <c r="S503" s="596"/>
      <c r="T503" s="597"/>
      <c r="U503" s="34"/>
      <c r="V503" s="34"/>
      <c r="W503" s="35" t="s">
        <v>70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761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762</v>
      </c>
      <c r="B504" s="54" t="s">
        <v>763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93" t="s">
        <v>764</v>
      </c>
      <c r="Q504" s="596"/>
      <c r="R504" s="596"/>
      <c r="S504" s="596"/>
      <c r="T504" s="597"/>
      <c r="U504" s="34"/>
      <c r="V504" s="34"/>
      <c r="W504" s="35" t="s">
        <v>70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765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72</v>
      </c>
      <c r="Q505" s="607"/>
      <c r="R505" s="607"/>
      <c r="S505" s="607"/>
      <c r="T505" s="607"/>
      <c r="U505" s="607"/>
      <c r="V505" s="608"/>
      <c r="W505" s="37" t="s">
        <v>73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72</v>
      </c>
      <c r="Q506" s="607"/>
      <c r="R506" s="607"/>
      <c r="S506" s="607"/>
      <c r="T506" s="607"/>
      <c r="U506" s="607"/>
      <c r="V506" s="608"/>
      <c r="W506" s="37" t="s">
        <v>70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143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766</v>
      </c>
      <c r="B508" s="54" t="s">
        <v>767</v>
      </c>
      <c r="C508" s="31">
        <v>4301020400</v>
      </c>
      <c r="D508" s="598">
        <v>4640242180519</v>
      </c>
      <c r="E508" s="599"/>
      <c r="F508" s="590">
        <v>1.5</v>
      </c>
      <c r="G508" s="32">
        <v>8</v>
      </c>
      <c r="H508" s="590">
        <v>12</v>
      </c>
      <c r="I508" s="590">
        <v>12.435</v>
      </c>
      <c r="J508" s="32">
        <v>64</v>
      </c>
      <c r="K508" s="32" t="s">
        <v>105</v>
      </c>
      <c r="L508" s="32"/>
      <c r="M508" s="33" t="s">
        <v>106</v>
      </c>
      <c r="N508" s="33"/>
      <c r="O508" s="32">
        <v>50</v>
      </c>
      <c r="P508" s="687" t="s">
        <v>768</v>
      </c>
      <c r="Q508" s="596"/>
      <c r="R508" s="596"/>
      <c r="S508" s="596"/>
      <c r="T508" s="597"/>
      <c r="U508" s="34"/>
      <c r="V508" s="34"/>
      <c r="W508" s="35" t="s">
        <v>70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769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766</v>
      </c>
      <c r="B509" s="54" t="s">
        <v>770</v>
      </c>
      <c r="C509" s="31">
        <v>4301020269</v>
      </c>
      <c r="D509" s="598">
        <v>4640242180519</v>
      </c>
      <c r="E509" s="599"/>
      <c r="F509" s="590">
        <v>1.35</v>
      </c>
      <c r="G509" s="32">
        <v>8</v>
      </c>
      <c r="H509" s="590">
        <v>10.8</v>
      </c>
      <c r="I509" s="590">
        <v>11.234999999999999</v>
      </c>
      <c r="J509" s="32">
        <v>64</v>
      </c>
      <c r="K509" s="32" t="s">
        <v>105</v>
      </c>
      <c r="L509" s="32"/>
      <c r="M509" s="33" t="s">
        <v>112</v>
      </c>
      <c r="N509" s="33"/>
      <c r="O509" s="32">
        <v>50</v>
      </c>
      <c r="P509" s="896" t="s">
        <v>771</v>
      </c>
      <c r="Q509" s="596"/>
      <c r="R509" s="596"/>
      <c r="S509" s="596"/>
      <c r="T509" s="597"/>
      <c r="U509" s="34"/>
      <c r="V509" s="34"/>
      <c r="W509" s="35" t="s">
        <v>70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772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773</v>
      </c>
      <c r="B510" s="54" t="s">
        <v>774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105</v>
      </c>
      <c r="L510" s="32"/>
      <c r="M510" s="33" t="s">
        <v>106</v>
      </c>
      <c r="N510" s="33"/>
      <c r="O510" s="32">
        <v>50</v>
      </c>
      <c r="P510" s="927" t="s">
        <v>775</v>
      </c>
      <c r="Q510" s="596"/>
      <c r="R510" s="596"/>
      <c r="S510" s="596"/>
      <c r="T510" s="597"/>
      <c r="U510" s="34"/>
      <c r="V510" s="34"/>
      <c r="W510" s="35" t="s">
        <v>70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772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776</v>
      </c>
      <c r="B511" s="54" t="s">
        <v>777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110</v>
      </c>
      <c r="L511" s="32"/>
      <c r="M511" s="33" t="s">
        <v>106</v>
      </c>
      <c r="N511" s="33"/>
      <c r="O511" s="32">
        <v>50</v>
      </c>
      <c r="P511" s="783" t="s">
        <v>778</v>
      </c>
      <c r="Q511" s="596"/>
      <c r="R511" s="596"/>
      <c r="S511" s="596"/>
      <c r="T511" s="597"/>
      <c r="U511" s="34"/>
      <c r="V511" s="34"/>
      <c r="W511" s="35" t="s">
        <v>70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779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72</v>
      </c>
      <c r="Q512" s="607"/>
      <c r="R512" s="607"/>
      <c r="S512" s="607"/>
      <c r="T512" s="607"/>
      <c r="U512" s="607"/>
      <c r="V512" s="608"/>
      <c r="W512" s="37" t="s">
        <v>73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72</v>
      </c>
      <c r="Q513" s="607"/>
      <c r="R513" s="607"/>
      <c r="S513" s="607"/>
      <c r="T513" s="607"/>
      <c r="U513" s="607"/>
      <c r="V513" s="608"/>
      <c r="W513" s="37" t="s">
        <v>70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64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780</v>
      </c>
      <c r="B515" s="54" t="s">
        <v>781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110</v>
      </c>
      <c r="L515" s="32"/>
      <c r="M515" s="33" t="s">
        <v>68</v>
      </c>
      <c r="N515" s="33"/>
      <c r="O515" s="32">
        <v>40</v>
      </c>
      <c r="P515" s="907" t="s">
        <v>782</v>
      </c>
      <c r="Q515" s="596"/>
      <c r="R515" s="596"/>
      <c r="S515" s="596"/>
      <c r="T515" s="597"/>
      <c r="U515" s="34"/>
      <c r="V515" s="34"/>
      <c r="W515" s="35" t="s">
        <v>70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783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784</v>
      </c>
      <c r="B516" s="54" t="s">
        <v>785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110</v>
      </c>
      <c r="L516" s="32"/>
      <c r="M516" s="33" t="s">
        <v>68</v>
      </c>
      <c r="N516" s="33"/>
      <c r="O516" s="32">
        <v>40</v>
      </c>
      <c r="P516" s="777" t="s">
        <v>786</v>
      </c>
      <c r="Q516" s="596"/>
      <c r="R516" s="596"/>
      <c r="S516" s="596"/>
      <c r="T516" s="597"/>
      <c r="U516" s="34"/>
      <c r="V516" s="34"/>
      <c r="W516" s="35" t="s">
        <v>70</v>
      </c>
      <c r="X516" s="591">
        <v>50</v>
      </c>
      <c r="Y516" s="592">
        <f>IFERROR(IF(X516="",0,CEILING((X516/$H516),1)*$H516),"")</f>
        <v>50.400000000000006</v>
      </c>
      <c r="Z516" s="36">
        <f>IFERROR(IF(Y516=0,"",ROUNDUP(Y516/H516,0)*0.00902),"")</f>
        <v>0.10824</v>
      </c>
      <c r="AA516" s="56"/>
      <c r="AB516" s="57"/>
      <c r="AC516" s="567" t="s">
        <v>787</v>
      </c>
      <c r="AG516" s="64"/>
      <c r="AJ516" s="68"/>
      <c r="AK516" s="68">
        <v>0</v>
      </c>
      <c r="BB516" s="568" t="s">
        <v>1</v>
      </c>
      <c r="BM516" s="64">
        <f>IFERROR(X516*I516/H516,"0")</f>
        <v>53.214285714285715</v>
      </c>
      <c r="BN516" s="64">
        <f>IFERROR(Y516*I516/H516,"0")</f>
        <v>53.64</v>
      </c>
      <c r="BO516" s="64">
        <f>IFERROR(1/J516*(X516/H516),"0")</f>
        <v>9.0187590187590191E-2</v>
      </c>
      <c r="BP516" s="64">
        <f>IFERROR(1/J516*(Y516/H516),"0")</f>
        <v>9.0909090909090912E-2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72</v>
      </c>
      <c r="Q517" s="607"/>
      <c r="R517" s="607"/>
      <c r="S517" s="607"/>
      <c r="T517" s="607"/>
      <c r="U517" s="607"/>
      <c r="V517" s="608"/>
      <c r="W517" s="37" t="s">
        <v>73</v>
      </c>
      <c r="X517" s="593">
        <f>IFERROR(X515/H515,"0")+IFERROR(X516/H516,"0")</f>
        <v>11.904761904761905</v>
      </c>
      <c r="Y517" s="593">
        <f>IFERROR(Y515/H515,"0")+IFERROR(Y516/H516,"0")</f>
        <v>12</v>
      </c>
      <c r="Z517" s="593">
        <f>IFERROR(IF(Z515="",0,Z515),"0")+IFERROR(IF(Z516="",0,Z516),"0")</f>
        <v>0.10824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72</v>
      </c>
      <c r="Q518" s="607"/>
      <c r="R518" s="607"/>
      <c r="S518" s="607"/>
      <c r="T518" s="607"/>
      <c r="U518" s="607"/>
      <c r="V518" s="608"/>
      <c r="W518" s="37" t="s">
        <v>70</v>
      </c>
      <c r="X518" s="593">
        <f>IFERROR(SUM(X515:X516),"0")</f>
        <v>50</v>
      </c>
      <c r="Y518" s="593">
        <f>IFERROR(SUM(Y515:Y516),"0")</f>
        <v>50.400000000000006</v>
      </c>
      <c r="Z518" s="37"/>
      <c r="AA518" s="594"/>
      <c r="AB518" s="594"/>
      <c r="AC518" s="594"/>
    </row>
    <row r="519" spans="1:68" ht="14.25" customHeight="1" x14ac:dyDescent="0.25">
      <c r="A519" s="609" t="s">
        <v>74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788</v>
      </c>
      <c r="B520" s="54" t="s">
        <v>789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105</v>
      </c>
      <c r="L520" s="32"/>
      <c r="M520" s="33" t="s">
        <v>138</v>
      </c>
      <c r="N520" s="33"/>
      <c r="O520" s="32">
        <v>45</v>
      </c>
      <c r="P520" s="619" t="s">
        <v>790</v>
      </c>
      <c r="Q520" s="596"/>
      <c r="R520" s="596"/>
      <c r="S520" s="596"/>
      <c r="T520" s="597"/>
      <c r="U520" s="34"/>
      <c r="V520" s="34"/>
      <c r="W520" s="35" t="s">
        <v>70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791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788</v>
      </c>
      <c r="B521" s="54" t="s">
        <v>792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105</v>
      </c>
      <c r="L521" s="32"/>
      <c r="M521" s="33" t="s">
        <v>112</v>
      </c>
      <c r="N521" s="33"/>
      <c r="O521" s="32">
        <v>45</v>
      </c>
      <c r="P521" s="656" t="s">
        <v>790</v>
      </c>
      <c r="Q521" s="596"/>
      <c r="R521" s="596"/>
      <c r="S521" s="596"/>
      <c r="T521" s="597"/>
      <c r="U521" s="34"/>
      <c r="V521" s="34"/>
      <c r="W521" s="35" t="s">
        <v>70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791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72</v>
      </c>
      <c r="Q522" s="607"/>
      <c r="R522" s="607"/>
      <c r="S522" s="607"/>
      <c r="T522" s="607"/>
      <c r="U522" s="607"/>
      <c r="V522" s="608"/>
      <c r="W522" s="37" t="s">
        <v>73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72</v>
      </c>
      <c r="Q523" s="607"/>
      <c r="R523" s="607"/>
      <c r="S523" s="607"/>
      <c r="T523" s="607"/>
      <c r="U523" s="607"/>
      <c r="V523" s="608"/>
      <c r="W523" s="37" t="s">
        <v>70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customHeight="1" x14ac:dyDescent="0.25">
      <c r="A524" s="609" t="s">
        <v>178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793</v>
      </c>
      <c r="B525" s="54" t="s">
        <v>794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105</v>
      </c>
      <c r="L525" s="32"/>
      <c r="M525" s="33" t="s">
        <v>112</v>
      </c>
      <c r="N525" s="33"/>
      <c r="O525" s="32">
        <v>40</v>
      </c>
      <c r="P525" s="845" t="s">
        <v>795</v>
      </c>
      <c r="Q525" s="596"/>
      <c r="R525" s="596"/>
      <c r="S525" s="596"/>
      <c r="T525" s="597"/>
      <c r="U525" s="34"/>
      <c r="V525" s="34"/>
      <c r="W525" s="35" t="s">
        <v>70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796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793</v>
      </c>
      <c r="B526" s="54" t="s">
        <v>797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105</v>
      </c>
      <c r="L526" s="32"/>
      <c r="M526" s="33" t="s">
        <v>138</v>
      </c>
      <c r="N526" s="33"/>
      <c r="O526" s="32">
        <v>40</v>
      </c>
      <c r="P526" s="852" t="s">
        <v>798</v>
      </c>
      <c r="Q526" s="596"/>
      <c r="R526" s="596"/>
      <c r="S526" s="596"/>
      <c r="T526" s="597"/>
      <c r="U526" s="34"/>
      <c r="V526" s="34"/>
      <c r="W526" s="35" t="s">
        <v>70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796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799</v>
      </c>
      <c r="B527" s="54" t="s">
        <v>800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105</v>
      </c>
      <c r="L527" s="32"/>
      <c r="M527" s="33" t="s">
        <v>112</v>
      </c>
      <c r="N527" s="33"/>
      <c r="O527" s="32">
        <v>40</v>
      </c>
      <c r="P527" s="672" t="s">
        <v>801</v>
      </c>
      <c r="Q527" s="596"/>
      <c r="R527" s="596"/>
      <c r="S527" s="596"/>
      <c r="T527" s="597"/>
      <c r="U527" s="34"/>
      <c r="V527" s="34"/>
      <c r="W527" s="35" t="s">
        <v>70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802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799</v>
      </c>
      <c r="B528" s="54" t="s">
        <v>803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105</v>
      </c>
      <c r="L528" s="32"/>
      <c r="M528" s="33" t="s">
        <v>138</v>
      </c>
      <c r="N528" s="33"/>
      <c r="O528" s="32">
        <v>40</v>
      </c>
      <c r="P528" s="925" t="s">
        <v>804</v>
      </c>
      <c r="Q528" s="596"/>
      <c r="R528" s="596"/>
      <c r="S528" s="596"/>
      <c r="T528" s="597"/>
      <c r="U528" s="34"/>
      <c r="V528" s="34"/>
      <c r="W528" s="35" t="s">
        <v>70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802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72</v>
      </c>
      <c r="Q529" s="607"/>
      <c r="R529" s="607"/>
      <c r="S529" s="607"/>
      <c r="T529" s="607"/>
      <c r="U529" s="607"/>
      <c r="V529" s="608"/>
      <c r="W529" s="37" t="s">
        <v>73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72</v>
      </c>
      <c r="Q530" s="607"/>
      <c r="R530" s="607"/>
      <c r="S530" s="607"/>
      <c r="T530" s="607"/>
      <c r="U530" s="607"/>
      <c r="V530" s="608"/>
      <c r="W530" s="37" t="s">
        <v>70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805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143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806</v>
      </c>
      <c r="B533" s="54" t="s">
        <v>807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105</v>
      </c>
      <c r="L533" s="32"/>
      <c r="M533" s="33" t="s">
        <v>106</v>
      </c>
      <c r="N533" s="33"/>
      <c r="O533" s="32">
        <v>50</v>
      </c>
      <c r="P533" s="798" t="s">
        <v>808</v>
      </c>
      <c r="Q533" s="596"/>
      <c r="R533" s="596"/>
      <c r="S533" s="596"/>
      <c r="T533" s="597"/>
      <c r="U533" s="34"/>
      <c r="V533" s="34"/>
      <c r="W533" s="35" t="s">
        <v>70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809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72</v>
      </c>
      <c r="Q534" s="607"/>
      <c r="R534" s="607"/>
      <c r="S534" s="607"/>
      <c r="T534" s="607"/>
      <c r="U534" s="607"/>
      <c r="V534" s="608"/>
      <c r="W534" s="37" t="s">
        <v>73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72</v>
      </c>
      <c r="Q535" s="607"/>
      <c r="R535" s="607"/>
      <c r="S535" s="607"/>
      <c r="T535" s="607"/>
      <c r="U535" s="607"/>
      <c r="V535" s="608"/>
      <c r="W535" s="37" t="s">
        <v>70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810</v>
      </c>
      <c r="Q536" s="676"/>
      <c r="R536" s="676"/>
      <c r="S536" s="676"/>
      <c r="T536" s="676"/>
      <c r="U536" s="676"/>
      <c r="V536" s="677"/>
      <c r="W536" s="37" t="s">
        <v>70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2775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2846.2400000000007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811</v>
      </c>
      <c r="Q537" s="676"/>
      <c r="R537" s="676"/>
      <c r="S537" s="676"/>
      <c r="T537" s="676"/>
      <c r="U537" s="676"/>
      <c r="V537" s="677"/>
      <c r="W537" s="37" t="s">
        <v>70</v>
      </c>
      <c r="X537" s="593">
        <f>IFERROR(SUM(BM22:BM533),"0")</f>
        <v>2953.0414357864365</v>
      </c>
      <c r="Y537" s="593">
        <f>IFERROR(SUM(BN22:BN533),"0")</f>
        <v>3028.7660000000001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812</v>
      </c>
      <c r="Q538" s="676"/>
      <c r="R538" s="676"/>
      <c r="S538" s="676"/>
      <c r="T538" s="676"/>
      <c r="U538" s="676"/>
      <c r="V538" s="677"/>
      <c r="W538" s="37" t="s">
        <v>813</v>
      </c>
      <c r="X538" s="38">
        <f>ROUNDUP(SUM(BO22:BO533),0)</f>
        <v>6</v>
      </c>
      <c r="Y538" s="38">
        <f>ROUNDUP(SUM(BP22:BP533),0)</f>
        <v>6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814</v>
      </c>
      <c r="Q539" s="676"/>
      <c r="R539" s="676"/>
      <c r="S539" s="676"/>
      <c r="T539" s="676"/>
      <c r="U539" s="676"/>
      <c r="V539" s="677"/>
      <c r="W539" s="37" t="s">
        <v>70</v>
      </c>
      <c r="X539" s="593">
        <f>GrossWeightTotal+PalletQtyTotal*25</f>
        <v>3103.0414357864365</v>
      </c>
      <c r="Y539" s="593">
        <f>GrossWeightTotalR+PalletQtyTotalR*25</f>
        <v>3178.7660000000001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815</v>
      </c>
      <c r="Q540" s="676"/>
      <c r="R540" s="676"/>
      <c r="S540" s="676"/>
      <c r="T540" s="676"/>
      <c r="U540" s="676"/>
      <c r="V540" s="677"/>
      <c r="W540" s="37" t="s">
        <v>813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650.82275132275151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669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816</v>
      </c>
      <c r="Q541" s="676"/>
      <c r="R541" s="676"/>
      <c r="S541" s="676"/>
      <c r="T541" s="676"/>
      <c r="U541" s="676"/>
      <c r="V541" s="677"/>
      <c r="W541" s="39" t="s">
        <v>817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6.3346400000000003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818</v>
      </c>
      <c r="B543" s="588" t="s">
        <v>63</v>
      </c>
      <c r="C543" s="632" t="s">
        <v>100</v>
      </c>
      <c r="D543" s="745"/>
      <c r="E543" s="745"/>
      <c r="F543" s="745"/>
      <c r="G543" s="745"/>
      <c r="H543" s="746"/>
      <c r="I543" s="632" t="s">
        <v>275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567</v>
      </c>
      <c r="W543" s="746"/>
      <c r="X543" s="632" t="s">
        <v>627</v>
      </c>
      <c r="Y543" s="745"/>
      <c r="Z543" s="745"/>
      <c r="AA543" s="746"/>
      <c r="AB543" s="588" t="s">
        <v>686</v>
      </c>
      <c r="AC543" s="632" t="s">
        <v>753</v>
      </c>
      <c r="AD543" s="746"/>
      <c r="AF543" s="589"/>
    </row>
    <row r="544" spans="1:68" ht="14.25" customHeight="1" thickTop="1" x14ac:dyDescent="0.2">
      <c r="A544" s="903" t="s">
        <v>819</v>
      </c>
      <c r="B544" s="632" t="s">
        <v>63</v>
      </c>
      <c r="C544" s="632" t="s">
        <v>101</v>
      </c>
      <c r="D544" s="632" t="s">
        <v>122</v>
      </c>
      <c r="E544" s="632" t="s">
        <v>185</v>
      </c>
      <c r="F544" s="632" t="s">
        <v>212</v>
      </c>
      <c r="G544" s="632" t="s">
        <v>251</v>
      </c>
      <c r="H544" s="632" t="s">
        <v>100</v>
      </c>
      <c r="I544" s="632" t="s">
        <v>276</v>
      </c>
      <c r="J544" s="632" t="s">
        <v>316</v>
      </c>
      <c r="K544" s="632" t="s">
        <v>377</v>
      </c>
      <c r="L544" s="632" t="s">
        <v>417</v>
      </c>
      <c r="M544" s="632" t="s">
        <v>435</v>
      </c>
      <c r="N544" s="589"/>
      <c r="O544" s="632" t="s">
        <v>448</v>
      </c>
      <c r="P544" s="632" t="s">
        <v>458</v>
      </c>
      <c r="Q544" s="632" t="s">
        <v>465</v>
      </c>
      <c r="R544" s="632" t="s">
        <v>469</v>
      </c>
      <c r="S544" s="632" t="s">
        <v>475</v>
      </c>
      <c r="T544" s="632" t="s">
        <v>480</v>
      </c>
      <c r="U544" s="632" t="s">
        <v>554</v>
      </c>
      <c r="V544" s="632" t="s">
        <v>568</v>
      </c>
      <c r="W544" s="632" t="s">
        <v>602</v>
      </c>
      <c r="X544" s="632" t="s">
        <v>628</v>
      </c>
      <c r="Y544" s="632" t="s">
        <v>660</v>
      </c>
      <c r="Z544" s="632" t="s">
        <v>678</v>
      </c>
      <c r="AA544" s="632" t="s">
        <v>682</v>
      </c>
      <c r="AB544" s="632" t="s">
        <v>686</v>
      </c>
      <c r="AC544" s="632" t="s">
        <v>753</v>
      </c>
      <c r="AD544" s="632" t="s">
        <v>805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820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177.6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689.40000000000009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229.8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185.4</v>
      </c>
      <c r="G546" s="46">
        <f>IFERROR(Y137*1,"0")+IFERROR(Y138*1,"0")+IFERROR(Y142*1,"0")+IFERROR(Y143*1,"0")+IFERROR(Y147*1,"0")+IFERROR(Y148*1,"0")</f>
        <v>101.20000000000002</v>
      </c>
      <c r="H546" s="46">
        <f>IFERROR(Y153*1,"0")+IFERROR(Y157*1,"0")+IFERROR(Y158*1,"0")+IFERROR(Y159*1,"0")</f>
        <v>64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35.28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279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12.96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12.600000000000001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775.40000000000009</v>
      </c>
      <c r="U546" s="46">
        <f>IFERROR(Y354*1,"0")+IFERROR(Y358*1,"0")+IFERROR(Y359*1,"0")+IFERROR(Y360*1,"0")</f>
        <v>94.2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139</v>
      </c>
      <c r="W546" s="46">
        <f>IFERROR(Y391*1,"0")+IFERROR(Y392*1,"0")+IFERROR(Y393*1,"0")+IFERROR(Y394*1,"0")+IFERROR(Y398*1,"0")+IFERROR(Y402*1,"0")+IFERROR(Y403*1,"0")+IFERROR(Y404*1,"0")+IFERROR(Y408*1,"0")</f>
        <v>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0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50.400000000000006</v>
      </c>
      <c r="AD546" s="46">
        <f>IFERROR(Y533*1,"0")</f>
        <v>0</v>
      </c>
      <c r="AF546" s="589"/>
    </row>
  </sheetData>
  <sheetProtection algorithmName="SHA-512" hashValue="+y7j3/v63W8urn7d6+snXrVgO1PQoHS5GlPI2OTUHgOi5wKVdVoeho0diALSfBrLTCpoHGGFP5Dg9ZxsjLigjg==" saltValue="UseoHCdHfkW/hMyxibwTp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2 X109 X28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311 X366:X368 X376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8" spans="2:8" x14ac:dyDescent="0.2">
      <c r="B8" s="47" t="s">
        <v>19</v>
      </c>
      <c r="C8" s="47" t="s">
        <v>823</v>
      </c>
      <c r="D8" s="47"/>
      <c r="E8" s="47"/>
    </row>
    <row r="10" spans="2:8" x14ac:dyDescent="0.2">
      <c r="B10" s="47" t="s">
        <v>825</v>
      </c>
      <c r="C10" s="47"/>
      <c r="D10" s="47"/>
      <c r="E10" s="47"/>
    </row>
    <row r="11" spans="2:8" x14ac:dyDescent="0.2">
      <c r="B11" s="47" t="s">
        <v>826</v>
      </c>
      <c r="C11" s="47"/>
      <c r="D11" s="47"/>
      <c r="E11" s="47"/>
    </row>
    <row r="12" spans="2:8" x14ac:dyDescent="0.2">
      <c r="B12" s="47" t="s">
        <v>827</v>
      </c>
      <c r="C12" s="47"/>
      <c r="D12" s="47"/>
      <c r="E12" s="47"/>
    </row>
    <row r="13" spans="2:8" x14ac:dyDescent="0.2">
      <c r="B13" s="47" t="s">
        <v>828</v>
      </c>
      <c r="C13" s="47"/>
      <c r="D13" s="47"/>
      <c r="E13" s="47"/>
    </row>
    <row r="14" spans="2:8" x14ac:dyDescent="0.2">
      <c r="B14" s="47" t="s">
        <v>829</v>
      </c>
      <c r="C14" s="47"/>
      <c r="D14" s="47"/>
      <c r="E14" s="47"/>
    </row>
    <row r="15" spans="2:8" x14ac:dyDescent="0.2">
      <c r="B15" s="47" t="s">
        <v>830</v>
      </c>
      <c r="C15" s="47"/>
      <c r="D15" s="47"/>
      <c r="E15" s="47"/>
    </row>
    <row r="16" spans="2:8" x14ac:dyDescent="0.2">
      <c r="B16" s="47" t="s">
        <v>831</v>
      </c>
      <c r="C16" s="47"/>
      <c r="D16" s="47"/>
      <c r="E16" s="47"/>
    </row>
    <row r="17" spans="2:5" x14ac:dyDescent="0.2">
      <c r="B17" s="47" t="s">
        <v>832</v>
      </c>
      <c r="C17" s="47"/>
      <c r="D17" s="47"/>
      <c r="E17" s="47"/>
    </row>
    <row r="18" spans="2:5" x14ac:dyDescent="0.2">
      <c r="B18" s="47" t="s">
        <v>833</v>
      </c>
      <c r="C18" s="47"/>
      <c r="D18" s="47"/>
      <c r="E18" s="47"/>
    </row>
    <row r="19" spans="2:5" x14ac:dyDescent="0.2">
      <c r="B19" s="47" t="s">
        <v>834</v>
      </c>
      <c r="C19" s="47"/>
      <c r="D19" s="47"/>
      <c r="E19" s="47"/>
    </row>
    <row r="20" spans="2:5" x14ac:dyDescent="0.2">
      <c r="B20" s="47" t="s">
        <v>835</v>
      </c>
      <c r="C20" s="47"/>
      <c r="D20" s="47"/>
      <c r="E20" s="47"/>
    </row>
  </sheetData>
  <sheetProtection algorithmName="SHA-512" hashValue="WDOjKxl7PyGGSZwg5vGLmcLydfLCr1GGCtJ1YPwcMUv6wBqW/FyyYkEZ1S5BNNAwl7U9Z8f3AG1N+hoDT9u+vw==" saltValue="/P8NhLWQ6seQod0/ByNg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1069</vt:i4>
      </vt:variant>
    </vt:vector>
  </HeadingPairs>
  <TitlesOfParts>
    <vt:vector size="10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2025-05-27T08:08:47Z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