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4A59DA47-3F07-4E88-B1B8-FD1CD89792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Y491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Y482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X463" i="1"/>
  <c r="Y462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Y463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P410" i="1"/>
  <c r="BO410" i="1"/>
  <c r="BN410" i="1"/>
  <c r="BM410" i="1"/>
  <c r="Z410" i="1"/>
  <c r="Y410" i="1"/>
  <c r="P410" i="1"/>
  <c r="X408" i="1"/>
  <c r="Y407" i="1"/>
  <c r="X407" i="1"/>
  <c r="BP406" i="1"/>
  <c r="BO406" i="1"/>
  <c r="BN406" i="1"/>
  <c r="BM406" i="1"/>
  <c r="Z406" i="1"/>
  <c r="Z407" i="1" s="1"/>
  <c r="Y406" i="1"/>
  <c r="Y408" i="1" s="1"/>
  <c r="P406" i="1"/>
  <c r="X403" i="1"/>
  <c r="Y402" i="1"/>
  <c r="X402" i="1"/>
  <c r="BP401" i="1"/>
  <c r="BO401" i="1"/>
  <c r="BN401" i="1"/>
  <c r="BM401" i="1"/>
  <c r="Z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X383" i="1"/>
  <c r="Y382" i="1"/>
  <c r="X382" i="1"/>
  <c r="BP381" i="1"/>
  <c r="BO381" i="1"/>
  <c r="BN381" i="1"/>
  <c r="BM381" i="1"/>
  <c r="Z381" i="1"/>
  <c r="Z382" i="1" s="1"/>
  <c r="Y381" i="1"/>
  <c r="Y383" i="1" s="1"/>
  <c r="P381" i="1"/>
  <c r="X379" i="1"/>
  <c r="X378" i="1"/>
  <c r="BP377" i="1"/>
  <c r="BO377" i="1"/>
  <c r="BN377" i="1"/>
  <c r="BM377" i="1"/>
  <c r="Z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3" i="1"/>
  <c r="X362" i="1"/>
  <c r="BO361" i="1"/>
  <c r="BM361" i="1"/>
  <c r="Y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08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4" i="1"/>
  <c r="X283" i="1"/>
  <c r="BO282" i="1"/>
  <c r="BM282" i="1"/>
  <c r="Y282" i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BO260" i="1"/>
  <c r="BM260" i="1"/>
  <c r="Y260" i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30" i="1"/>
  <c r="X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Y173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P146" i="1"/>
  <c r="BO146" i="1"/>
  <c r="BN146" i="1"/>
  <c r="BM146" i="1"/>
  <c r="Z146" i="1"/>
  <c r="Y146" i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8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8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502" i="1" s="1"/>
  <c r="BO22" i="1"/>
  <c r="X500" i="1" s="1"/>
  <c r="BM22" i="1"/>
  <c r="X499" i="1" s="1"/>
  <c r="X501" i="1" s="1"/>
  <c r="Y22" i="1"/>
  <c r="B508" i="1" s="1"/>
  <c r="P22" i="1"/>
  <c r="H10" i="1"/>
  <c r="A9" i="1"/>
  <c r="F10" i="1" s="1"/>
  <c r="D7" i="1"/>
  <c r="Q6" i="1"/>
  <c r="P2" i="1"/>
  <c r="Z183" i="1" l="1"/>
  <c r="H9" i="1"/>
  <c r="A10" i="1"/>
  <c r="Y24" i="1"/>
  <c r="Y32" i="1"/>
  <c r="Y36" i="1"/>
  <c r="Y44" i="1"/>
  <c r="Y48" i="1"/>
  <c r="Y57" i="1"/>
  <c r="Y63" i="1"/>
  <c r="Y69" i="1"/>
  <c r="Y77" i="1"/>
  <c r="Y83" i="1"/>
  <c r="E508" i="1"/>
  <c r="Y89" i="1"/>
  <c r="BP86" i="1"/>
  <c r="BN86" i="1"/>
  <c r="Z8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8" i="1"/>
  <c r="Y128" i="1"/>
  <c r="BP125" i="1"/>
  <c r="BN125" i="1"/>
  <c r="Z125" i="1"/>
  <c r="Z127" i="1" s="1"/>
  <c r="BP147" i="1"/>
  <c r="BN147" i="1"/>
  <c r="Z147" i="1"/>
  <c r="Z149" i="1" s="1"/>
  <c r="BP161" i="1"/>
  <c r="BN161" i="1"/>
  <c r="Z161" i="1"/>
  <c r="BP165" i="1"/>
  <c r="BN165" i="1"/>
  <c r="Z165" i="1"/>
  <c r="BP182" i="1"/>
  <c r="BN182" i="1"/>
  <c r="Z182" i="1"/>
  <c r="Y184" i="1"/>
  <c r="Y189" i="1"/>
  <c r="BP186" i="1"/>
  <c r="BN186" i="1"/>
  <c r="Z186" i="1"/>
  <c r="Z188" i="1" s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3" i="1"/>
  <c r="BN223" i="1"/>
  <c r="Z223" i="1"/>
  <c r="BP252" i="1"/>
  <c r="BN252" i="1"/>
  <c r="Z252" i="1"/>
  <c r="BP342" i="1"/>
  <c r="BN342" i="1"/>
  <c r="Z342" i="1"/>
  <c r="Z348" i="1" s="1"/>
  <c r="Y348" i="1"/>
  <c r="BP346" i="1"/>
  <c r="BN346" i="1"/>
  <c r="Z346" i="1"/>
  <c r="F508" i="1"/>
  <c r="F9" i="1"/>
  <c r="J9" i="1"/>
  <c r="Z22" i="1"/>
  <c r="Z23" i="1" s="1"/>
  <c r="BN22" i="1"/>
  <c r="BP22" i="1"/>
  <c r="Y23" i="1"/>
  <c r="X498" i="1"/>
  <c r="Z26" i="1"/>
  <c r="Z31" i="1" s="1"/>
  <c r="BN26" i="1"/>
  <c r="BP26" i="1"/>
  <c r="Z28" i="1"/>
  <c r="BN28" i="1"/>
  <c r="Z30" i="1"/>
  <c r="BN30" i="1"/>
  <c r="Z34" i="1"/>
  <c r="Z35" i="1" s="1"/>
  <c r="BN34" i="1"/>
  <c r="BP34" i="1"/>
  <c r="Z40" i="1"/>
  <c r="Z43" i="1" s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Y82" i="1"/>
  <c r="Z81" i="1"/>
  <c r="Z82" i="1" s="1"/>
  <c r="BN81" i="1"/>
  <c r="BP88" i="1"/>
  <c r="BN88" i="1"/>
  <c r="Z88" i="1"/>
  <c r="Y90" i="1"/>
  <c r="BP93" i="1"/>
  <c r="BN93" i="1"/>
  <c r="Z93" i="1"/>
  <c r="Z96" i="1" s="1"/>
  <c r="BP102" i="1"/>
  <c r="BN102" i="1"/>
  <c r="Z102" i="1"/>
  <c r="Y111" i="1"/>
  <c r="Y110" i="1"/>
  <c r="BP114" i="1"/>
  <c r="BN114" i="1"/>
  <c r="Z114" i="1"/>
  <c r="Z117" i="1" s="1"/>
  <c r="Y127" i="1"/>
  <c r="BP131" i="1"/>
  <c r="BN131" i="1"/>
  <c r="Z131" i="1"/>
  <c r="Z132" i="1" s="1"/>
  <c r="Y133" i="1"/>
  <c r="Y138" i="1"/>
  <c r="BP135" i="1"/>
  <c r="BN135" i="1"/>
  <c r="Z135" i="1"/>
  <c r="Z137" i="1" s="1"/>
  <c r="Y150" i="1"/>
  <c r="Y149" i="1"/>
  <c r="BP159" i="1"/>
  <c r="BN159" i="1"/>
  <c r="Z159" i="1"/>
  <c r="BP163" i="1"/>
  <c r="BN163" i="1"/>
  <c r="Z163" i="1"/>
  <c r="Z167" i="1" s="1"/>
  <c r="Y167" i="1"/>
  <c r="Z173" i="1"/>
  <c r="BP171" i="1"/>
  <c r="BN171" i="1"/>
  <c r="Z171" i="1"/>
  <c r="Y188" i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Y216" i="1"/>
  <c r="BP221" i="1"/>
  <c r="BN221" i="1"/>
  <c r="Z221" i="1"/>
  <c r="BP224" i="1"/>
  <c r="BN224" i="1"/>
  <c r="Z224" i="1"/>
  <c r="Z229" i="1" s="1"/>
  <c r="Y229" i="1"/>
  <c r="Y237" i="1"/>
  <c r="BP236" i="1"/>
  <c r="BN236" i="1"/>
  <c r="Z236" i="1"/>
  <c r="Z237" i="1" s="1"/>
  <c r="Y238" i="1"/>
  <c r="Y246" i="1"/>
  <c r="BP240" i="1"/>
  <c r="BN240" i="1"/>
  <c r="Z240" i="1"/>
  <c r="Y245" i="1"/>
  <c r="BP243" i="1"/>
  <c r="BN243" i="1"/>
  <c r="Z243" i="1"/>
  <c r="BP261" i="1"/>
  <c r="BN261" i="1"/>
  <c r="Z261" i="1"/>
  <c r="Y263" i="1"/>
  <c r="Y269" i="1"/>
  <c r="BP266" i="1"/>
  <c r="BN266" i="1"/>
  <c r="Z266" i="1"/>
  <c r="O508" i="1"/>
  <c r="Y270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Z329" i="1"/>
  <c r="BP327" i="1"/>
  <c r="BN327" i="1"/>
  <c r="Z327" i="1"/>
  <c r="Y329" i="1"/>
  <c r="Y362" i="1"/>
  <c r="BP361" i="1"/>
  <c r="BN361" i="1"/>
  <c r="Z361" i="1"/>
  <c r="Z362" i="1" s="1"/>
  <c r="Y363" i="1"/>
  <c r="U508" i="1"/>
  <c r="Y369" i="1"/>
  <c r="BP366" i="1"/>
  <c r="BN366" i="1"/>
  <c r="Z366" i="1"/>
  <c r="Y370" i="1"/>
  <c r="BP390" i="1"/>
  <c r="BN390" i="1"/>
  <c r="Z390" i="1"/>
  <c r="BP394" i="1"/>
  <c r="BN394" i="1"/>
  <c r="Z394" i="1"/>
  <c r="BP411" i="1"/>
  <c r="BN411" i="1"/>
  <c r="Z411" i="1"/>
  <c r="Y415" i="1"/>
  <c r="BP431" i="1"/>
  <c r="BN431" i="1"/>
  <c r="Z431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W508" i="1"/>
  <c r="H508" i="1"/>
  <c r="Y144" i="1"/>
  <c r="I508" i="1"/>
  <c r="Y156" i="1"/>
  <c r="J508" i="1"/>
  <c r="Y183" i="1"/>
  <c r="K508" i="1"/>
  <c r="Y230" i="1"/>
  <c r="BP226" i="1"/>
  <c r="BN226" i="1"/>
  <c r="Z226" i="1"/>
  <c r="BP241" i="1"/>
  <c r="BN241" i="1"/>
  <c r="Z241" i="1"/>
  <c r="BP250" i="1"/>
  <c r="BN250" i="1"/>
  <c r="Z250" i="1"/>
  <c r="Z254" i="1" s="1"/>
  <c r="Y254" i="1"/>
  <c r="BP260" i="1"/>
  <c r="BN260" i="1"/>
  <c r="Z260" i="1"/>
  <c r="Z262" i="1" s="1"/>
  <c r="BP268" i="1"/>
  <c r="BN268" i="1"/>
  <c r="Z268" i="1"/>
  <c r="P508" i="1"/>
  <c r="Y274" i="1"/>
  <c r="BP273" i="1"/>
  <c r="BN273" i="1"/>
  <c r="Z273" i="1"/>
  <c r="Z274" i="1" s="1"/>
  <c r="Y275" i="1"/>
  <c r="Y278" i="1"/>
  <c r="BP277" i="1"/>
  <c r="BN277" i="1"/>
  <c r="Z277" i="1"/>
  <c r="Z278" i="1" s="1"/>
  <c r="Y279" i="1"/>
  <c r="Q508" i="1"/>
  <c r="Y283" i="1"/>
  <c r="BP282" i="1"/>
  <c r="BN282" i="1"/>
  <c r="Z282" i="1"/>
  <c r="Z283" i="1" s="1"/>
  <c r="Y284" i="1"/>
  <c r="R508" i="1"/>
  <c r="Y292" i="1"/>
  <c r="BP287" i="1"/>
  <c r="BN287" i="1"/>
  <c r="Z287" i="1"/>
  <c r="BP291" i="1"/>
  <c r="BN291" i="1"/>
  <c r="Z291" i="1"/>
  <c r="Y293" i="1"/>
  <c r="Y302" i="1"/>
  <c r="BP295" i="1"/>
  <c r="BN295" i="1"/>
  <c r="Z295" i="1"/>
  <c r="BP299" i="1"/>
  <c r="BN299" i="1"/>
  <c r="Z299" i="1"/>
  <c r="BP307" i="1"/>
  <c r="BN307" i="1"/>
  <c r="Z307" i="1"/>
  <c r="BP315" i="1"/>
  <c r="BN315" i="1"/>
  <c r="Z315" i="1"/>
  <c r="BP321" i="1"/>
  <c r="BN321" i="1"/>
  <c r="Z321" i="1"/>
  <c r="Z323" i="1" s="1"/>
  <c r="Y330" i="1"/>
  <c r="Z336" i="1"/>
  <c r="BP334" i="1"/>
  <c r="BN334" i="1"/>
  <c r="Z334" i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8" i="1"/>
  <c r="BN368" i="1"/>
  <c r="Z368" i="1"/>
  <c r="Y373" i="1"/>
  <c r="BP372" i="1"/>
  <c r="BN372" i="1"/>
  <c r="Z372" i="1"/>
  <c r="Z373" i="1" s="1"/>
  <c r="Y374" i="1"/>
  <c r="Y379" i="1"/>
  <c r="BP376" i="1"/>
  <c r="BN376" i="1"/>
  <c r="Z376" i="1"/>
  <c r="Z378" i="1" s="1"/>
  <c r="Y378" i="1"/>
  <c r="L508" i="1"/>
  <c r="Y255" i="1"/>
  <c r="M508" i="1"/>
  <c r="Y262" i="1"/>
  <c r="Y337" i="1"/>
  <c r="T508" i="1"/>
  <c r="Y349" i="1"/>
  <c r="BP388" i="1"/>
  <c r="BN388" i="1"/>
  <c r="Z388" i="1"/>
  <c r="Z397" i="1" s="1"/>
  <c r="BP392" i="1"/>
  <c r="BN392" i="1"/>
  <c r="Z392" i="1"/>
  <c r="BP396" i="1"/>
  <c r="BN396" i="1"/>
  <c r="Z396" i="1"/>
  <c r="Y398" i="1"/>
  <c r="Y403" i="1"/>
  <c r="BP400" i="1"/>
  <c r="BN400" i="1"/>
  <c r="Z400" i="1"/>
  <c r="Z402" i="1" s="1"/>
  <c r="Y414" i="1"/>
  <c r="BP413" i="1"/>
  <c r="BN413" i="1"/>
  <c r="Z413" i="1"/>
  <c r="Z414" i="1" s="1"/>
  <c r="X508" i="1"/>
  <c r="Y419" i="1"/>
  <c r="BP418" i="1"/>
  <c r="BN418" i="1"/>
  <c r="Z418" i="1"/>
  <c r="Z419" i="1" s="1"/>
  <c r="Y420" i="1"/>
  <c r="Y508" i="1"/>
  <c r="Y424" i="1"/>
  <c r="BP423" i="1"/>
  <c r="BN423" i="1"/>
  <c r="Z423" i="1"/>
  <c r="Z424" i="1" s="1"/>
  <c r="Y425" i="1"/>
  <c r="Z508" i="1"/>
  <c r="Y441" i="1"/>
  <c r="Y442" i="1"/>
  <c r="BP429" i="1"/>
  <c r="BN429" i="1"/>
  <c r="Z429" i="1"/>
  <c r="BP432" i="1"/>
  <c r="BN432" i="1"/>
  <c r="Z432" i="1"/>
  <c r="BP468" i="1"/>
  <c r="BN468" i="1"/>
  <c r="Z468" i="1"/>
  <c r="Z471" i="1" s="1"/>
  <c r="Y472" i="1"/>
  <c r="BP475" i="1"/>
  <c r="BN475" i="1"/>
  <c r="Z475" i="1"/>
  <c r="AA508" i="1"/>
  <c r="V508" i="1"/>
  <c r="Y397" i="1"/>
  <c r="BP436" i="1"/>
  <c r="BN436" i="1"/>
  <c r="Z436" i="1"/>
  <c r="BP440" i="1"/>
  <c r="BN440" i="1"/>
  <c r="Z440" i="1"/>
  <c r="Y447" i="1"/>
  <c r="BP444" i="1"/>
  <c r="BN444" i="1"/>
  <c r="Z444" i="1"/>
  <c r="Z447" i="1" s="1"/>
  <c r="BP452" i="1"/>
  <c r="BN452" i="1"/>
  <c r="Z452" i="1"/>
  <c r="Z46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Z369" i="1" l="1"/>
  <c r="Z316" i="1"/>
  <c r="Z310" i="1"/>
  <c r="Z269" i="1"/>
  <c r="Z245" i="1"/>
  <c r="Y502" i="1"/>
  <c r="Y499" i="1"/>
  <c r="Z441" i="1"/>
  <c r="Z302" i="1"/>
  <c r="Z292" i="1"/>
  <c r="Z456" i="1"/>
  <c r="Z199" i="1"/>
  <c r="Z57" i="1"/>
  <c r="Y500" i="1"/>
  <c r="Z211" i="1"/>
  <c r="Z104" i="1"/>
  <c r="Z89" i="1"/>
  <c r="Z503" i="1" s="1"/>
  <c r="Y498" i="1"/>
  <c r="Y501" i="1" l="1"/>
</calcChain>
</file>

<file path=xl/sharedStrings.xml><?xml version="1.0" encoding="utf-8"?>
<sst xmlns="http://schemas.openxmlformats.org/spreadsheetml/2006/main" count="2168" uniqueCount="779">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</sst>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2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5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4" t="s">
        <v>0</v>
      </c>
      <c r="E1" s="577"/>
      <c r="F1" s="577"/>
      <c r="G1" s="12" t="s">
        <v>1</v>
      </c>
      <c r="H1" s="624" t="s">
        <v>2</v>
      </c>
      <c r="I1" s="577"/>
      <c r="J1" s="577"/>
      <c r="K1" s="577"/>
      <c r="L1" s="577"/>
      <c r="M1" s="577"/>
      <c r="N1" s="577"/>
      <c r="O1" s="577"/>
      <c r="P1" s="577"/>
      <c r="Q1" s="577"/>
      <c r="R1" s="576" t="s">
        <v>3</v>
      </c>
      <c r="S1" s="577"/>
      <c r="T1" s="57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2" t="s">
        <v>8</v>
      </c>
      <c r="B5" s="604"/>
      <c r="C5" s="605"/>
      <c r="D5" s="632"/>
      <c r="E5" s="633"/>
      <c r="F5" s="833" t="s">
        <v>9</v>
      </c>
      <c r="G5" s="605"/>
      <c r="H5" s="632"/>
      <c r="I5" s="779"/>
      <c r="J5" s="779"/>
      <c r="K5" s="779"/>
      <c r="L5" s="779"/>
      <c r="M5" s="633"/>
      <c r="N5" s="58"/>
      <c r="P5" s="24" t="s">
        <v>10</v>
      </c>
      <c r="Q5" s="848">
        <v>45942</v>
      </c>
      <c r="R5" s="669"/>
      <c r="T5" s="707" t="s">
        <v>11</v>
      </c>
      <c r="U5" s="708"/>
      <c r="V5" s="710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2" t="s">
        <v>13</v>
      </c>
      <c r="B6" s="604"/>
      <c r="C6" s="605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9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Воскресенье</v>
      </c>
      <c r="R6" s="548"/>
      <c r="T6" s="715" t="s">
        <v>16</v>
      </c>
      <c r="U6" s="708"/>
      <c r="V6" s="763" t="s">
        <v>17</v>
      </c>
      <c r="W6" s="594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8" t="str">
        <f>IFERROR(VLOOKUP(DeliveryAddress,Table,3,0),1)</f>
        <v>1</v>
      </c>
      <c r="E7" s="609"/>
      <c r="F7" s="609"/>
      <c r="G7" s="609"/>
      <c r="H7" s="609"/>
      <c r="I7" s="609"/>
      <c r="J7" s="609"/>
      <c r="K7" s="609"/>
      <c r="L7" s="609"/>
      <c r="M7" s="610"/>
      <c r="N7" s="60"/>
      <c r="P7" s="24"/>
      <c r="Q7" s="42"/>
      <c r="R7" s="42"/>
      <c r="T7" s="556"/>
      <c r="U7" s="708"/>
      <c r="V7" s="764"/>
      <c r="W7" s="765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58"/>
      <c r="C8" s="559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7">
        <v>0.375</v>
      </c>
      <c r="R8" s="610"/>
      <c r="T8" s="556"/>
      <c r="U8" s="708"/>
      <c r="V8" s="764"/>
      <c r="W8" s="765"/>
      <c r="AB8" s="51"/>
      <c r="AC8" s="51"/>
      <c r="AD8" s="51"/>
      <c r="AE8" s="51"/>
    </row>
    <row r="9" spans="1:32" s="537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7"/>
      <c r="E9" s="561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20</v>
      </c>
      <c r="Q9" s="666"/>
      <c r="R9" s="667"/>
      <c r="T9" s="556"/>
      <c r="U9" s="708"/>
      <c r="V9" s="766"/>
      <c r="W9" s="767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7"/>
      <c r="E10" s="561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58" t="str">
        <f>IFERROR(VLOOKUP($D$10,Proxy,2,FALSE),"")</f>
        <v/>
      </c>
      <c r="I10" s="556"/>
      <c r="J10" s="556"/>
      <c r="K10" s="556"/>
      <c r="L10" s="556"/>
      <c r="M10" s="556"/>
      <c r="N10" s="536"/>
      <c r="P10" s="26" t="s">
        <v>21</v>
      </c>
      <c r="Q10" s="716"/>
      <c r="R10" s="717"/>
      <c r="U10" s="24" t="s">
        <v>22</v>
      </c>
      <c r="V10" s="593" t="s">
        <v>23</v>
      </c>
      <c r="W10" s="594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2" t="s">
        <v>27</v>
      </c>
      <c r="W11" s="66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28</v>
      </c>
      <c r="B12" s="604"/>
      <c r="C12" s="604"/>
      <c r="D12" s="604"/>
      <c r="E12" s="604"/>
      <c r="F12" s="604"/>
      <c r="G12" s="604"/>
      <c r="H12" s="604"/>
      <c r="I12" s="604"/>
      <c r="J12" s="604"/>
      <c r="K12" s="604"/>
      <c r="L12" s="604"/>
      <c r="M12" s="605"/>
      <c r="N12" s="62"/>
      <c r="P12" s="24" t="s">
        <v>29</v>
      </c>
      <c r="Q12" s="677"/>
      <c r="R12" s="610"/>
      <c r="S12" s="23"/>
      <c r="U12" s="24"/>
      <c r="V12" s="577"/>
      <c r="W12" s="556"/>
      <c r="AB12" s="51"/>
      <c r="AC12" s="51"/>
      <c r="AD12" s="51"/>
      <c r="AE12" s="51"/>
    </row>
    <row r="13" spans="1:32" s="537" customFormat="1" ht="23.25" customHeight="1" x14ac:dyDescent="0.2">
      <c r="A13" s="703" t="s">
        <v>30</v>
      </c>
      <c r="B13" s="604"/>
      <c r="C13" s="604"/>
      <c r="D13" s="604"/>
      <c r="E13" s="604"/>
      <c r="F13" s="604"/>
      <c r="G13" s="604"/>
      <c r="H13" s="604"/>
      <c r="I13" s="604"/>
      <c r="J13" s="604"/>
      <c r="K13" s="604"/>
      <c r="L13" s="604"/>
      <c r="M13" s="605"/>
      <c r="N13" s="62"/>
      <c r="O13" s="26"/>
      <c r="P13" s="26" t="s">
        <v>31</v>
      </c>
      <c r="Q13" s="802"/>
      <c r="R13" s="6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32</v>
      </c>
      <c r="B14" s="604"/>
      <c r="C14" s="604"/>
      <c r="D14" s="604"/>
      <c r="E14" s="604"/>
      <c r="F14" s="604"/>
      <c r="G14" s="604"/>
      <c r="H14" s="604"/>
      <c r="I14" s="604"/>
      <c r="J14" s="604"/>
      <c r="K14" s="604"/>
      <c r="L14" s="604"/>
      <c r="M14" s="60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4"/>
      <c r="C15" s="604"/>
      <c r="D15" s="604"/>
      <c r="E15" s="604"/>
      <c r="F15" s="604"/>
      <c r="G15" s="604"/>
      <c r="H15" s="604"/>
      <c r="I15" s="604"/>
      <c r="J15" s="604"/>
      <c r="K15" s="604"/>
      <c r="L15" s="604"/>
      <c r="M15" s="605"/>
      <c r="N15" s="63"/>
      <c r="P15" s="698" t="s">
        <v>34</v>
      </c>
      <c r="Q15" s="577"/>
      <c r="R15" s="577"/>
      <c r="S15" s="577"/>
      <c r="T15" s="57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4" t="s">
        <v>37</v>
      </c>
      <c r="D17" s="588" t="s">
        <v>38</v>
      </c>
      <c r="E17" s="650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49"/>
      <c r="R17" s="649"/>
      <c r="S17" s="649"/>
      <c r="T17" s="650"/>
      <c r="U17" s="862" t="s">
        <v>50</v>
      </c>
      <c r="V17" s="605"/>
      <c r="W17" s="588" t="s">
        <v>51</v>
      </c>
      <c r="X17" s="588" t="s">
        <v>52</v>
      </c>
      <c r="Y17" s="864" t="s">
        <v>53</v>
      </c>
      <c r="Z17" s="777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8"/>
      <c r="AF17" s="829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51"/>
      <c r="E18" s="653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51"/>
      <c r="Q18" s="652"/>
      <c r="R18" s="652"/>
      <c r="S18" s="652"/>
      <c r="T18" s="653"/>
      <c r="U18" s="67" t="s">
        <v>60</v>
      </c>
      <c r="V18" s="67" t="s">
        <v>61</v>
      </c>
      <c r="W18" s="589"/>
      <c r="X18" s="589"/>
      <c r="Y18" s="865"/>
      <c r="Z18" s="778"/>
      <c r="AA18" s="757"/>
      <c r="AB18" s="757"/>
      <c r="AC18" s="757"/>
      <c r="AD18" s="830"/>
      <c r="AE18" s="831"/>
      <c r="AF18" s="832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62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8"/>
      <c r="AB20" s="538"/>
      <c r="AC20" s="538"/>
    </row>
    <row r="21" spans="1:68" ht="14.25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7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56"/>
      <c r="C31" s="556"/>
      <c r="D31" s="556"/>
      <c r="E31" s="556"/>
      <c r="F31" s="556"/>
      <c r="G31" s="556"/>
      <c r="H31" s="556"/>
      <c r="I31" s="556"/>
      <c r="J31" s="556"/>
      <c r="K31" s="556"/>
      <c r="L31" s="556"/>
      <c r="M31" s="556"/>
      <c r="N31" s="556"/>
      <c r="O31" s="570"/>
      <c r="P31" s="557" t="s">
        <v>70</v>
      </c>
      <c r="Q31" s="558"/>
      <c r="R31" s="558"/>
      <c r="S31" s="558"/>
      <c r="T31" s="558"/>
      <c r="U31" s="558"/>
      <c r="V31" s="559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6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5" t="s">
        <v>90</v>
      </c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56"/>
      <c r="P33" s="556"/>
      <c r="Q33" s="556"/>
      <c r="R33" s="556"/>
      <c r="S33" s="556"/>
      <c r="T33" s="556"/>
      <c r="U33" s="556"/>
      <c r="V33" s="556"/>
      <c r="W33" s="556"/>
      <c r="X33" s="556"/>
      <c r="Y33" s="556"/>
      <c r="Z33" s="556"/>
      <c r="AA33" s="539"/>
      <c r="AB33" s="539"/>
      <c r="AC33" s="539"/>
    </row>
    <row r="34" spans="1:68" ht="27" customHeight="1" x14ac:dyDescent="0.25">
      <c r="A34" s="54" t="s">
        <v>91</v>
      </c>
      <c r="B34" s="54" t="s">
        <v>92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56"/>
      <c r="C35" s="556"/>
      <c r="D35" s="556"/>
      <c r="E35" s="556"/>
      <c r="F35" s="556"/>
      <c r="G35" s="556"/>
      <c r="H35" s="556"/>
      <c r="I35" s="556"/>
      <c r="J35" s="556"/>
      <c r="K35" s="556"/>
      <c r="L35" s="556"/>
      <c r="M35" s="556"/>
      <c r="N35" s="556"/>
      <c r="O35" s="570"/>
      <c r="P35" s="557" t="s">
        <v>70</v>
      </c>
      <c r="Q35" s="558"/>
      <c r="R35" s="558"/>
      <c r="S35" s="558"/>
      <c r="T35" s="558"/>
      <c r="U35" s="558"/>
      <c r="V35" s="559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6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6" t="s">
        <v>96</v>
      </c>
      <c r="B37" s="607"/>
      <c r="C37" s="607"/>
      <c r="D37" s="607"/>
      <c r="E37" s="607"/>
      <c r="F37" s="607"/>
      <c r="G37" s="607"/>
      <c r="H37" s="607"/>
      <c r="I37" s="607"/>
      <c r="J37" s="607"/>
      <c r="K37" s="607"/>
      <c r="L37" s="607"/>
      <c r="M37" s="607"/>
      <c r="N37" s="607"/>
      <c r="O37" s="607"/>
      <c r="P37" s="607"/>
      <c r="Q37" s="607"/>
      <c r="R37" s="607"/>
      <c r="S37" s="607"/>
      <c r="T37" s="607"/>
      <c r="U37" s="607"/>
      <c r="V37" s="607"/>
      <c r="W37" s="607"/>
      <c r="X37" s="607"/>
      <c r="Y37" s="607"/>
      <c r="Z37" s="607"/>
      <c r="AA37" s="48"/>
      <c r="AB37" s="48"/>
      <c r="AC37" s="48"/>
    </row>
    <row r="38" spans="1:68" ht="16.5" customHeight="1" x14ac:dyDescent="0.25">
      <c r="A38" s="562" t="s">
        <v>97</v>
      </c>
      <c r="B38" s="556"/>
      <c r="C38" s="556"/>
      <c r="D38" s="556"/>
      <c r="E38" s="556"/>
      <c r="F38" s="556"/>
      <c r="G38" s="556"/>
      <c r="H38" s="556"/>
      <c r="I38" s="556"/>
      <c r="J38" s="556"/>
      <c r="K38" s="556"/>
      <c r="L38" s="556"/>
      <c r="M38" s="556"/>
      <c r="N38" s="556"/>
      <c r="O38" s="556"/>
      <c r="P38" s="556"/>
      <c r="Q38" s="556"/>
      <c r="R38" s="556"/>
      <c r="S38" s="556"/>
      <c r="T38" s="556"/>
      <c r="U38" s="556"/>
      <c r="V38" s="556"/>
      <c r="W38" s="556"/>
      <c r="X38" s="556"/>
      <c r="Y38" s="556"/>
      <c r="Z38" s="556"/>
      <c r="AA38" s="538"/>
      <c r="AB38" s="538"/>
      <c r="AC38" s="538"/>
    </row>
    <row r="39" spans="1:68" ht="14.25" customHeight="1" x14ac:dyDescent="0.25">
      <c r="A39" s="555" t="s">
        <v>98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9"/>
      <c r="AB39" s="539"/>
      <c r="AC39" s="539"/>
    </row>
    <row r="40" spans="1:68" ht="16.5" customHeight="1" x14ac:dyDescent="0.25">
      <c r="A40" s="54" t="s">
        <v>99</v>
      </c>
      <c r="B40" s="54" t="s">
        <v>100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7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68</v>
      </c>
      <c r="X40" s="543">
        <v>30</v>
      </c>
      <c r="Y40" s="544">
        <f>IFERROR(IF(X40="",0,CEILING((X40/$H40),1)*$H40),"")</f>
        <v>32.400000000000006</v>
      </c>
      <c r="Z40" s="36">
        <f>IFERROR(IF(Y40=0,"",ROUNDUP(Y40/H40,0)*0.01898),"")</f>
        <v>5.6940000000000004E-2</v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31.208333333333329</v>
      </c>
      <c r="BN40" s="64">
        <f>IFERROR(Y40*I40/H40,"0")</f>
        <v>33.705000000000005</v>
      </c>
      <c r="BO40" s="64">
        <f>IFERROR(1/J40*(X40/H40),"0")</f>
        <v>4.3402777777777776E-2</v>
      </c>
      <c r="BP40" s="64">
        <f>IFERROR(1/J40*(Y40/H40),"0")</f>
        <v>4.6875000000000007E-2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8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68</v>
      </c>
      <c r="X41" s="543">
        <v>160</v>
      </c>
      <c r="Y41" s="544">
        <f>IFERROR(IF(X41="",0,CEILING((X41/$H41),1)*$H41),"")</f>
        <v>160</v>
      </c>
      <c r="Z41" s="36">
        <f>IFERROR(IF(Y41=0,"",ROUNDUP(Y41/H41,0)*0.00902),"")</f>
        <v>0.36080000000000001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168.4</v>
      </c>
      <c r="BN41" s="64">
        <f>IFERROR(Y41*I41/H41,"0")</f>
        <v>168.4</v>
      </c>
      <c r="BO41" s="64">
        <f>IFERROR(1/J41*(X41/H41),"0")</f>
        <v>0.30303030303030304</v>
      </c>
      <c r="BP41" s="64">
        <f>IFERROR(1/J41*(Y41/H41),"0")</f>
        <v>0.30303030303030304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68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70"/>
      <c r="P43" s="557" t="s">
        <v>70</v>
      </c>
      <c r="Q43" s="558"/>
      <c r="R43" s="558"/>
      <c r="S43" s="558"/>
      <c r="T43" s="558"/>
      <c r="U43" s="558"/>
      <c r="V43" s="559"/>
      <c r="W43" s="37" t="s">
        <v>71</v>
      </c>
      <c r="X43" s="545">
        <f>IFERROR(X40/H40,"0")+IFERROR(X41/H41,"0")+IFERROR(X42/H42,"0")</f>
        <v>42.777777777777779</v>
      </c>
      <c r="Y43" s="545">
        <f>IFERROR(Y40/H40,"0")+IFERROR(Y41/H41,"0")+IFERROR(Y42/H42,"0")</f>
        <v>43</v>
      </c>
      <c r="Z43" s="545">
        <f>IFERROR(IF(Z40="",0,Z40),"0")+IFERROR(IF(Z41="",0,Z41),"0")+IFERROR(IF(Z42="",0,Z42),"0")</f>
        <v>0.41774</v>
      </c>
      <c r="AA43" s="546"/>
      <c r="AB43" s="546"/>
      <c r="AC43" s="546"/>
    </row>
    <row r="44" spans="1:68" x14ac:dyDescent="0.2">
      <c r="A44" s="556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68</v>
      </c>
      <c r="X44" s="545">
        <f>IFERROR(SUM(X40:X42),"0")</f>
        <v>190</v>
      </c>
      <c r="Y44" s="545">
        <f>IFERROR(SUM(Y40:Y42),"0")</f>
        <v>192.4</v>
      </c>
      <c r="Z44" s="37"/>
      <c r="AA44" s="546"/>
      <c r="AB44" s="546"/>
      <c r="AC44" s="546"/>
    </row>
    <row r="45" spans="1:68" ht="14.25" customHeight="1" x14ac:dyDescent="0.25">
      <c r="A45" s="555" t="s">
        <v>72</v>
      </c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56"/>
      <c r="P45" s="556"/>
      <c r="Q45" s="556"/>
      <c r="R45" s="556"/>
      <c r="S45" s="556"/>
      <c r="T45" s="556"/>
      <c r="U45" s="556"/>
      <c r="V45" s="556"/>
      <c r="W45" s="556"/>
      <c r="X45" s="556"/>
      <c r="Y45" s="556"/>
      <c r="Z45" s="556"/>
      <c r="AA45" s="539"/>
      <c r="AB45" s="539"/>
      <c r="AC45" s="539"/>
    </row>
    <row r="46" spans="1:68" ht="16.5" customHeight="1" x14ac:dyDescent="0.25">
      <c r="A46" s="54" t="s">
        <v>109</v>
      </c>
      <c r="B46" s="54" t="s">
        <v>110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56"/>
      <c r="C47" s="556"/>
      <c r="D47" s="556"/>
      <c r="E47" s="556"/>
      <c r="F47" s="556"/>
      <c r="G47" s="556"/>
      <c r="H47" s="556"/>
      <c r="I47" s="556"/>
      <c r="J47" s="556"/>
      <c r="K47" s="556"/>
      <c r="L47" s="556"/>
      <c r="M47" s="556"/>
      <c r="N47" s="556"/>
      <c r="O47" s="570"/>
      <c r="P47" s="557" t="s">
        <v>70</v>
      </c>
      <c r="Q47" s="558"/>
      <c r="R47" s="558"/>
      <c r="S47" s="558"/>
      <c r="T47" s="558"/>
      <c r="U47" s="558"/>
      <c r="V47" s="559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6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2" t="s">
        <v>112</v>
      </c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56"/>
      <c r="P49" s="556"/>
      <c r="Q49" s="556"/>
      <c r="R49" s="556"/>
      <c r="S49" s="556"/>
      <c r="T49" s="556"/>
      <c r="U49" s="556"/>
      <c r="V49" s="556"/>
      <c r="W49" s="556"/>
      <c r="X49" s="556"/>
      <c r="Y49" s="556"/>
      <c r="Z49" s="556"/>
      <c r="AA49" s="538"/>
      <c r="AB49" s="538"/>
      <c r="AC49" s="538"/>
    </row>
    <row r="50" spans="1:68" ht="14.25" customHeight="1" x14ac:dyDescent="0.25">
      <c r="A50" s="555" t="s">
        <v>98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9"/>
      <c r="AB50" s="539"/>
      <c r="AC50" s="539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68</v>
      </c>
      <c r="X52" s="543">
        <v>200</v>
      </c>
      <c r="Y52" s="544">
        <f t="shared" si="0"/>
        <v>205.20000000000002</v>
      </c>
      <c r="Z52" s="36">
        <f>IFERROR(IF(Y52=0,"",ROUNDUP(Y52/H52,0)*0.01898),"")</f>
        <v>0.36062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208.05555555555554</v>
      </c>
      <c r="BN52" s="64">
        <f t="shared" si="2"/>
        <v>213.46499999999997</v>
      </c>
      <c r="BO52" s="64">
        <f t="shared" si="3"/>
        <v>0.28935185185185186</v>
      </c>
      <c r="BP52" s="64">
        <f t="shared" si="4"/>
        <v>0.296875</v>
      </c>
    </row>
    <row r="53" spans="1:68" ht="27" customHeight="1" x14ac:dyDescent="0.25">
      <c r="A53" s="54" t="s">
        <v>119</v>
      </c>
      <c r="B53" s="54" t="s">
        <v>120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68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124</v>
      </c>
      <c r="B55" s="54" t="s">
        <v>125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68</v>
      </c>
      <c r="X56" s="543">
        <v>90</v>
      </c>
      <c r="Y56" s="544">
        <f t="shared" si="0"/>
        <v>90</v>
      </c>
      <c r="Z56" s="36">
        <f>IFERROR(IF(Y56=0,"",ROUNDUP(Y56/H56,0)*0.00902),"")</f>
        <v>0.1804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94.199999999999989</v>
      </c>
      <c r="BN56" s="64">
        <f t="shared" si="2"/>
        <v>94.199999999999989</v>
      </c>
      <c r="BO56" s="64">
        <f t="shared" si="3"/>
        <v>0.15151515151515152</v>
      </c>
      <c r="BP56" s="64">
        <f t="shared" si="4"/>
        <v>0.15151515151515152</v>
      </c>
    </row>
    <row r="57" spans="1:68" x14ac:dyDescent="0.2">
      <c r="A57" s="569"/>
      <c r="B57" s="556"/>
      <c r="C57" s="556"/>
      <c r="D57" s="556"/>
      <c r="E57" s="556"/>
      <c r="F57" s="556"/>
      <c r="G57" s="556"/>
      <c r="H57" s="556"/>
      <c r="I57" s="556"/>
      <c r="J57" s="556"/>
      <c r="K57" s="556"/>
      <c r="L57" s="556"/>
      <c r="M57" s="556"/>
      <c r="N57" s="556"/>
      <c r="O57" s="570"/>
      <c r="P57" s="557" t="s">
        <v>70</v>
      </c>
      <c r="Q57" s="558"/>
      <c r="R57" s="558"/>
      <c r="S57" s="558"/>
      <c r="T57" s="558"/>
      <c r="U57" s="558"/>
      <c r="V57" s="559"/>
      <c r="W57" s="37" t="s">
        <v>71</v>
      </c>
      <c r="X57" s="545">
        <f>IFERROR(X51/H51,"0")+IFERROR(X52/H52,"0")+IFERROR(X53/H53,"0")+IFERROR(X54/H54,"0")+IFERROR(X55/H55,"0")+IFERROR(X56/H56,"0")</f>
        <v>38.518518518518519</v>
      </c>
      <c r="Y57" s="545">
        <f>IFERROR(Y51/H51,"0")+IFERROR(Y52/H52,"0")+IFERROR(Y53/H53,"0")+IFERROR(Y54/H54,"0")+IFERROR(Y55/H55,"0")+IFERROR(Y56/H56,"0")</f>
        <v>39</v>
      </c>
      <c r="Z57" s="545">
        <f>IFERROR(IF(Z51="",0,Z51),"0")+IFERROR(IF(Z52="",0,Z52),"0")+IFERROR(IF(Z53="",0,Z53),"0")+IFERROR(IF(Z54="",0,Z54),"0")+IFERROR(IF(Z55="",0,Z55),"0")+IFERROR(IF(Z56="",0,Z56),"0")</f>
        <v>0.54102000000000006</v>
      </c>
      <c r="AA57" s="546"/>
      <c r="AB57" s="546"/>
      <c r="AC57" s="546"/>
    </row>
    <row r="58" spans="1:68" x14ac:dyDescent="0.2">
      <c r="A58" s="556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68</v>
      </c>
      <c r="X58" s="545">
        <f>IFERROR(SUM(X51:X56),"0")</f>
        <v>290</v>
      </c>
      <c r="Y58" s="545">
        <f>IFERROR(SUM(Y51:Y56),"0")</f>
        <v>295.20000000000005</v>
      </c>
      <c r="Z58" s="37"/>
      <c r="AA58" s="546"/>
      <c r="AB58" s="546"/>
      <c r="AC58" s="546"/>
    </row>
    <row r="59" spans="1:68" ht="14.25" customHeight="1" x14ac:dyDescent="0.25">
      <c r="A59" s="555" t="s">
        <v>130</v>
      </c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56"/>
      <c r="P59" s="556"/>
      <c r="Q59" s="556"/>
      <c r="R59" s="556"/>
      <c r="S59" s="556"/>
      <c r="T59" s="556"/>
      <c r="U59" s="556"/>
      <c r="V59" s="556"/>
      <c r="W59" s="556"/>
      <c r="X59" s="556"/>
      <c r="Y59" s="556"/>
      <c r="Z59" s="556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68</v>
      </c>
      <c r="X60" s="543">
        <v>100</v>
      </c>
      <c r="Y60" s="544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customHeight="1" x14ac:dyDescent="0.25">
      <c r="A61" s="54" t="s">
        <v>134</v>
      </c>
      <c r="B61" s="54" t="s">
        <v>135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9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136</v>
      </c>
      <c r="B62" s="54" t="s">
        <v>137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68</v>
      </c>
      <c r="X62" s="543">
        <v>180</v>
      </c>
      <c r="Y62" s="544">
        <f>IFERROR(IF(X62="",0,CEILING((X62/$H62),1)*$H62),"")</f>
        <v>180.9</v>
      </c>
      <c r="Z62" s="36">
        <f>IFERROR(IF(Y62=0,"",ROUNDUP(Y62/H62,0)*0.00651),"")</f>
        <v>0.43617</v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191.99999999999997</v>
      </c>
      <c r="BN62" s="64">
        <f>IFERROR(Y62*I62/H62,"0")</f>
        <v>192.95999999999998</v>
      </c>
      <c r="BO62" s="64">
        <f>IFERROR(1/J62*(X62/H62),"0")</f>
        <v>0.36630036630036628</v>
      </c>
      <c r="BP62" s="64">
        <f>IFERROR(1/J62*(Y62/H62),"0")</f>
        <v>0.36813186813186816</v>
      </c>
    </row>
    <row r="63" spans="1:68" x14ac:dyDescent="0.2">
      <c r="A63" s="569"/>
      <c r="B63" s="556"/>
      <c r="C63" s="556"/>
      <c r="D63" s="556"/>
      <c r="E63" s="556"/>
      <c r="F63" s="556"/>
      <c r="G63" s="556"/>
      <c r="H63" s="556"/>
      <c r="I63" s="556"/>
      <c r="J63" s="556"/>
      <c r="K63" s="556"/>
      <c r="L63" s="556"/>
      <c r="M63" s="556"/>
      <c r="N63" s="556"/>
      <c r="O63" s="570"/>
      <c r="P63" s="557" t="s">
        <v>70</v>
      </c>
      <c r="Q63" s="558"/>
      <c r="R63" s="558"/>
      <c r="S63" s="558"/>
      <c r="T63" s="558"/>
      <c r="U63" s="558"/>
      <c r="V63" s="559"/>
      <c r="W63" s="37" t="s">
        <v>71</v>
      </c>
      <c r="X63" s="545">
        <f>IFERROR(X60/H60,"0")+IFERROR(X61/H61,"0")+IFERROR(X62/H62,"0")</f>
        <v>75.925925925925924</v>
      </c>
      <c r="Y63" s="545">
        <f>IFERROR(Y60/H60,"0")+IFERROR(Y61/H61,"0")+IFERROR(Y62/H62,"0")</f>
        <v>77</v>
      </c>
      <c r="Z63" s="545">
        <f>IFERROR(IF(Z60="",0,Z60),"0")+IFERROR(IF(Z61="",0,Z61),"0")+IFERROR(IF(Z62="",0,Z62),"0")</f>
        <v>0.62597000000000003</v>
      </c>
      <c r="AA63" s="546"/>
      <c r="AB63" s="546"/>
      <c r="AC63" s="546"/>
    </row>
    <row r="64" spans="1:68" x14ac:dyDescent="0.2">
      <c r="A64" s="556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70"/>
      <c r="P64" s="557" t="s">
        <v>70</v>
      </c>
      <c r="Q64" s="558"/>
      <c r="R64" s="558"/>
      <c r="S64" s="558"/>
      <c r="T64" s="558"/>
      <c r="U64" s="558"/>
      <c r="V64" s="559"/>
      <c r="W64" s="37" t="s">
        <v>68</v>
      </c>
      <c r="X64" s="545">
        <f>IFERROR(SUM(X60:X62),"0")</f>
        <v>280</v>
      </c>
      <c r="Y64" s="545">
        <f>IFERROR(SUM(Y60:Y62),"0")</f>
        <v>288.89999999999998</v>
      </c>
      <c r="Z64" s="37"/>
      <c r="AA64" s="546"/>
      <c r="AB64" s="546"/>
      <c r="AC64" s="546"/>
    </row>
    <row r="65" spans="1:68" ht="14.25" customHeight="1" x14ac:dyDescent="0.25">
      <c r="A65" s="555" t="s">
        <v>63</v>
      </c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56"/>
      <c r="P65" s="556"/>
      <c r="Q65" s="556"/>
      <c r="R65" s="556"/>
      <c r="S65" s="556"/>
      <c r="T65" s="556"/>
      <c r="U65" s="556"/>
      <c r="V65" s="556"/>
      <c r="W65" s="556"/>
      <c r="X65" s="556"/>
      <c r="Y65" s="556"/>
      <c r="Z65" s="556"/>
      <c r="AA65" s="539"/>
      <c r="AB65" s="539"/>
      <c r="AC65" s="539"/>
    </row>
    <row r="66" spans="1:68" ht="27" customHeight="1" x14ac:dyDescent="0.25">
      <c r="A66" s="54" t="s">
        <v>138</v>
      </c>
      <c r="B66" s="54" t="s">
        <v>139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141</v>
      </c>
      <c r="B67" s="54" t="s">
        <v>142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144</v>
      </c>
      <c r="B68" s="54" t="s">
        <v>145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56"/>
      <c r="C69" s="556"/>
      <c r="D69" s="556"/>
      <c r="E69" s="556"/>
      <c r="F69" s="556"/>
      <c r="G69" s="556"/>
      <c r="H69" s="556"/>
      <c r="I69" s="556"/>
      <c r="J69" s="556"/>
      <c r="K69" s="556"/>
      <c r="L69" s="556"/>
      <c r="M69" s="556"/>
      <c r="N69" s="556"/>
      <c r="O69" s="570"/>
      <c r="P69" s="557" t="s">
        <v>70</v>
      </c>
      <c r="Q69" s="558"/>
      <c r="R69" s="558"/>
      <c r="S69" s="558"/>
      <c r="T69" s="558"/>
      <c r="U69" s="558"/>
      <c r="V69" s="559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6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70"/>
      <c r="P70" s="557" t="s">
        <v>70</v>
      </c>
      <c r="Q70" s="558"/>
      <c r="R70" s="558"/>
      <c r="S70" s="558"/>
      <c r="T70" s="558"/>
      <c r="U70" s="558"/>
      <c r="V70" s="559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5" t="s">
        <v>72</v>
      </c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56"/>
      <c r="P71" s="556"/>
      <c r="Q71" s="556"/>
      <c r="R71" s="556"/>
      <c r="S71" s="556"/>
      <c r="T71" s="556"/>
      <c r="U71" s="556"/>
      <c r="V71" s="556"/>
      <c r="W71" s="556"/>
      <c r="X71" s="556"/>
      <c r="Y71" s="556"/>
      <c r="Z71" s="556"/>
      <c r="AA71" s="539"/>
      <c r="AB71" s="539"/>
      <c r="AC71" s="539"/>
    </row>
    <row r="72" spans="1:68" ht="16.5" customHeight="1" x14ac:dyDescent="0.25">
      <c r="A72" s="54" t="s">
        <v>147</v>
      </c>
      <c r="B72" s="54" t="s">
        <v>148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4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153</v>
      </c>
      <c r="B74" s="54" t="s">
        <v>154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155</v>
      </c>
      <c r="B75" s="54" t="s">
        <v>156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157</v>
      </c>
      <c r="B76" s="54" t="s">
        <v>158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56"/>
      <c r="C77" s="556"/>
      <c r="D77" s="556"/>
      <c r="E77" s="556"/>
      <c r="F77" s="556"/>
      <c r="G77" s="556"/>
      <c r="H77" s="556"/>
      <c r="I77" s="556"/>
      <c r="J77" s="556"/>
      <c r="K77" s="556"/>
      <c r="L77" s="556"/>
      <c r="M77" s="556"/>
      <c r="N77" s="556"/>
      <c r="O77" s="570"/>
      <c r="P77" s="557" t="s">
        <v>70</v>
      </c>
      <c r="Q77" s="558"/>
      <c r="R77" s="558"/>
      <c r="S77" s="558"/>
      <c r="T77" s="558"/>
      <c r="U77" s="558"/>
      <c r="V77" s="559"/>
      <c r="W77" s="37" t="s">
        <v>71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6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70"/>
      <c r="P78" s="557" t="s">
        <v>70</v>
      </c>
      <c r="Q78" s="558"/>
      <c r="R78" s="558"/>
      <c r="S78" s="558"/>
      <c r="T78" s="558"/>
      <c r="U78" s="558"/>
      <c r="V78" s="559"/>
      <c r="W78" s="37" t="s">
        <v>68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5" t="s">
        <v>160</v>
      </c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56"/>
      <c r="P79" s="556"/>
      <c r="Q79" s="556"/>
      <c r="R79" s="556"/>
      <c r="S79" s="556"/>
      <c r="T79" s="556"/>
      <c r="U79" s="556"/>
      <c r="V79" s="556"/>
      <c r="W79" s="556"/>
      <c r="X79" s="556"/>
      <c r="Y79" s="556"/>
      <c r="Z79" s="556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68</v>
      </c>
      <c r="X80" s="543">
        <v>30</v>
      </c>
      <c r="Y80" s="544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31.673076923076923</v>
      </c>
      <c r="BN80" s="64">
        <f>IFERROR(Y80*I80/H80,"0")</f>
        <v>32.94</v>
      </c>
      <c r="BO80" s="64">
        <f>IFERROR(1/J80*(X80/H80),"0")</f>
        <v>6.0096153846153848E-2</v>
      </c>
      <c r="BP80" s="64">
        <f>IFERROR(1/J80*(Y80/H80),"0")</f>
        <v>6.25E-2</v>
      </c>
    </row>
    <row r="81" spans="1:68" ht="27" customHeight="1" x14ac:dyDescent="0.25">
      <c r="A81" s="54" t="s">
        <v>164</v>
      </c>
      <c r="B81" s="54" t="s">
        <v>165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56"/>
      <c r="C82" s="556"/>
      <c r="D82" s="556"/>
      <c r="E82" s="556"/>
      <c r="F82" s="556"/>
      <c r="G82" s="556"/>
      <c r="H82" s="556"/>
      <c r="I82" s="556"/>
      <c r="J82" s="556"/>
      <c r="K82" s="556"/>
      <c r="L82" s="556"/>
      <c r="M82" s="556"/>
      <c r="N82" s="556"/>
      <c r="O82" s="570"/>
      <c r="P82" s="557" t="s">
        <v>70</v>
      </c>
      <c r="Q82" s="558"/>
      <c r="R82" s="558"/>
      <c r="S82" s="558"/>
      <c r="T82" s="558"/>
      <c r="U82" s="558"/>
      <c r="V82" s="559"/>
      <c r="W82" s="37" t="s">
        <v>71</v>
      </c>
      <c r="X82" s="545">
        <f>IFERROR(X80/H80,"0")+IFERROR(X81/H81,"0")</f>
        <v>3.8461538461538463</v>
      </c>
      <c r="Y82" s="545">
        <f>IFERROR(Y80/H80,"0")+IFERROR(Y81/H81,"0")</f>
        <v>4</v>
      </c>
      <c r="Z82" s="545">
        <f>IFERROR(IF(Z80="",0,Z80),"0")+IFERROR(IF(Z81="",0,Z81),"0")</f>
        <v>7.5920000000000001E-2</v>
      </c>
      <c r="AA82" s="546"/>
      <c r="AB82" s="546"/>
      <c r="AC82" s="546"/>
    </row>
    <row r="83" spans="1:68" x14ac:dyDescent="0.2">
      <c r="A83" s="556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70"/>
      <c r="P83" s="557" t="s">
        <v>70</v>
      </c>
      <c r="Q83" s="558"/>
      <c r="R83" s="558"/>
      <c r="S83" s="558"/>
      <c r="T83" s="558"/>
      <c r="U83" s="558"/>
      <c r="V83" s="559"/>
      <c r="W83" s="37" t="s">
        <v>68</v>
      </c>
      <c r="X83" s="545">
        <f>IFERROR(SUM(X80:X81),"0")</f>
        <v>30</v>
      </c>
      <c r="Y83" s="545">
        <f>IFERROR(SUM(Y80:Y81),"0")</f>
        <v>31.2</v>
      </c>
      <c r="Z83" s="37"/>
      <c r="AA83" s="546"/>
      <c r="AB83" s="546"/>
      <c r="AC83" s="546"/>
    </row>
    <row r="84" spans="1:68" ht="16.5" customHeight="1" x14ac:dyDescent="0.25">
      <c r="A84" s="562" t="s">
        <v>167</v>
      </c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56"/>
      <c r="P84" s="556"/>
      <c r="Q84" s="556"/>
      <c r="R84" s="556"/>
      <c r="S84" s="556"/>
      <c r="T84" s="556"/>
      <c r="U84" s="556"/>
      <c r="V84" s="556"/>
      <c r="W84" s="556"/>
      <c r="X84" s="556"/>
      <c r="Y84" s="556"/>
      <c r="Z84" s="556"/>
      <c r="AA84" s="538"/>
      <c r="AB84" s="538"/>
      <c r="AC84" s="538"/>
    </row>
    <row r="85" spans="1:68" ht="14.25" customHeight="1" x14ac:dyDescent="0.25">
      <c r="A85" s="555" t="s">
        <v>98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68</v>
      </c>
      <c r="X86" s="543">
        <v>100</v>
      </c>
      <c r="Y86" s="544">
        <f>IFERROR(IF(X86="",0,CEILING((X86/$H86),1)*$H86),"")</f>
        <v>108</v>
      </c>
      <c r="Z86" s="36">
        <f>IFERROR(IF(Y86=0,"",ROUNDUP(Y86/H86,0)*0.01898),"")</f>
        <v>0.1898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104.02777777777777</v>
      </c>
      <c r="BN86" s="64">
        <f>IFERROR(Y86*I86/H86,"0")</f>
        <v>112.34999999999998</v>
      </c>
      <c r="BO86" s="64">
        <f>IFERROR(1/J86*(X86/H86),"0")</f>
        <v>0.14467592592592593</v>
      </c>
      <c r="BP86" s="64">
        <f>IFERROR(1/J86*(Y86/H86),"0")</f>
        <v>0.15625</v>
      </c>
    </row>
    <row r="87" spans="1:68" ht="27" customHeight="1" x14ac:dyDescent="0.25">
      <c r="A87" s="54" t="s">
        <v>171</v>
      </c>
      <c r="B87" s="54" t="s">
        <v>172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2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173</v>
      </c>
      <c r="B88" s="54" t="s">
        <v>174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68</v>
      </c>
      <c r="X88" s="543">
        <v>180</v>
      </c>
      <c r="Y88" s="544">
        <f>IFERROR(IF(X88="",0,CEILING((X88/$H88),1)*$H88),"")</f>
        <v>180</v>
      </c>
      <c r="Z88" s="36">
        <f>IFERROR(IF(Y88=0,"",ROUNDUP(Y88/H88,0)*0.00902),"")</f>
        <v>0.36080000000000001</v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188.39999999999998</v>
      </c>
      <c r="BN88" s="64">
        <f>IFERROR(Y88*I88/H88,"0")</f>
        <v>188.39999999999998</v>
      </c>
      <c r="BO88" s="64">
        <f>IFERROR(1/J88*(X88/H88),"0")</f>
        <v>0.30303030303030304</v>
      </c>
      <c r="BP88" s="64">
        <f>IFERROR(1/J88*(Y88/H88),"0")</f>
        <v>0.30303030303030304</v>
      </c>
    </row>
    <row r="89" spans="1:68" x14ac:dyDescent="0.2">
      <c r="A89" s="569"/>
      <c r="B89" s="556"/>
      <c r="C89" s="556"/>
      <c r="D89" s="556"/>
      <c r="E89" s="556"/>
      <c r="F89" s="556"/>
      <c r="G89" s="556"/>
      <c r="H89" s="556"/>
      <c r="I89" s="556"/>
      <c r="J89" s="556"/>
      <c r="K89" s="556"/>
      <c r="L89" s="556"/>
      <c r="M89" s="556"/>
      <c r="N89" s="556"/>
      <c r="O89" s="570"/>
      <c r="P89" s="557" t="s">
        <v>70</v>
      </c>
      <c r="Q89" s="558"/>
      <c r="R89" s="558"/>
      <c r="S89" s="558"/>
      <c r="T89" s="558"/>
      <c r="U89" s="558"/>
      <c r="V89" s="559"/>
      <c r="W89" s="37" t="s">
        <v>71</v>
      </c>
      <c r="X89" s="545">
        <f>IFERROR(X86/H86,"0")+IFERROR(X87/H87,"0")+IFERROR(X88/H88,"0")</f>
        <v>49.25925925925926</v>
      </c>
      <c r="Y89" s="545">
        <f>IFERROR(Y86/H86,"0")+IFERROR(Y87/H87,"0")+IFERROR(Y88/H88,"0")</f>
        <v>50</v>
      </c>
      <c r="Z89" s="545">
        <f>IFERROR(IF(Z86="",0,Z86),"0")+IFERROR(IF(Z87="",0,Z87),"0")+IFERROR(IF(Z88="",0,Z88),"0")</f>
        <v>0.55059999999999998</v>
      </c>
      <c r="AA89" s="546"/>
      <c r="AB89" s="546"/>
      <c r="AC89" s="546"/>
    </row>
    <row r="90" spans="1:68" x14ac:dyDescent="0.2">
      <c r="A90" s="556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70"/>
      <c r="P90" s="557" t="s">
        <v>70</v>
      </c>
      <c r="Q90" s="558"/>
      <c r="R90" s="558"/>
      <c r="S90" s="558"/>
      <c r="T90" s="558"/>
      <c r="U90" s="558"/>
      <c r="V90" s="559"/>
      <c r="W90" s="37" t="s">
        <v>68</v>
      </c>
      <c r="X90" s="545">
        <f>IFERROR(SUM(X86:X88),"0")</f>
        <v>280</v>
      </c>
      <c r="Y90" s="545">
        <f>IFERROR(SUM(Y86:Y88),"0")</f>
        <v>288</v>
      </c>
      <c r="Z90" s="37"/>
      <c r="AA90" s="546"/>
      <c r="AB90" s="546"/>
      <c r="AC90" s="546"/>
    </row>
    <row r="91" spans="1:68" ht="14.25" customHeight="1" x14ac:dyDescent="0.25">
      <c r="A91" s="555" t="s">
        <v>72</v>
      </c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56"/>
      <c r="P91" s="556"/>
      <c r="Q91" s="556"/>
      <c r="R91" s="556"/>
      <c r="S91" s="556"/>
      <c r="T91" s="556"/>
      <c r="U91" s="556"/>
      <c r="V91" s="556"/>
      <c r="W91" s="556"/>
      <c r="X91" s="556"/>
      <c r="Y91" s="556"/>
      <c r="Z91" s="556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3" t="s">
        <v>177</v>
      </c>
      <c r="Q92" s="550"/>
      <c r="R92" s="550"/>
      <c r="S92" s="550"/>
      <c r="T92" s="551"/>
      <c r="U92" s="34"/>
      <c r="V92" s="34"/>
      <c r="W92" s="35" t="s">
        <v>68</v>
      </c>
      <c r="X92" s="543">
        <v>50</v>
      </c>
      <c r="Y92" s="544">
        <f>IFERROR(IF(X92="",0,CEILING((X92/$H92),1)*$H92),"")</f>
        <v>56.699999999999996</v>
      </c>
      <c r="Z92" s="36">
        <f>IFERROR(IF(Y92=0,"",ROUNDUP(Y92/H92,0)*0.01898),"")</f>
        <v>0.13286000000000001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53.203703703703702</v>
      </c>
      <c r="BN92" s="64">
        <f>IFERROR(Y92*I92/H92,"0")</f>
        <v>60.332999999999991</v>
      </c>
      <c r="BO92" s="64">
        <f>IFERROR(1/J92*(X92/H92),"0")</f>
        <v>9.6450617283950615E-2</v>
      </c>
      <c r="BP92" s="64">
        <f>IFERROR(1/J92*(Y92/H92),"0")</f>
        <v>0.109375</v>
      </c>
    </row>
    <row r="93" spans="1:68" ht="27" customHeight="1" x14ac:dyDescent="0.25">
      <c r="A93" s="54" t="s">
        <v>179</v>
      </c>
      <c r="B93" s="54" t="s">
        <v>180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68</v>
      </c>
      <c r="X94" s="543">
        <v>585</v>
      </c>
      <c r="Y94" s="544">
        <f>IFERROR(IF(X94="",0,CEILING((X94/$H94),1)*$H94),"")</f>
        <v>585.90000000000009</v>
      </c>
      <c r="Z94" s="36">
        <f>IFERROR(IF(Y94=0,"",ROUNDUP(Y94/H94,0)*0.00651),"")</f>
        <v>1.4126700000000001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639.6</v>
      </c>
      <c r="BN94" s="64">
        <f>IFERROR(Y94*I94/H94,"0")</f>
        <v>640.58400000000006</v>
      </c>
      <c r="BO94" s="64">
        <f>IFERROR(1/J94*(X94/H94),"0")</f>
        <v>1.1904761904761905</v>
      </c>
      <c r="BP94" s="64">
        <f>IFERROR(1/J94*(Y94/H94),"0")</f>
        <v>1.1923076923076925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56"/>
      <c r="C96" s="556"/>
      <c r="D96" s="556"/>
      <c r="E96" s="556"/>
      <c r="F96" s="556"/>
      <c r="G96" s="556"/>
      <c r="H96" s="556"/>
      <c r="I96" s="556"/>
      <c r="J96" s="556"/>
      <c r="K96" s="556"/>
      <c r="L96" s="556"/>
      <c r="M96" s="556"/>
      <c r="N96" s="556"/>
      <c r="O96" s="570"/>
      <c r="P96" s="557" t="s">
        <v>70</v>
      </c>
      <c r="Q96" s="558"/>
      <c r="R96" s="558"/>
      <c r="S96" s="558"/>
      <c r="T96" s="558"/>
      <c r="U96" s="558"/>
      <c r="V96" s="559"/>
      <c r="W96" s="37" t="s">
        <v>71</v>
      </c>
      <c r="X96" s="545">
        <f>IFERROR(X92/H92,"0")+IFERROR(X93/H93,"0")+IFERROR(X94/H94,"0")+IFERROR(X95/H95,"0")</f>
        <v>222.83950617283949</v>
      </c>
      <c r="Y96" s="545">
        <f>IFERROR(Y92/H92,"0")+IFERROR(Y93/H93,"0")+IFERROR(Y94/H94,"0")+IFERROR(Y95/H95,"0")</f>
        <v>224.00000000000003</v>
      </c>
      <c r="Z96" s="545">
        <f>IFERROR(IF(Z92="",0,Z92),"0")+IFERROR(IF(Z93="",0,Z93),"0")+IFERROR(IF(Z94="",0,Z94),"0")+IFERROR(IF(Z95="",0,Z95),"0")</f>
        <v>1.5455300000000001</v>
      </c>
      <c r="AA96" s="546"/>
      <c r="AB96" s="546"/>
      <c r="AC96" s="546"/>
    </row>
    <row r="97" spans="1:68" x14ac:dyDescent="0.2">
      <c r="A97" s="556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70"/>
      <c r="P97" s="557" t="s">
        <v>70</v>
      </c>
      <c r="Q97" s="558"/>
      <c r="R97" s="558"/>
      <c r="S97" s="558"/>
      <c r="T97" s="558"/>
      <c r="U97" s="558"/>
      <c r="V97" s="559"/>
      <c r="W97" s="37" t="s">
        <v>68</v>
      </c>
      <c r="X97" s="545">
        <f>IFERROR(SUM(X92:X95),"0")</f>
        <v>635</v>
      </c>
      <c r="Y97" s="545">
        <f>IFERROR(SUM(Y92:Y95),"0")</f>
        <v>642.60000000000014</v>
      </c>
      <c r="Z97" s="37"/>
      <c r="AA97" s="546"/>
      <c r="AB97" s="546"/>
      <c r="AC97" s="546"/>
    </row>
    <row r="98" spans="1:68" ht="16.5" customHeight="1" x14ac:dyDescent="0.25">
      <c r="A98" s="562" t="s">
        <v>187</v>
      </c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56"/>
      <c r="P98" s="556"/>
      <c r="Q98" s="556"/>
      <c r="R98" s="556"/>
      <c r="S98" s="556"/>
      <c r="T98" s="556"/>
      <c r="U98" s="556"/>
      <c r="V98" s="556"/>
      <c r="W98" s="556"/>
      <c r="X98" s="556"/>
      <c r="Y98" s="556"/>
      <c r="Z98" s="556"/>
      <c r="AA98" s="538"/>
      <c r="AB98" s="538"/>
      <c r="AC98" s="538"/>
    </row>
    <row r="99" spans="1:68" ht="14.25" customHeight="1" x14ac:dyDescent="0.25">
      <c r="A99" s="555" t="s">
        <v>98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1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68</v>
      </c>
      <c r="X100" s="543">
        <v>200</v>
      </c>
      <c r="Y100" s="544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208.05555555555554</v>
      </c>
      <c r="BN100" s="64">
        <f>IFERROR(Y100*I100/H100,"0")</f>
        <v>213.46499999999997</v>
      </c>
      <c r="BO100" s="64">
        <f>IFERROR(1/J100*(X100/H100),"0")</f>
        <v>0.28935185185185186</v>
      </c>
      <c r="BP100" s="64">
        <f>IFERROR(1/J100*(Y100/H100),"0")</f>
        <v>0.296875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1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68</v>
      </c>
      <c r="X102" s="543">
        <v>225</v>
      </c>
      <c r="Y102" s="544">
        <f>IFERROR(IF(X102="",0,CEILING((X102/$H102),1)*$H102),"")</f>
        <v>225</v>
      </c>
      <c r="Z102" s="36">
        <f>IFERROR(IF(Y102=0,"",ROUNDUP(Y102/H102,0)*0.00902),"")</f>
        <v>0.45100000000000001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235.5</v>
      </c>
      <c r="BN102" s="64">
        <f>IFERROR(Y102*I102/H102,"0")</f>
        <v>235.5</v>
      </c>
      <c r="BO102" s="64">
        <f>IFERROR(1/J102*(X102/H102),"0")</f>
        <v>0.37878787878787878</v>
      </c>
      <c r="BP102" s="64">
        <f>IFERROR(1/J102*(Y102/H102),"0")</f>
        <v>0.37878787878787878</v>
      </c>
    </row>
    <row r="103" spans="1:68" ht="27" customHeight="1" x14ac:dyDescent="0.25">
      <c r="A103" s="54" t="s">
        <v>195</v>
      </c>
      <c r="B103" s="54" t="s">
        <v>196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56"/>
      <c r="C104" s="556"/>
      <c r="D104" s="556"/>
      <c r="E104" s="556"/>
      <c r="F104" s="556"/>
      <c r="G104" s="556"/>
      <c r="H104" s="556"/>
      <c r="I104" s="556"/>
      <c r="J104" s="556"/>
      <c r="K104" s="556"/>
      <c r="L104" s="556"/>
      <c r="M104" s="556"/>
      <c r="N104" s="556"/>
      <c r="O104" s="570"/>
      <c r="P104" s="557" t="s">
        <v>70</v>
      </c>
      <c r="Q104" s="558"/>
      <c r="R104" s="558"/>
      <c r="S104" s="558"/>
      <c r="T104" s="558"/>
      <c r="U104" s="558"/>
      <c r="V104" s="559"/>
      <c r="W104" s="37" t="s">
        <v>71</v>
      </c>
      <c r="X104" s="545">
        <f>IFERROR(X100/H100,"0")+IFERROR(X101/H101,"0")+IFERROR(X102/H102,"0")+IFERROR(X103/H103,"0")</f>
        <v>68.518518518518519</v>
      </c>
      <c r="Y104" s="545">
        <f>IFERROR(Y100/H100,"0")+IFERROR(Y101/H101,"0")+IFERROR(Y102/H102,"0")+IFERROR(Y103/H103,"0")</f>
        <v>69</v>
      </c>
      <c r="Z104" s="545">
        <f>IFERROR(IF(Z100="",0,Z100),"0")+IFERROR(IF(Z101="",0,Z101),"0")+IFERROR(IF(Z102="",0,Z102),"0")+IFERROR(IF(Z103="",0,Z103),"0")</f>
        <v>0.81162000000000001</v>
      </c>
      <c r="AA104" s="546"/>
      <c r="AB104" s="546"/>
      <c r="AC104" s="546"/>
    </row>
    <row r="105" spans="1:68" x14ac:dyDescent="0.2">
      <c r="A105" s="556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70"/>
      <c r="P105" s="557" t="s">
        <v>70</v>
      </c>
      <c r="Q105" s="558"/>
      <c r="R105" s="558"/>
      <c r="S105" s="558"/>
      <c r="T105" s="558"/>
      <c r="U105" s="558"/>
      <c r="V105" s="559"/>
      <c r="W105" s="37" t="s">
        <v>68</v>
      </c>
      <c r="X105" s="545">
        <f>IFERROR(SUM(X100:X103),"0")</f>
        <v>425</v>
      </c>
      <c r="Y105" s="545">
        <f>IFERROR(SUM(Y100:Y103),"0")</f>
        <v>430.20000000000005</v>
      </c>
      <c r="Z105" s="37"/>
      <c r="AA105" s="546"/>
      <c r="AB105" s="546"/>
      <c r="AC105" s="546"/>
    </row>
    <row r="106" spans="1:68" ht="14.25" customHeight="1" x14ac:dyDescent="0.25">
      <c r="A106" s="555" t="s">
        <v>130</v>
      </c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56"/>
      <c r="P106" s="556"/>
      <c r="Q106" s="556"/>
      <c r="R106" s="556"/>
      <c r="S106" s="556"/>
      <c r="T106" s="556"/>
      <c r="U106" s="556"/>
      <c r="V106" s="556"/>
      <c r="W106" s="556"/>
      <c r="X106" s="556"/>
      <c r="Y106" s="556"/>
      <c r="Z106" s="556"/>
      <c r="AA106" s="539"/>
      <c r="AB106" s="539"/>
      <c r="AC106" s="539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200</v>
      </c>
      <c r="B108" s="54" t="s">
        <v>201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6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6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56"/>
      <c r="C110" s="556"/>
      <c r="D110" s="556"/>
      <c r="E110" s="556"/>
      <c r="F110" s="556"/>
      <c r="G110" s="556"/>
      <c r="H110" s="556"/>
      <c r="I110" s="556"/>
      <c r="J110" s="556"/>
      <c r="K110" s="556"/>
      <c r="L110" s="556"/>
      <c r="M110" s="556"/>
      <c r="N110" s="556"/>
      <c r="O110" s="570"/>
      <c r="P110" s="557" t="s">
        <v>70</v>
      </c>
      <c r="Q110" s="558"/>
      <c r="R110" s="558"/>
      <c r="S110" s="558"/>
      <c r="T110" s="558"/>
      <c r="U110" s="558"/>
      <c r="V110" s="559"/>
      <c r="W110" s="37" t="s">
        <v>71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6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70"/>
      <c r="P111" s="557" t="s">
        <v>70</v>
      </c>
      <c r="Q111" s="558"/>
      <c r="R111" s="558"/>
      <c r="S111" s="558"/>
      <c r="T111" s="558"/>
      <c r="U111" s="558"/>
      <c r="V111" s="559"/>
      <c r="W111" s="37" t="s">
        <v>68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5" t="s">
        <v>72</v>
      </c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56"/>
      <c r="P112" s="556"/>
      <c r="Q112" s="556"/>
      <c r="R112" s="556"/>
      <c r="S112" s="556"/>
      <c r="T112" s="556"/>
      <c r="U112" s="556"/>
      <c r="V112" s="556"/>
      <c r="W112" s="556"/>
      <c r="X112" s="556"/>
      <c r="Y112" s="556"/>
      <c r="Z112" s="556"/>
      <c r="AA112" s="539"/>
      <c r="AB112" s="539"/>
      <c r="AC112" s="539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68</v>
      </c>
      <c r="X113" s="543">
        <v>500</v>
      </c>
      <c r="Y113" s="544">
        <f>IFERROR(IF(X113="",0,CEILING((X113/$H113),1)*$H113),"")</f>
        <v>502.2</v>
      </c>
      <c r="Z113" s="36">
        <f>IFERROR(IF(Y113=0,"",ROUNDUP(Y113/H113,0)*0.01898),"")</f>
        <v>1.17676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531.66666666666674</v>
      </c>
      <c r="BN113" s="64">
        <f>IFERROR(Y113*I113/H113,"0")</f>
        <v>534.00599999999997</v>
      </c>
      <c r="BO113" s="64">
        <f>IFERROR(1/J113*(X113/H113),"0")</f>
        <v>0.96450617283950624</v>
      </c>
      <c r="BP113" s="64">
        <f>IFERROR(1/J113*(Y113/H113),"0")</f>
        <v>0.96875</v>
      </c>
    </row>
    <row r="114" spans="1:68" ht="27" customHeight="1" x14ac:dyDescent="0.25">
      <c r="A114" s="54" t="s">
        <v>207</v>
      </c>
      <c r="B114" s="54" t="s">
        <v>208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68</v>
      </c>
      <c r="X115" s="543">
        <v>225</v>
      </c>
      <c r="Y115" s="544">
        <f>IFERROR(IF(X115="",0,CEILING((X115/$H115),1)*$H115),"")</f>
        <v>226.8</v>
      </c>
      <c r="Z115" s="36">
        <f>IFERROR(IF(Y115=0,"",ROUNDUP(Y115/H115,0)*0.00651),"")</f>
        <v>0.54683999999999999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246</v>
      </c>
      <c r="BN115" s="64">
        <f>IFERROR(Y115*I115/H115,"0")</f>
        <v>247.96799999999999</v>
      </c>
      <c r="BO115" s="64">
        <f>IFERROR(1/J115*(X115/H115),"0")</f>
        <v>0.45787545787545786</v>
      </c>
      <c r="BP115" s="64">
        <f>IFERROR(1/J115*(Y115/H115),"0")</f>
        <v>0.46153846153846156</v>
      </c>
    </row>
    <row r="116" spans="1:68" ht="16.5" customHeight="1" x14ac:dyDescent="0.25">
      <c r="A116" s="54" t="s">
        <v>211</v>
      </c>
      <c r="B116" s="54" t="s">
        <v>212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4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56"/>
      <c r="C117" s="556"/>
      <c r="D117" s="556"/>
      <c r="E117" s="556"/>
      <c r="F117" s="556"/>
      <c r="G117" s="556"/>
      <c r="H117" s="556"/>
      <c r="I117" s="556"/>
      <c r="J117" s="556"/>
      <c r="K117" s="556"/>
      <c r="L117" s="556"/>
      <c r="M117" s="556"/>
      <c r="N117" s="556"/>
      <c r="O117" s="570"/>
      <c r="P117" s="557" t="s">
        <v>70</v>
      </c>
      <c r="Q117" s="558"/>
      <c r="R117" s="558"/>
      <c r="S117" s="558"/>
      <c r="T117" s="558"/>
      <c r="U117" s="558"/>
      <c r="V117" s="559"/>
      <c r="W117" s="37" t="s">
        <v>71</v>
      </c>
      <c r="X117" s="545">
        <f>IFERROR(X113/H113,"0")+IFERROR(X114/H114,"0")+IFERROR(X115/H115,"0")+IFERROR(X116/H116,"0")</f>
        <v>145.06172839506172</v>
      </c>
      <c r="Y117" s="545">
        <f>IFERROR(Y113/H113,"0")+IFERROR(Y114/H114,"0")+IFERROR(Y115/H115,"0")+IFERROR(Y116/H116,"0")</f>
        <v>146</v>
      </c>
      <c r="Z117" s="545">
        <f>IFERROR(IF(Z113="",0,Z113),"0")+IFERROR(IF(Z114="",0,Z114),"0")+IFERROR(IF(Z115="",0,Z115),"0")+IFERROR(IF(Z116="",0,Z116),"0")</f>
        <v>1.7236</v>
      </c>
      <c r="AA117" s="546"/>
      <c r="AB117" s="546"/>
      <c r="AC117" s="546"/>
    </row>
    <row r="118" spans="1:68" x14ac:dyDescent="0.2">
      <c r="A118" s="556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70"/>
      <c r="P118" s="557" t="s">
        <v>70</v>
      </c>
      <c r="Q118" s="558"/>
      <c r="R118" s="558"/>
      <c r="S118" s="558"/>
      <c r="T118" s="558"/>
      <c r="U118" s="558"/>
      <c r="V118" s="559"/>
      <c r="W118" s="37" t="s">
        <v>68</v>
      </c>
      <c r="X118" s="545">
        <f>IFERROR(SUM(X113:X116),"0")</f>
        <v>725</v>
      </c>
      <c r="Y118" s="545">
        <f>IFERROR(SUM(Y113:Y116),"0")</f>
        <v>729</v>
      </c>
      <c r="Z118" s="37"/>
      <c r="AA118" s="546"/>
      <c r="AB118" s="546"/>
      <c r="AC118" s="546"/>
    </row>
    <row r="119" spans="1:68" ht="14.25" customHeight="1" x14ac:dyDescent="0.25">
      <c r="A119" s="555" t="s">
        <v>160</v>
      </c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56"/>
      <c r="P119" s="556"/>
      <c r="Q119" s="556"/>
      <c r="R119" s="556"/>
      <c r="S119" s="556"/>
      <c r="T119" s="556"/>
      <c r="U119" s="556"/>
      <c r="V119" s="556"/>
      <c r="W119" s="556"/>
      <c r="X119" s="556"/>
      <c r="Y119" s="556"/>
      <c r="Z119" s="556"/>
      <c r="AA119" s="539"/>
      <c r="AB119" s="539"/>
      <c r="AC119" s="539"/>
    </row>
    <row r="120" spans="1:68" ht="16.5" customHeight="1" x14ac:dyDescent="0.25">
      <c r="A120" s="54" t="s">
        <v>214</v>
      </c>
      <c r="B120" s="54" t="s">
        <v>215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6"/>
      <c r="C121" s="556"/>
      <c r="D121" s="556"/>
      <c r="E121" s="556"/>
      <c r="F121" s="556"/>
      <c r="G121" s="556"/>
      <c r="H121" s="556"/>
      <c r="I121" s="556"/>
      <c r="J121" s="556"/>
      <c r="K121" s="556"/>
      <c r="L121" s="556"/>
      <c r="M121" s="556"/>
      <c r="N121" s="556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6"/>
      <c r="B122" s="556"/>
      <c r="C122" s="556"/>
      <c r="D122" s="556"/>
      <c r="E122" s="556"/>
      <c r="F122" s="556"/>
      <c r="G122" s="556"/>
      <c r="H122" s="556"/>
      <c r="I122" s="556"/>
      <c r="J122" s="556"/>
      <c r="K122" s="556"/>
      <c r="L122" s="556"/>
      <c r="M122" s="556"/>
      <c r="N122" s="556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2" t="s">
        <v>217</v>
      </c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56"/>
      <c r="P123" s="556"/>
      <c r="Q123" s="556"/>
      <c r="R123" s="556"/>
      <c r="S123" s="556"/>
      <c r="T123" s="556"/>
      <c r="U123" s="556"/>
      <c r="V123" s="556"/>
      <c r="W123" s="556"/>
      <c r="X123" s="556"/>
      <c r="Y123" s="556"/>
      <c r="Z123" s="556"/>
      <c r="AA123" s="538"/>
      <c r="AB123" s="538"/>
      <c r="AC123" s="538"/>
    </row>
    <row r="124" spans="1:68" ht="14.25" customHeight="1" x14ac:dyDescent="0.25">
      <c r="A124" s="555" t="s">
        <v>98</v>
      </c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56"/>
      <c r="P124" s="556"/>
      <c r="Q124" s="556"/>
      <c r="R124" s="556"/>
      <c r="S124" s="556"/>
      <c r="T124" s="556"/>
      <c r="U124" s="556"/>
      <c r="V124" s="556"/>
      <c r="W124" s="556"/>
      <c r="X124" s="556"/>
      <c r="Y124" s="556"/>
      <c r="Z124" s="556"/>
      <c r="AA124" s="539"/>
      <c r="AB124" s="539"/>
      <c r="AC124" s="539"/>
    </row>
    <row r="125" spans="1:68" ht="27" customHeight="1" x14ac:dyDescent="0.25">
      <c r="A125" s="54" t="s">
        <v>218</v>
      </c>
      <c r="B125" s="54" t="s">
        <v>219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68</v>
      </c>
      <c r="X125" s="543">
        <v>48</v>
      </c>
      <c r="Y125" s="544">
        <f>IFERROR(IF(X125="",0,CEILING((X125/$H125),1)*$H125),"")</f>
        <v>48</v>
      </c>
      <c r="Z125" s="36">
        <f>IFERROR(IF(Y125=0,"",ROUNDUP(Y125/H125,0)*0.00651),"")</f>
        <v>9.7650000000000001E-2</v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50.7</v>
      </c>
      <c r="BN125" s="64">
        <f>IFERROR(Y125*I125/H125,"0")</f>
        <v>50.7</v>
      </c>
      <c r="BO125" s="64">
        <f>IFERROR(1/J125*(X125/H125),"0")</f>
        <v>8.241758241758243E-2</v>
      </c>
      <c r="BP125" s="64">
        <f>IFERROR(1/J125*(Y125/H125),"0")</f>
        <v>8.241758241758243E-2</v>
      </c>
    </row>
    <row r="126" spans="1:68" ht="27" customHeight="1" x14ac:dyDescent="0.25">
      <c r="A126" s="54" t="s">
        <v>218</v>
      </c>
      <c r="B126" s="54" t="s">
        <v>221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6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56"/>
      <c r="C127" s="556"/>
      <c r="D127" s="556"/>
      <c r="E127" s="556"/>
      <c r="F127" s="556"/>
      <c r="G127" s="556"/>
      <c r="H127" s="556"/>
      <c r="I127" s="556"/>
      <c r="J127" s="556"/>
      <c r="K127" s="556"/>
      <c r="L127" s="556"/>
      <c r="M127" s="556"/>
      <c r="N127" s="556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71</v>
      </c>
      <c r="X127" s="545">
        <f>IFERROR(X125/H125,"0")+IFERROR(X126/H126,"0")</f>
        <v>15</v>
      </c>
      <c r="Y127" s="545">
        <f>IFERROR(Y125/H125,"0")+IFERROR(Y126/H126,"0")</f>
        <v>15</v>
      </c>
      <c r="Z127" s="545">
        <f>IFERROR(IF(Z125="",0,Z125),"0")+IFERROR(IF(Z126="",0,Z126),"0")</f>
        <v>9.7650000000000001E-2</v>
      </c>
      <c r="AA127" s="546"/>
      <c r="AB127" s="546"/>
      <c r="AC127" s="546"/>
    </row>
    <row r="128" spans="1:68" x14ac:dyDescent="0.2">
      <c r="A128" s="556"/>
      <c r="B128" s="556"/>
      <c r="C128" s="556"/>
      <c r="D128" s="556"/>
      <c r="E128" s="556"/>
      <c r="F128" s="556"/>
      <c r="G128" s="556"/>
      <c r="H128" s="556"/>
      <c r="I128" s="556"/>
      <c r="J128" s="556"/>
      <c r="K128" s="556"/>
      <c r="L128" s="556"/>
      <c r="M128" s="556"/>
      <c r="N128" s="556"/>
      <c r="O128" s="570"/>
      <c r="P128" s="557" t="s">
        <v>70</v>
      </c>
      <c r="Q128" s="558"/>
      <c r="R128" s="558"/>
      <c r="S128" s="558"/>
      <c r="T128" s="558"/>
      <c r="U128" s="558"/>
      <c r="V128" s="559"/>
      <c r="W128" s="37" t="s">
        <v>68</v>
      </c>
      <c r="X128" s="545">
        <f>IFERROR(SUM(X125:X126),"0")</f>
        <v>48</v>
      </c>
      <c r="Y128" s="545">
        <f>IFERROR(SUM(Y125:Y126),"0")</f>
        <v>48</v>
      </c>
      <c r="Z128" s="37"/>
      <c r="AA128" s="546"/>
      <c r="AB128" s="546"/>
      <c r="AC128" s="546"/>
    </row>
    <row r="129" spans="1:68" ht="14.25" customHeight="1" x14ac:dyDescent="0.25">
      <c r="A129" s="555" t="s">
        <v>63</v>
      </c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56"/>
      <c r="P129" s="556"/>
      <c r="Q129" s="556"/>
      <c r="R129" s="556"/>
      <c r="S129" s="556"/>
      <c r="T129" s="556"/>
      <c r="U129" s="556"/>
      <c r="V129" s="556"/>
      <c r="W129" s="556"/>
      <c r="X129" s="556"/>
      <c r="Y129" s="556"/>
      <c r="Z129" s="556"/>
      <c r="AA129" s="539"/>
      <c r="AB129" s="539"/>
      <c r="AC129" s="539"/>
    </row>
    <row r="130" spans="1:68" ht="27" customHeight="1" x14ac:dyDescent="0.25">
      <c r="A130" s="54" t="s">
        <v>222</v>
      </c>
      <c r="B130" s="54" t="s">
        <v>223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79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68</v>
      </c>
      <c r="X131" s="543">
        <v>17.5</v>
      </c>
      <c r="Y131" s="544">
        <f>IFERROR(IF(X131="",0,CEILING((X131/$H131),1)*$H131),"")</f>
        <v>19.599999999999998</v>
      </c>
      <c r="Z131" s="36">
        <f>IFERROR(IF(Y131=0,"",ROUNDUP(Y131/H131,0)*0.00651),"")</f>
        <v>4.5569999999999999E-2</v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19.175000000000001</v>
      </c>
      <c r="BN131" s="64">
        <f>IFERROR(Y131*I131/H131,"0")</f>
        <v>21.475999999999999</v>
      </c>
      <c r="BO131" s="64">
        <f>IFERROR(1/J131*(X131/H131),"0")</f>
        <v>3.4340659340659344E-2</v>
      </c>
      <c r="BP131" s="64">
        <f>IFERROR(1/J131*(Y131/H131),"0")</f>
        <v>3.8461538461538464E-2</v>
      </c>
    </row>
    <row r="132" spans="1:68" x14ac:dyDescent="0.2">
      <c r="A132" s="569"/>
      <c r="B132" s="556"/>
      <c r="C132" s="556"/>
      <c r="D132" s="556"/>
      <c r="E132" s="556"/>
      <c r="F132" s="556"/>
      <c r="G132" s="556"/>
      <c r="H132" s="556"/>
      <c r="I132" s="556"/>
      <c r="J132" s="556"/>
      <c r="K132" s="556"/>
      <c r="L132" s="556"/>
      <c r="M132" s="556"/>
      <c r="N132" s="556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45">
        <f>IFERROR(X130/H130,"0")+IFERROR(X131/H131,"0")</f>
        <v>6.25</v>
      </c>
      <c r="Y132" s="545">
        <f>IFERROR(Y130/H130,"0")+IFERROR(Y131/H131,"0")</f>
        <v>7</v>
      </c>
      <c r="Z132" s="545">
        <f>IFERROR(IF(Z130="",0,Z130),"0")+IFERROR(IF(Z131="",0,Z131),"0")</f>
        <v>4.5569999999999999E-2</v>
      </c>
      <c r="AA132" s="546"/>
      <c r="AB132" s="546"/>
      <c r="AC132" s="546"/>
    </row>
    <row r="133" spans="1:68" x14ac:dyDescent="0.2">
      <c r="A133" s="556"/>
      <c r="B133" s="556"/>
      <c r="C133" s="556"/>
      <c r="D133" s="556"/>
      <c r="E133" s="556"/>
      <c r="F133" s="556"/>
      <c r="G133" s="556"/>
      <c r="H133" s="556"/>
      <c r="I133" s="556"/>
      <c r="J133" s="556"/>
      <c r="K133" s="556"/>
      <c r="L133" s="556"/>
      <c r="M133" s="556"/>
      <c r="N133" s="556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45">
        <f>IFERROR(SUM(X130:X131),"0")</f>
        <v>17.5</v>
      </c>
      <c r="Y133" s="545">
        <f>IFERROR(SUM(Y130:Y131),"0")</f>
        <v>19.599999999999998</v>
      </c>
      <c r="Z133" s="37"/>
      <c r="AA133" s="546"/>
      <c r="AB133" s="546"/>
      <c r="AC133" s="546"/>
    </row>
    <row r="134" spans="1:68" ht="14.25" customHeight="1" x14ac:dyDescent="0.25">
      <c r="A134" s="555" t="s">
        <v>72</v>
      </c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56"/>
      <c r="P134" s="556"/>
      <c r="Q134" s="556"/>
      <c r="R134" s="556"/>
      <c r="S134" s="556"/>
      <c r="T134" s="556"/>
      <c r="U134" s="556"/>
      <c r="V134" s="556"/>
      <c r="W134" s="556"/>
      <c r="X134" s="556"/>
      <c r="Y134" s="556"/>
      <c r="Z134" s="556"/>
      <c r="AA134" s="539"/>
      <c r="AB134" s="539"/>
      <c r="AC134" s="539"/>
    </row>
    <row r="135" spans="1:68" ht="16.5" customHeight="1" x14ac:dyDescent="0.25">
      <c r="A135" s="54" t="s">
        <v>226</v>
      </c>
      <c r="B135" s="54" t="s">
        <v>227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2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226</v>
      </c>
      <c r="B136" s="54" t="s">
        <v>228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5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68</v>
      </c>
      <c r="X136" s="543">
        <v>66</v>
      </c>
      <c r="Y136" s="544">
        <f>IFERROR(IF(X136="",0,CEILING((X136/$H136),1)*$H136),"")</f>
        <v>66</v>
      </c>
      <c r="Z136" s="36">
        <f>IFERROR(IF(Y136=0,"",ROUNDUP(Y136/H136,0)*0.00651),"")</f>
        <v>0.16275000000000001</v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72.699999999999989</v>
      </c>
      <c r="BN136" s="64">
        <f>IFERROR(Y136*I136/H136,"0")</f>
        <v>72.699999999999989</v>
      </c>
      <c r="BO136" s="64">
        <f>IFERROR(1/J136*(X136/H136),"0")</f>
        <v>0.13736263736263737</v>
      </c>
      <c r="BP136" s="64">
        <f>IFERROR(1/J136*(Y136/H136),"0")</f>
        <v>0.13736263736263737</v>
      </c>
    </row>
    <row r="137" spans="1:68" x14ac:dyDescent="0.2">
      <c r="A137" s="569"/>
      <c r="B137" s="556"/>
      <c r="C137" s="556"/>
      <c r="D137" s="556"/>
      <c r="E137" s="556"/>
      <c r="F137" s="556"/>
      <c r="G137" s="556"/>
      <c r="H137" s="556"/>
      <c r="I137" s="556"/>
      <c r="J137" s="556"/>
      <c r="K137" s="556"/>
      <c r="L137" s="556"/>
      <c r="M137" s="556"/>
      <c r="N137" s="556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45">
        <f>IFERROR(X135/H135,"0")+IFERROR(X136/H136,"0")</f>
        <v>25</v>
      </c>
      <c r="Y137" s="545">
        <f>IFERROR(Y135/H135,"0")+IFERROR(Y136/H136,"0")</f>
        <v>25</v>
      </c>
      <c r="Z137" s="545">
        <f>IFERROR(IF(Z135="",0,Z135),"0")+IFERROR(IF(Z136="",0,Z136),"0")</f>
        <v>0.16275000000000001</v>
      </c>
      <c r="AA137" s="546"/>
      <c r="AB137" s="546"/>
      <c r="AC137" s="546"/>
    </row>
    <row r="138" spans="1:68" x14ac:dyDescent="0.2">
      <c r="A138" s="556"/>
      <c r="B138" s="556"/>
      <c r="C138" s="556"/>
      <c r="D138" s="556"/>
      <c r="E138" s="556"/>
      <c r="F138" s="556"/>
      <c r="G138" s="556"/>
      <c r="H138" s="556"/>
      <c r="I138" s="556"/>
      <c r="J138" s="556"/>
      <c r="K138" s="556"/>
      <c r="L138" s="556"/>
      <c r="M138" s="556"/>
      <c r="N138" s="556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45">
        <f>IFERROR(SUM(X135:X136),"0")</f>
        <v>66</v>
      </c>
      <c r="Y138" s="545">
        <f>IFERROR(SUM(Y135:Y136),"0")</f>
        <v>66</v>
      </c>
      <c r="Z138" s="37"/>
      <c r="AA138" s="546"/>
      <c r="AB138" s="546"/>
      <c r="AC138" s="546"/>
    </row>
    <row r="139" spans="1:68" ht="16.5" customHeight="1" x14ac:dyDescent="0.25">
      <c r="A139" s="562" t="s">
        <v>96</v>
      </c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56"/>
      <c r="P139" s="556"/>
      <c r="Q139" s="556"/>
      <c r="R139" s="556"/>
      <c r="S139" s="556"/>
      <c r="T139" s="556"/>
      <c r="U139" s="556"/>
      <c r="V139" s="556"/>
      <c r="W139" s="556"/>
      <c r="X139" s="556"/>
      <c r="Y139" s="556"/>
      <c r="Z139" s="556"/>
      <c r="AA139" s="538"/>
      <c r="AB139" s="538"/>
      <c r="AC139" s="538"/>
    </row>
    <row r="140" spans="1:68" ht="14.25" customHeight="1" x14ac:dyDescent="0.25">
      <c r="A140" s="555" t="s">
        <v>98</v>
      </c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56"/>
      <c r="P140" s="556"/>
      <c r="Q140" s="556"/>
      <c r="R140" s="556"/>
      <c r="S140" s="556"/>
      <c r="T140" s="556"/>
      <c r="U140" s="556"/>
      <c r="V140" s="556"/>
      <c r="W140" s="556"/>
      <c r="X140" s="556"/>
      <c r="Y140" s="556"/>
      <c r="Z140" s="556"/>
      <c r="AA140" s="539"/>
      <c r="AB140" s="539"/>
      <c r="AC140" s="539"/>
    </row>
    <row r="141" spans="1:68" ht="27" customHeight="1" x14ac:dyDescent="0.25">
      <c r="A141" s="54" t="s">
        <v>229</v>
      </c>
      <c r="B141" s="54" t="s">
        <v>230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232</v>
      </c>
      <c r="B142" s="54" t="s">
        <v>233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73" t="s">
        <v>234</v>
      </c>
      <c r="Q142" s="550"/>
      <c r="R142" s="550"/>
      <c r="S142" s="550"/>
      <c r="T142" s="551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56"/>
      <c r="C143" s="556"/>
      <c r="D143" s="556"/>
      <c r="E143" s="556"/>
      <c r="F143" s="556"/>
      <c r="G143" s="556"/>
      <c r="H143" s="556"/>
      <c r="I143" s="556"/>
      <c r="J143" s="556"/>
      <c r="K143" s="556"/>
      <c r="L143" s="556"/>
      <c r="M143" s="556"/>
      <c r="N143" s="556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6"/>
      <c r="B144" s="556"/>
      <c r="C144" s="556"/>
      <c r="D144" s="556"/>
      <c r="E144" s="556"/>
      <c r="F144" s="556"/>
      <c r="G144" s="556"/>
      <c r="H144" s="556"/>
      <c r="I144" s="556"/>
      <c r="J144" s="556"/>
      <c r="K144" s="556"/>
      <c r="L144" s="556"/>
      <c r="M144" s="556"/>
      <c r="N144" s="556"/>
      <c r="O144" s="570"/>
      <c r="P144" s="557" t="s">
        <v>70</v>
      </c>
      <c r="Q144" s="558"/>
      <c r="R144" s="558"/>
      <c r="S144" s="558"/>
      <c r="T144" s="558"/>
      <c r="U144" s="558"/>
      <c r="V144" s="559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5" t="s">
        <v>63</v>
      </c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56"/>
      <c r="P145" s="556"/>
      <c r="Q145" s="556"/>
      <c r="R145" s="556"/>
      <c r="S145" s="556"/>
      <c r="T145" s="556"/>
      <c r="U145" s="556"/>
      <c r="V145" s="556"/>
      <c r="W145" s="556"/>
      <c r="X145" s="556"/>
      <c r="Y145" s="556"/>
      <c r="Z145" s="556"/>
      <c r="AA145" s="539"/>
      <c r="AB145" s="539"/>
      <c r="AC145" s="539"/>
    </row>
    <row r="146" spans="1:68" ht="16.5" customHeight="1" x14ac:dyDescent="0.25">
      <c r="A146" s="54" t="s">
        <v>236</v>
      </c>
      <c r="B146" s="54" t="s">
        <v>237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239</v>
      </c>
      <c r="B147" s="54" t="s">
        <v>240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242</v>
      </c>
      <c r="B148" s="54" t="s">
        <v>243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56"/>
      <c r="C149" s="556"/>
      <c r="D149" s="556"/>
      <c r="E149" s="556"/>
      <c r="F149" s="556"/>
      <c r="G149" s="556"/>
      <c r="H149" s="556"/>
      <c r="I149" s="556"/>
      <c r="J149" s="556"/>
      <c r="K149" s="556"/>
      <c r="L149" s="556"/>
      <c r="M149" s="556"/>
      <c r="N149" s="556"/>
      <c r="O149" s="570"/>
      <c r="P149" s="557" t="s">
        <v>70</v>
      </c>
      <c r="Q149" s="558"/>
      <c r="R149" s="558"/>
      <c r="S149" s="558"/>
      <c r="T149" s="558"/>
      <c r="U149" s="558"/>
      <c r="V149" s="559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6"/>
      <c r="B150" s="556"/>
      <c r="C150" s="556"/>
      <c r="D150" s="556"/>
      <c r="E150" s="556"/>
      <c r="F150" s="556"/>
      <c r="G150" s="556"/>
      <c r="H150" s="556"/>
      <c r="I150" s="556"/>
      <c r="J150" s="556"/>
      <c r="K150" s="556"/>
      <c r="L150" s="556"/>
      <c r="M150" s="556"/>
      <c r="N150" s="556"/>
      <c r="O150" s="570"/>
      <c r="P150" s="557" t="s">
        <v>70</v>
      </c>
      <c r="Q150" s="558"/>
      <c r="R150" s="558"/>
      <c r="S150" s="558"/>
      <c r="T150" s="558"/>
      <c r="U150" s="558"/>
      <c r="V150" s="559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6" t="s">
        <v>245</v>
      </c>
      <c r="B151" s="607"/>
      <c r="C151" s="607"/>
      <c r="D151" s="607"/>
      <c r="E151" s="607"/>
      <c r="F151" s="607"/>
      <c r="G151" s="607"/>
      <c r="H151" s="607"/>
      <c r="I151" s="607"/>
      <c r="J151" s="607"/>
      <c r="K151" s="607"/>
      <c r="L151" s="607"/>
      <c r="M151" s="607"/>
      <c r="N151" s="607"/>
      <c r="O151" s="607"/>
      <c r="P151" s="607"/>
      <c r="Q151" s="607"/>
      <c r="R151" s="607"/>
      <c r="S151" s="607"/>
      <c r="T151" s="607"/>
      <c r="U151" s="607"/>
      <c r="V151" s="607"/>
      <c r="W151" s="607"/>
      <c r="X151" s="607"/>
      <c r="Y151" s="607"/>
      <c r="Z151" s="607"/>
      <c r="AA151" s="48"/>
      <c r="AB151" s="48"/>
      <c r="AC151" s="48"/>
    </row>
    <row r="152" spans="1:68" ht="16.5" customHeight="1" x14ac:dyDescent="0.25">
      <c r="A152" s="562" t="s">
        <v>246</v>
      </c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56"/>
      <c r="P152" s="556"/>
      <c r="Q152" s="556"/>
      <c r="R152" s="556"/>
      <c r="S152" s="556"/>
      <c r="T152" s="556"/>
      <c r="U152" s="556"/>
      <c r="V152" s="556"/>
      <c r="W152" s="556"/>
      <c r="X152" s="556"/>
      <c r="Y152" s="556"/>
      <c r="Z152" s="556"/>
      <c r="AA152" s="538"/>
      <c r="AB152" s="538"/>
      <c r="AC152" s="538"/>
    </row>
    <row r="153" spans="1:68" ht="14.25" customHeight="1" x14ac:dyDescent="0.25">
      <c r="A153" s="555" t="s">
        <v>130</v>
      </c>
      <c r="B153" s="556"/>
      <c r="C153" s="556"/>
      <c r="D153" s="556"/>
      <c r="E153" s="556"/>
      <c r="F153" s="556"/>
      <c r="G153" s="556"/>
      <c r="H153" s="556"/>
      <c r="I153" s="556"/>
      <c r="J153" s="556"/>
      <c r="K153" s="556"/>
      <c r="L153" s="556"/>
      <c r="M153" s="556"/>
      <c r="N153" s="556"/>
      <c r="O153" s="556"/>
      <c r="P153" s="556"/>
      <c r="Q153" s="556"/>
      <c r="R153" s="556"/>
      <c r="S153" s="556"/>
      <c r="T153" s="556"/>
      <c r="U153" s="556"/>
      <c r="V153" s="556"/>
      <c r="W153" s="556"/>
      <c r="X153" s="556"/>
      <c r="Y153" s="556"/>
      <c r="Z153" s="556"/>
      <c r="AA153" s="539"/>
      <c r="AB153" s="539"/>
      <c r="AC153" s="539"/>
    </row>
    <row r="154" spans="1:68" ht="27" customHeight="1" x14ac:dyDescent="0.25">
      <c r="A154" s="54" t="s">
        <v>247</v>
      </c>
      <c r="B154" s="54" t="s">
        <v>248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70"/>
      <c r="P155" s="557" t="s">
        <v>70</v>
      </c>
      <c r="Q155" s="558"/>
      <c r="R155" s="558"/>
      <c r="S155" s="558"/>
      <c r="T155" s="558"/>
      <c r="U155" s="558"/>
      <c r="V155" s="559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6"/>
      <c r="B156" s="556"/>
      <c r="C156" s="556"/>
      <c r="D156" s="556"/>
      <c r="E156" s="556"/>
      <c r="F156" s="556"/>
      <c r="G156" s="556"/>
      <c r="H156" s="556"/>
      <c r="I156" s="556"/>
      <c r="J156" s="556"/>
      <c r="K156" s="556"/>
      <c r="L156" s="556"/>
      <c r="M156" s="556"/>
      <c r="N156" s="556"/>
      <c r="O156" s="570"/>
      <c r="P156" s="557" t="s">
        <v>70</v>
      </c>
      <c r="Q156" s="558"/>
      <c r="R156" s="558"/>
      <c r="S156" s="558"/>
      <c r="T156" s="558"/>
      <c r="U156" s="558"/>
      <c r="V156" s="559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5" t="s">
        <v>63</v>
      </c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56"/>
      <c r="P157" s="556"/>
      <c r="Q157" s="556"/>
      <c r="R157" s="556"/>
      <c r="S157" s="556"/>
      <c r="T157" s="556"/>
      <c r="U157" s="556"/>
      <c r="V157" s="556"/>
      <c r="W157" s="556"/>
      <c r="X157" s="556"/>
      <c r="Y157" s="556"/>
      <c r="Z157" s="556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68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253</v>
      </c>
      <c r="B159" s="54" t="s">
        <v>254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68</v>
      </c>
      <c r="X159" s="543">
        <v>50</v>
      </c>
      <c r="Y159" s="544">
        <f t="shared" si="5"/>
        <v>50.400000000000006</v>
      </c>
      <c r="Z159" s="36">
        <f>IFERROR(IF(Y159=0,"",ROUNDUP(Y159/H159,0)*0.00902),"")</f>
        <v>0.10824</v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53.214285714285715</v>
      </c>
      <c r="BN159" s="64">
        <f t="shared" si="7"/>
        <v>53.64</v>
      </c>
      <c r="BO159" s="64">
        <f t="shared" si="8"/>
        <v>9.0187590187590191E-2</v>
      </c>
      <c r="BP159" s="64">
        <f t="shared" si="9"/>
        <v>9.0909090909090912E-2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68</v>
      </c>
      <c r="X160" s="543">
        <v>100</v>
      </c>
      <c r="Y160" s="544">
        <f t="shared" si="5"/>
        <v>100.80000000000001</v>
      </c>
      <c r="Z160" s="36">
        <f>IFERROR(IF(Y160=0,"",ROUNDUP(Y160/H160,0)*0.00902),"")</f>
        <v>0.21648000000000001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105</v>
      </c>
      <c r="BN160" s="64">
        <f t="shared" si="7"/>
        <v>105.84000000000002</v>
      </c>
      <c r="BO160" s="64">
        <f t="shared" si="8"/>
        <v>0.18037518037518038</v>
      </c>
      <c r="BP160" s="64">
        <f t="shared" si="9"/>
        <v>0.18181818181818182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68</v>
      </c>
      <c r="X161" s="543">
        <v>0</v>
      </c>
      <c r="Y161" s="544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261</v>
      </c>
      <c r="B162" s="54" t="s">
        <v>262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68</v>
      </c>
      <c r="X162" s="543">
        <v>70</v>
      </c>
      <c r="Y162" s="544">
        <f t="shared" si="5"/>
        <v>71.400000000000006</v>
      </c>
      <c r="Z162" s="36">
        <f>IFERROR(IF(Y162=0,"",ROUNDUP(Y162/H162,0)*0.00502),"")</f>
        <v>0.17068</v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74.333333333333329</v>
      </c>
      <c r="BN162" s="64">
        <f t="shared" si="7"/>
        <v>75.820000000000007</v>
      </c>
      <c r="BO162" s="64">
        <f t="shared" si="8"/>
        <v>0.14245014245014245</v>
      </c>
      <c r="BP162" s="64">
        <f t="shared" si="9"/>
        <v>0.14529914529914531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68</v>
      </c>
      <c r="X163" s="543">
        <v>0</v>
      </c>
      <c r="Y163" s="544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266</v>
      </c>
      <c r="B164" s="54" t="s">
        <v>267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68</v>
      </c>
      <c r="X164" s="543">
        <v>175</v>
      </c>
      <c r="Y164" s="544">
        <f t="shared" si="5"/>
        <v>176.4</v>
      </c>
      <c r="Z164" s="36">
        <f>IFERROR(IF(Y164=0,"",ROUNDUP(Y164/H164,0)*0.00502),"")</f>
        <v>0.42168</v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183.33333333333334</v>
      </c>
      <c r="BN164" s="64">
        <f t="shared" si="7"/>
        <v>184.8</v>
      </c>
      <c r="BO164" s="64">
        <f t="shared" si="8"/>
        <v>0.35612535612535612</v>
      </c>
      <c r="BP164" s="64">
        <f t="shared" si="9"/>
        <v>0.35897435897435903</v>
      </c>
    </row>
    <row r="165" spans="1:68" ht="27" customHeight="1" x14ac:dyDescent="0.25">
      <c r="A165" s="54" t="s">
        <v>268</v>
      </c>
      <c r="B165" s="54" t="s">
        <v>269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56"/>
      <c r="C167" s="556"/>
      <c r="D167" s="556"/>
      <c r="E167" s="556"/>
      <c r="F167" s="556"/>
      <c r="G167" s="556"/>
      <c r="H167" s="556"/>
      <c r="I167" s="556"/>
      <c r="J167" s="556"/>
      <c r="K167" s="556"/>
      <c r="L167" s="556"/>
      <c r="M167" s="556"/>
      <c r="N167" s="556"/>
      <c r="O167" s="570"/>
      <c r="P167" s="557" t="s">
        <v>70</v>
      </c>
      <c r="Q167" s="558"/>
      <c r="R167" s="558"/>
      <c r="S167" s="558"/>
      <c r="T167" s="558"/>
      <c r="U167" s="558"/>
      <c r="V167" s="559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152.38095238095235</v>
      </c>
      <c r="Y167" s="545">
        <f>IFERROR(Y158/H158,"0")+IFERROR(Y159/H159,"0")+IFERROR(Y160/H160,"0")+IFERROR(Y161/H161,"0")+IFERROR(Y162/H162,"0")+IFERROR(Y163/H163,"0")+IFERROR(Y164/H164,"0")+IFERROR(Y165/H165,"0")+IFERROR(Y166/H166,"0")</f>
        <v>154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0.91708000000000001</v>
      </c>
      <c r="AA167" s="546"/>
      <c r="AB167" s="546"/>
      <c r="AC167" s="546"/>
    </row>
    <row r="168" spans="1:68" x14ac:dyDescent="0.2">
      <c r="A168" s="556"/>
      <c r="B168" s="556"/>
      <c r="C168" s="556"/>
      <c r="D168" s="556"/>
      <c r="E168" s="556"/>
      <c r="F168" s="556"/>
      <c r="G168" s="556"/>
      <c r="H168" s="556"/>
      <c r="I168" s="556"/>
      <c r="J168" s="556"/>
      <c r="K168" s="556"/>
      <c r="L168" s="556"/>
      <c r="M168" s="556"/>
      <c r="N168" s="556"/>
      <c r="O168" s="570"/>
      <c r="P168" s="557" t="s">
        <v>70</v>
      </c>
      <c r="Q168" s="558"/>
      <c r="R168" s="558"/>
      <c r="S168" s="558"/>
      <c r="T168" s="558"/>
      <c r="U168" s="558"/>
      <c r="V168" s="559"/>
      <c r="W168" s="37" t="s">
        <v>68</v>
      </c>
      <c r="X168" s="545">
        <f>IFERROR(SUM(X158:X166),"0")</f>
        <v>395</v>
      </c>
      <c r="Y168" s="545">
        <f>IFERROR(SUM(Y158:Y166),"0")</f>
        <v>399</v>
      </c>
      <c r="Z168" s="37"/>
      <c r="AA168" s="546"/>
      <c r="AB168" s="546"/>
      <c r="AC168" s="546"/>
    </row>
    <row r="169" spans="1:68" ht="14.25" customHeight="1" x14ac:dyDescent="0.25">
      <c r="A169" s="555" t="s">
        <v>90</v>
      </c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56"/>
      <c r="P169" s="556"/>
      <c r="Q169" s="556"/>
      <c r="R169" s="556"/>
      <c r="S169" s="556"/>
      <c r="T169" s="556"/>
      <c r="U169" s="556"/>
      <c r="V169" s="556"/>
      <c r="W169" s="556"/>
      <c r="X169" s="556"/>
      <c r="Y169" s="556"/>
      <c r="Z169" s="556"/>
      <c r="AA169" s="539"/>
      <c r="AB169" s="539"/>
      <c r="AC169" s="539"/>
    </row>
    <row r="170" spans="1:68" ht="27" customHeight="1" x14ac:dyDescent="0.25">
      <c r="A170" s="54" t="s">
        <v>273</v>
      </c>
      <c r="B170" s="54" t="s">
        <v>274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68</v>
      </c>
      <c r="X170" s="543">
        <v>10.5</v>
      </c>
      <c r="Y170" s="544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12.083333333333332</v>
      </c>
      <c r="BN170" s="64">
        <f>IFERROR(Y170*I170/H170,"0")</f>
        <v>13.049999999999999</v>
      </c>
      <c r="BO170" s="64">
        <f>IFERROR(1/J170*(X170/H170),"0")</f>
        <v>3.8580246913580245E-2</v>
      </c>
      <c r="BP170" s="64">
        <f>IFERROR(1/J170*(Y170/H170),"0")</f>
        <v>4.1666666666666664E-2</v>
      </c>
    </row>
    <row r="171" spans="1:68" ht="27" customHeight="1" x14ac:dyDescent="0.25">
      <c r="A171" s="54" t="s">
        <v>278</v>
      </c>
      <c r="B171" s="54" t="s">
        <v>279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2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7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68</v>
      </c>
      <c r="X172" s="543">
        <v>17.5</v>
      </c>
      <c r="Y172" s="544">
        <f>IFERROR(IF(X172="",0,CEILING((X172/$H172),1)*$H172),"")</f>
        <v>17.64</v>
      </c>
      <c r="Z172" s="36">
        <f>IFERROR(IF(Y172=0,"",ROUNDUP(Y172/H172,0)*0.0059),"")</f>
        <v>8.2599999999999993E-2</v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20.138888888888889</v>
      </c>
      <c r="BN172" s="64">
        <f>IFERROR(Y172*I172/H172,"0")</f>
        <v>20.3</v>
      </c>
      <c r="BO172" s="64">
        <f>IFERROR(1/J172*(X172/H172),"0")</f>
        <v>6.4300411522633744E-2</v>
      </c>
      <c r="BP172" s="64">
        <f>IFERROR(1/J172*(Y172/H172),"0")</f>
        <v>6.4814814814814811E-2</v>
      </c>
    </row>
    <row r="173" spans="1:68" x14ac:dyDescent="0.2">
      <c r="A173" s="569"/>
      <c r="B173" s="556"/>
      <c r="C173" s="556"/>
      <c r="D173" s="556"/>
      <c r="E173" s="556"/>
      <c r="F173" s="556"/>
      <c r="G173" s="556"/>
      <c r="H173" s="556"/>
      <c r="I173" s="556"/>
      <c r="J173" s="556"/>
      <c r="K173" s="556"/>
      <c r="L173" s="556"/>
      <c r="M173" s="556"/>
      <c r="N173" s="556"/>
      <c r="O173" s="570"/>
      <c r="P173" s="557" t="s">
        <v>70</v>
      </c>
      <c r="Q173" s="558"/>
      <c r="R173" s="558"/>
      <c r="S173" s="558"/>
      <c r="T173" s="558"/>
      <c r="U173" s="558"/>
      <c r="V173" s="559"/>
      <c r="W173" s="37" t="s">
        <v>71</v>
      </c>
      <c r="X173" s="545">
        <f>IFERROR(X170/H170,"0")+IFERROR(X171/H171,"0")+IFERROR(X172/H172,"0")</f>
        <v>22.222222222222221</v>
      </c>
      <c r="Y173" s="545">
        <f>IFERROR(Y170/H170,"0")+IFERROR(Y171/H171,"0")+IFERROR(Y172/H172,"0")</f>
        <v>23</v>
      </c>
      <c r="Z173" s="545">
        <f>IFERROR(IF(Z170="",0,Z170),"0")+IFERROR(IF(Z171="",0,Z171),"0")+IFERROR(IF(Z172="",0,Z172),"0")</f>
        <v>0.13569999999999999</v>
      </c>
      <c r="AA173" s="546"/>
      <c r="AB173" s="546"/>
      <c r="AC173" s="546"/>
    </row>
    <row r="174" spans="1:68" x14ac:dyDescent="0.2">
      <c r="A174" s="556"/>
      <c r="B174" s="556"/>
      <c r="C174" s="556"/>
      <c r="D174" s="556"/>
      <c r="E174" s="556"/>
      <c r="F174" s="556"/>
      <c r="G174" s="556"/>
      <c r="H174" s="556"/>
      <c r="I174" s="556"/>
      <c r="J174" s="556"/>
      <c r="K174" s="556"/>
      <c r="L174" s="556"/>
      <c r="M174" s="556"/>
      <c r="N174" s="556"/>
      <c r="O174" s="570"/>
      <c r="P174" s="557" t="s">
        <v>70</v>
      </c>
      <c r="Q174" s="558"/>
      <c r="R174" s="558"/>
      <c r="S174" s="558"/>
      <c r="T174" s="558"/>
      <c r="U174" s="558"/>
      <c r="V174" s="559"/>
      <c r="W174" s="37" t="s">
        <v>68</v>
      </c>
      <c r="X174" s="545">
        <f>IFERROR(SUM(X170:X172),"0")</f>
        <v>28</v>
      </c>
      <c r="Y174" s="545">
        <f>IFERROR(SUM(Y170:Y172),"0")</f>
        <v>28.98</v>
      </c>
      <c r="Z174" s="37"/>
      <c r="AA174" s="546"/>
      <c r="AB174" s="546"/>
      <c r="AC174" s="546"/>
    </row>
    <row r="175" spans="1:68" ht="14.25" customHeight="1" x14ac:dyDescent="0.25">
      <c r="A175" s="555" t="s">
        <v>283</v>
      </c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56"/>
      <c r="P175" s="556"/>
      <c r="Q175" s="556"/>
      <c r="R175" s="556"/>
      <c r="S175" s="556"/>
      <c r="T175" s="556"/>
      <c r="U175" s="556"/>
      <c r="V175" s="556"/>
      <c r="W175" s="556"/>
      <c r="X175" s="556"/>
      <c r="Y175" s="556"/>
      <c r="Z175" s="556"/>
      <c r="AA175" s="539"/>
      <c r="AB175" s="539"/>
      <c r="AC175" s="539"/>
    </row>
    <row r="176" spans="1:68" ht="27" customHeight="1" x14ac:dyDescent="0.25">
      <c r="A176" s="54" t="s">
        <v>284</v>
      </c>
      <c r="B176" s="54" t="s">
        <v>285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80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68</v>
      </c>
      <c r="X176" s="543">
        <v>10.5</v>
      </c>
      <c r="Y176" s="544">
        <f>IFERROR(IF(X176="",0,CEILING((X176/$H176),1)*$H176),"")</f>
        <v>11.34</v>
      </c>
      <c r="Z176" s="36">
        <f>IFERROR(IF(Y176=0,"",ROUNDUP(Y176/H176,0)*0.0059),"")</f>
        <v>5.3100000000000001E-2</v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12.083333333333332</v>
      </c>
      <c r="BN176" s="64">
        <f>IFERROR(Y176*I176/H176,"0")</f>
        <v>13.049999999999999</v>
      </c>
      <c r="BO176" s="64">
        <f>IFERROR(1/J176*(X176/H176),"0")</f>
        <v>3.8580246913580245E-2</v>
      </c>
      <c r="BP176" s="64">
        <f>IFERROR(1/J176*(Y176/H176),"0")</f>
        <v>4.1666666666666664E-2</v>
      </c>
    </row>
    <row r="177" spans="1:68" x14ac:dyDescent="0.2">
      <c r="A177" s="569"/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45">
        <f>IFERROR(X176/H176,"0")</f>
        <v>8.3333333333333339</v>
      </c>
      <c r="Y177" s="545">
        <f>IFERROR(Y176/H176,"0")</f>
        <v>9</v>
      </c>
      <c r="Z177" s="545">
        <f>IFERROR(IF(Z176="",0,Z176),"0")</f>
        <v>5.3100000000000001E-2</v>
      </c>
      <c r="AA177" s="546"/>
      <c r="AB177" s="546"/>
      <c r="AC177" s="546"/>
    </row>
    <row r="178" spans="1:68" x14ac:dyDescent="0.2">
      <c r="A178" s="556"/>
      <c r="B178" s="556"/>
      <c r="C178" s="556"/>
      <c r="D178" s="556"/>
      <c r="E178" s="556"/>
      <c r="F178" s="556"/>
      <c r="G178" s="556"/>
      <c r="H178" s="556"/>
      <c r="I178" s="556"/>
      <c r="J178" s="556"/>
      <c r="K178" s="556"/>
      <c r="L178" s="556"/>
      <c r="M178" s="556"/>
      <c r="N178" s="556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45">
        <f>IFERROR(SUM(X176:X176),"0")</f>
        <v>10.5</v>
      </c>
      <c r="Y178" s="545">
        <f>IFERROR(SUM(Y176:Y176),"0")</f>
        <v>11.34</v>
      </c>
      <c r="Z178" s="37"/>
      <c r="AA178" s="546"/>
      <c r="AB178" s="546"/>
      <c r="AC178" s="546"/>
    </row>
    <row r="179" spans="1:68" ht="16.5" customHeight="1" x14ac:dyDescent="0.25">
      <c r="A179" s="562" t="s">
        <v>286</v>
      </c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56"/>
      <c r="P179" s="556"/>
      <c r="Q179" s="556"/>
      <c r="R179" s="556"/>
      <c r="S179" s="556"/>
      <c r="T179" s="556"/>
      <c r="U179" s="556"/>
      <c r="V179" s="556"/>
      <c r="W179" s="556"/>
      <c r="X179" s="556"/>
      <c r="Y179" s="556"/>
      <c r="Z179" s="556"/>
      <c r="AA179" s="538"/>
      <c r="AB179" s="538"/>
      <c r="AC179" s="538"/>
    </row>
    <row r="180" spans="1:68" ht="14.25" customHeight="1" x14ac:dyDescent="0.25">
      <c r="A180" s="555" t="s">
        <v>98</v>
      </c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56"/>
      <c r="P180" s="556"/>
      <c r="Q180" s="556"/>
      <c r="R180" s="556"/>
      <c r="S180" s="556"/>
      <c r="T180" s="556"/>
      <c r="U180" s="556"/>
      <c r="V180" s="556"/>
      <c r="W180" s="556"/>
      <c r="X180" s="556"/>
      <c r="Y180" s="556"/>
      <c r="Z180" s="556"/>
      <c r="AA180" s="539"/>
      <c r="AB180" s="539"/>
      <c r="AC180" s="539"/>
    </row>
    <row r="181" spans="1:68" ht="16.5" customHeight="1" x14ac:dyDescent="0.25">
      <c r="A181" s="54" t="s">
        <v>287</v>
      </c>
      <c r="B181" s="54" t="s">
        <v>288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290</v>
      </c>
      <c r="B182" s="54" t="s">
        <v>291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56"/>
      <c r="C183" s="556"/>
      <c r="D183" s="556"/>
      <c r="E183" s="556"/>
      <c r="F183" s="556"/>
      <c r="G183" s="556"/>
      <c r="H183" s="556"/>
      <c r="I183" s="556"/>
      <c r="J183" s="556"/>
      <c r="K183" s="556"/>
      <c r="L183" s="556"/>
      <c r="M183" s="556"/>
      <c r="N183" s="556"/>
      <c r="O183" s="570"/>
      <c r="P183" s="557" t="s">
        <v>70</v>
      </c>
      <c r="Q183" s="558"/>
      <c r="R183" s="558"/>
      <c r="S183" s="558"/>
      <c r="T183" s="558"/>
      <c r="U183" s="558"/>
      <c r="V183" s="559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6"/>
      <c r="B184" s="556"/>
      <c r="C184" s="556"/>
      <c r="D184" s="556"/>
      <c r="E184" s="556"/>
      <c r="F184" s="556"/>
      <c r="G184" s="556"/>
      <c r="H184" s="556"/>
      <c r="I184" s="556"/>
      <c r="J184" s="556"/>
      <c r="K184" s="556"/>
      <c r="L184" s="556"/>
      <c r="M184" s="556"/>
      <c r="N184" s="556"/>
      <c r="O184" s="570"/>
      <c r="P184" s="557" t="s">
        <v>70</v>
      </c>
      <c r="Q184" s="558"/>
      <c r="R184" s="558"/>
      <c r="S184" s="558"/>
      <c r="T184" s="558"/>
      <c r="U184" s="558"/>
      <c r="V184" s="559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5" t="s">
        <v>130</v>
      </c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56"/>
      <c r="P185" s="556"/>
      <c r="Q185" s="556"/>
      <c r="R185" s="556"/>
      <c r="S185" s="556"/>
      <c r="T185" s="556"/>
      <c r="U185" s="556"/>
      <c r="V185" s="556"/>
      <c r="W185" s="556"/>
      <c r="X185" s="556"/>
      <c r="Y185" s="556"/>
      <c r="Z185" s="556"/>
      <c r="AA185" s="539"/>
      <c r="AB185" s="539"/>
      <c r="AC185" s="539"/>
    </row>
    <row r="186" spans="1:68" ht="16.5" customHeight="1" x14ac:dyDescent="0.25">
      <c r="A186" s="54" t="s">
        <v>292</v>
      </c>
      <c r="B186" s="54" t="s">
        <v>293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295</v>
      </c>
      <c r="B187" s="54" t="s">
        <v>296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56"/>
      <c r="C188" s="556"/>
      <c r="D188" s="556"/>
      <c r="E188" s="556"/>
      <c r="F188" s="556"/>
      <c r="G188" s="556"/>
      <c r="H188" s="556"/>
      <c r="I188" s="556"/>
      <c r="J188" s="556"/>
      <c r="K188" s="556"/>
      <c r="L188" s="556"/>
      <c r="M188" s="556"/>
      <c r="N188" s="556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6"/>
      <c r="B189" s="556"/>
      <c r="C189" s="556"/>
      <c r="D189" s="556"/>
      <c r="E189" s="556"/>
      <c r="F189" s="556"/>
      <c r="G189" s="556"/>
      <c r="H189" s="556"/>
      <c r="I189" s="556"/>
      <c r="J189" s="556"/>
      <c r="K189" s="556"/>
      <c r="L189" s="556"/>
      <c r="M189" s="556"/>
      <c r="N189" s="556"/>
      <c r="O189" s="570"/>
      <c r="P189" s="557" t="s">
        <v>70</v>
      </c>
      <c r="Q189" s="558"/>
      <c r="R189" s="558"/>
      <c r="S189" s="558"/>
      <c r="T189" s="558"/>
      <c r="U189" s="558"/>
      <c r="V189" s="559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5" t="s">
        <v>63</v>
      </c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56"/>
      <c r="P190" s="556"/>
      <c r="Q190" s="556"/>
      <c r="R190" s="556"/>
      <c r="S190" s="556"/>
      <c r="T190" s="556"/>
      <c r="U190" s="556"/>
      <c r="V190" s="556"/>
      <c r="W190" s="556"/>
      <c r="X190" s="556"/>
      <c r="Y190" s="556"/>
      <c r="Z190" s="556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68</v>
      </c>
      <c r="X191" s="543">
        <v>150</v>
      </c>
      <c r="Y191" s="544">
        <f t="shared" ref="Y191:Y198" si="10">IFERROR(IF(X191="",0,CEILING((X191/$H191),1)*$H191),"")</f>
        <v>151.20000000000002</v>
      </c>
      <c r="Z191" s="36">
        <f>IFERROR(IF(Y191=0,"",ROUNDUP(Y191/H191,0)*0.00902),"")</f>
        <v>0.25256000000000001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155.83333333333331</v>
      </c>
      <c r="BN191" s="64">
        <f t="shared" ref="BN191:BN198" si="12">IFERROR(Y191*I191/H191,"0")</f>
        <v>157.08000000000001</v>
      </c>
      <c r="BO191" s="64">
        <f t="shared" ref="BO191:BO198" si="13">IFERROR(1/J191*(X191/H191),"0")</f>
        <v>0.21043771043771042</v>
      </c>
      <c r="BP191" s="64">
        <f t="shared" ref="BP191:BP198" si="14">IFERROR(1/J191*(Y191/H191),"0")</f>
        <v>0.21212121212121213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68</v>
      </c>
      <c r="X192" s="543">
        <v>50</v>
      </c>
      <c r="Y192" s="544">
        <f t="shared" si="10"/>
        <v>54</v>
      </c>
      <c r="Z192" s="36">
        <f>IFERROR(IF(Y192=0,"",ROUNDUP(Y192/H192,0)*0.00902),"")</f>
        <v>9.0200000000000002E-2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51.944444444444443</v>
      </c>
      <c r="BN192" s="64">
        <f t="shared" si="12"/>
        <v>56.099999999999994</v>
      </c>
      <c r="BO192" s="64">
        <f t="shared" si="13"/>
        <v>7.0145903479236812E-2</v>
      </c>
      <c r="BP192" s="64">
        <f t="shared" si="14"/>
        <v>7.575757575757576E-2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68</v>
      </c>
      <c r="X193" s="543">
        <v>350</v>
      </c>
      <c r="Y193" s="544">
        <f t="shared" si="10"/>
        <v>351</v>
      </c>
      <c r="Z193" s="36">
        <f>IFERROR(IF(Y193=0,"",ROUNDUP(Y193/H193,0)*0.00902),"")</f>
        <v>0.58630000000000004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363.61111111111109</v>
      </c>
      <c r="BN193" s="64">
        <f t="shared" si="12"/>
        <v>364.65</v>
      </c>
      <c r="BO193" s="64">
        <f t="shared" si="13"/>
        <v>0.49102132435465767</v>
      </c>
      <c r="BP193" s="64">
        <f t="shared" si="14"/>
        <v>0.49242424242424243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68</v>
      </c>
      <c r="X194" s="543">
        <v>50</v>
      </c>
      <c r="Y194" s="544">
        <f t="shared" si="10"/>
        <v>54</v>
      </c>
      <c r="Z194" s="36">
        <f>IFERROR(IF(Y194=0,"",ROUNDUP(Y194/H194,0)*0.00902),"")</f>
        <v>9.0200000000000002E-2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51.944444444444443</v>
      </c>
      <c r="BN194" s="64">
        <f t="shared" si="12"/>
        <v>56.099999999999994</v>
      </c>
      <c r="BO194" s="64">
        <f t="shared" si="13"/>
        <v>7.0145903479236812E-2</v>
      </c>
      <c r="BP194" s="64">
        <f t="shared" si="14"/>
        <v>7.575757575757576E-2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68</v>
      </c>
      <c r="X195" s="543">
        <v>45</v>
      </c>
      <c r="Y195" s="544">
        <f t="shared" si="10"/>
        <v>45</v>
      </c>
      <c r="Z195" s="36">
        <f>IFERROR(IF(Y195=0,"",ROUNDUP(Y195/H195,0)*0.00502),"")</f>
        <v>0.1255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48.249999999999993</v>
      </c>
      <c r="BN195" s="64">
        <f t="shared" si="12"/>
        <v>48.249999999999993</v>
      </c>
      <c r="BO195" s="64">
        <f t="shared" si="13"/>
        <v>0.10683760683760685</v>
      </c>
      <c r="BP195" s="64">
        <f t="shared" si="14"/>
        <v>0.10683760683760685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68</v>
      </c>
      <c r="X196" s="543">
        <v>24</v>
      </c>
      <c r="Y196" s="544">
        <f t="shared" si="10"/>
        <v>25.2</v>
      </c>
      <c r="Z196" s="36">
        <f>IFERROR(IF(Y196=0,"",ROUNDUP(Y196/H196,0)*0.00502),"")</f>
        <v>7.0280000000000009E-2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25.333333333333329</v>
      </c>
      <c r="BN196" s="64">
        <f t="shared" si="12"/>
        <v>26.599999999999998</v>
      </c>
      <c r="BO196" s="64">
        <f t="shared" si="13"/>
        <v>5.6980056980056981E-2</v>
      </c>
      <c r="BP196" s="64">
        <f t="shared" si="14"/>
        <v>5.9829059829059839E-2</v>
      </c>
    </row>
    <row r="197" spans="1:68" ht="27" customHeight="1" x14ac:dyDescent="0.25">
      <c r="A197" s="54" t="s">
        <v>313</v>
      </c>
      <c r="B197" s="54" t="s">
        <v>314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68</v>
      </c>
      <c r="X197" s="543">
        <v>45</v>
      </c>
      <c r="Y197" s="544">
        <f t="shared" si="10"/>
        <v>45</v>
      </c>
      <c r="Z197" s="36">
        <f>IFERROR(IF(Y197=0,"",ROUNDUP(Y197/H197,0)*0.00502),"")</f>
        <v>0.1255</v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47.5</v>
      </c>
      <c r="BN197" s="64">
        <f t="shared" si="12"/>
        <v>47.5</v>
      </c>
      <c r="BO197" s="64">
        <f t="shared" si="13"/>
        <v>0.10683760683760685</v>
      </c>
      <c r="BP197" s="64">
        <f t="shared" si="14"/>
        <v>0.10683760683760685</v>
      </c>
    </row>
    <row r="198" spans="1:68" ht="27" customHeight="1" x14ac:dyDescent="0.25">
      <c r="A198" s="54" t="s">
        <v>315</v>
      </c>
      <c r="B198" s="54" t="s">
        <v>316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68</v>
      </c>
      <c r="X198" s="543">
        <v>30</v>
      </c>
      <c r="Y198" s="544">
        <f t="shared" si="10"/>
        <v>30.6</v>
      </c>
      <c r="Z198" s="36">
        <f>IFERROR(IF(Y198=0,"",ROUNDUP(Y198/H198,0)*0.00502),"")</f>
        <v>8.5339999999999999E-2</v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31.666666666666664</v>
      </c>
      <c r="BN198" s="64">
        <f t="shared" si="12"/>
        <v>32.299999999999997</v>
      </c>
      <c r="BO198" s="64">
        <f t="shared" si="13"/>
        <v>7.122507122507124E-2</v>
      </c>
      <c r="BP198" s="64">
        <f t="shared" si="14"/>
        <v>7.2649572649572655E-2</v>
      </c>
    </row>
    <row r="199" spans="1:68" x14ac:dyDescent="0.2">
      <c r="A199" s="569"/>
      <c r="B199" s="556"/>
      <c r="C199" s="556"/>
      <c r="D199" s="556"/>
      <c r="E199" s="556"/>
      <c r="F199" s="556"/>
      <c r="G199" s="556"/>
      <c r="H199" s="556"/>
      <c r="I199" s="556"/>
      <c r="J199" s="556"/>
      <c r="K199" s="556"/>
      <c r="L199" s="556"/>
      <c r="M199" s="556"/>
      <c r="N199" s="556"/>
      <c r="O199" s="570"/>
      <c r="P199" s="557" t="s">
        <v>70</v>
      </c>
      <c r="Q199" s="558"/>
      <c r="R199" s="558"/>
      <c r="S199" s="558"/>
      <c r="T199" s="558"/>
      <c r="U199" s="558"/>
      <c r="V199" s="559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191.11111111111111</v>
      </c>
      <c r="Y199" s="545">
        <f>IFERROR(Y191/H191,"0")+IFERROR(Y192/H192,"0")+IFERROR(Y193/H193,"0")+IFERROR(Y194/H194,"0")+IFERROR(Y195/H195,"0")+IFERROR(Y196/H196,"0")+IFERROR(Y197/H197,"0")+IFERROR(Y198/H198,"0")</f>
        <v>194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1.42588</v>
      </c>
      <c r="AA199" s="546"/>
      <c r="AB199" s="546"/>
      <c r="AC199" s="546"/>
    </row>
    <row r="200" spans="1:68" x14ac:dyDescent="0.2">
      <c r="A200" s="556"/>
      <c r="B200" s="556"/>
      <c r="C200" s="556"/>
      <c r="D200" s="556"/>
      <c r="E200" s="556"/>
      <c r="F200" s="556"/>
      <c r="G200" s="556"/>
      <c r="H200" s="556"/>
      <c r="I200" s="556"/>
      <c r="J200" s="556"/>
      <c r="K200" s="556"/>
      <c r="L200" s="556"/>
      <c r="M200" s="556"/>
      <c r="N200" s="556"/>
      <c r="O200" s="570"/>
      <c r="P200" s="557" t="s">
        <v>70</v>
      </c>
      <c r="Q200" s="558"/>
      <c r="R200" s="558"/>
      <c r="S200" s="558"/>
      <c r="T200" s="558"/>
      <c r="U200" s="558"/>
      <c r="V200" s="559"/>
      <c r="W200" s="37" t="s">
        <v>68</v>
      </c>
      <c r="X200" s="545">
        <f>IFERROR(SUM(X191:X198),"0")</f>
        <v>744</v>
      </c>
      <c r="Y200" s="545">
        <f>IFERROR(SUM(Y191:Y198),"0")</f>
        <v>756.00000000000011</v>
      </c>
      <c r="Z200" s="37"/>
      <c r="AA200" s="546"/>
      <c r="AB200" s="546"/>
      <c r="AC200" s="546"/>
    </row>
    <row r="201" spans="1:68" ht="14.25" customHeight="1" x14ac:dyDescent="0.25">
      <c r="A201" s="555" t="s">
        <v>72</v>
      </c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56"/>
      <c r="P201" s="556"/>
      <c r="Q201" s="556"/>
      <c r="R201" s="556"/>
      <c r="S201" s="556"/>
      <c r="T201" s="556"/>
      <c r="U201" s="556"/>
      <c r="V201" s="556"/>
      <c r="W201" s="556"/>
      <c r="X201" s="556"/>
      <c r="Y201" s="556"/>
      <c r="Z201" s="556"/>
      <c r="AA201" s="539"/>
      <c r="AB201" s="539"/>
      <c r="AC201" s="539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68</v>
      </c>
      <c r="X204" s="543">
        <v>270</v>
      </c>
      <c r="Y204" s="544">
        <f t="shared" si="15"/>
        <v>278.39999999999998</v>
      </c>
      <c r="Z204" s="36">
        <f>IFERROR(IF(Y204=0,"",ROUNDUP(Y204/H204,0)*0.01898),"")</f>
        <v>0.60736000000000001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286.10689655172411</v>
      </c>
      <c r="BN204" s="64">
        <f t="shared" si="17"/>
        <v>295.00799999999998</v>
      </c>
      <c r="BO204" s="64">
        <f t="shared" si="18"/>
        <v>0.48491379310344834</v>
      </c>
      <c r="BP204" s="64">
        <f t="shared" si="19"/>
        <v>0.5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68</v>
      </c>
      <c r="X205" s="543">
        <v>96</v>
      </c>
      <c r="Y205" s="544">
        <f t="shared" si="15"/>
        <v>96</v>
      </c>
      <c r="Z205" s="36">
        <f t="shared" ref="Z205:Z210" si="20">IFERROR(IF(Y205=0,"",ROUNDUP(Y205/H205,0)*0.00651),"")</f>
        <v>0.26040000000000002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106.8</v>
      </c>
      <c r="BN205" s="64">
        <f t="shared" si="17"/>
        <v>106.8</v>
      </c>
      <c r="BO205" s="64">
        <f t="shared" si="18"/>
        <v>0.2197802197802198</v>
      </c>
      <c r="BP205" s="64">
        <f t="shared" si="19"/>
        <v>0.2197802197802198</v>
      </c>
    </row>
    <row r="206" spans="1:68" ht="27" customHeight="1" x14ac:dyDescent="0.25">
      <c r="A206" s="54" t="s">
        <v>328</v>
      </c>
      <c r="B206" s="54" t="s">
        <v>329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3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68</v>
      </c>
      <c r="X207" s="543">
        <v>180</v>
      </c>
      <c r="Y207" s="544">
        <f t="shared" si="15"/>
        <v>180</v>
      </c>
      <c r="Z207" s="36">
        <f t="shared" si="20"/>
        <v>0.48825000000000002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198.9</v>
      </c>
      <c r="BN207" s="64">
        <f t="shared" si="17"/>
        <v>198.9</v>
      </c>
      <c r="BO207" s="64">
        <f t="shared" si="18"/>
        <v>0.41208791208791212</v>
      </c>
      <c r="BP207" s="64">
        <f t="shared" si="19"/>
        <v>0.41208791208791212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68</v>
      </c>
      <c r="X208" s="543">
        <v>0</v>
      </c>
      <c r="Y208" s="544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68</v>
      </c>
      <c r="X209" s="543">
        <v>80</v>
      </c>
      <c r="Y209" s="544">
        <f t="shared" si="15"/>
        <v>81.599999999999994</v>
      </c>
      <c r="Z209" s="36">
        <f t="shared" si="20"/>
        <v>0.22134000000000001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88.40000000000002</v>
      </c>
      <c r="BN209" s="64">
        <f t="shared" si="17"/>
        <v>90.168000000000006</v>
      </c>
      <c r="BO209" s="64">
        <f t="shared" si="18"/>
        <v>0.18315018315018317</v>
      </c>
      <c r="BP209" s="64">
        <f t="shared" si="19"/>
        <v>0.18681318681318682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68</v>
      </c>
      <c r="X210" s="543">
        <v>100</v>
      </c>
      <c r="Y210" s="544">
        <f t="shared" si="15"/>
        <v>100.8</v>
      </c>
      <c r="Z210" s="36">
        <f t="shared" si="20"/>
        <v>0.27342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110.75000000000001</v>
      </c>
      <c r="BN210" s="64">
        <f t="shared" si="17"/>
        <v>111.63600000000001</v>
      </c>
      <c r="BO210" s="64">
        <f t="shared" si="18"/>
        <v>0.22893772893772898</v>
      </c>
      <c r="BP210" s="64">
        <f t="shared" si="19"/>
        <v>0.23076923076923078</v>
      </c>
    </row>
    <row r="211" spans="1:68" x14ac:dyDescent="0.2">
      <c r="A211" s="569"/>
      <c r="B211" s="556"/>
      <c r="C211" s="556"/>
      <c r="D211" s="556"/>
      <c r="E211" s="556"/>
      <c r="F211" s="556"/>
      <c r="G211" s="556"/>
      <c r="H211" s="556"/>
      <c r="I211" s="556"/>
      <c r="J211" s="556"/>
      <c r="K211" s="556"/>
      <c r="L211" s="556"/>
      <c r="M211" s="556"/>
      <c r="N211" s="556"/>
      <c r="O211" s="570"/>
      <c r="P211" s="557" t="s">
        <v>70</v>
      </c>
      <c r="Q211" s="558"/>
      <c r="R211" s="558"/>
      <c r="S211" s="558"/>
      <c r="T211" s="558"/>
      <c r="U211" s="558"/>
      <c r="V211" s="559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221.0344827586207</v>
      </c>
      <c r="Y211" s="545">
        <f>IFERROR(Y202/H202,"0")+IFERROR(Y203/H203,"0")+IFERROR(Y204/H204,"0")+IFERROR(Y205/H205,"0")+IFERROR(Y206/H206,"0")+IFERROR(Y207/H207,"0")+IFERROR(Y208/H208,"0")+IFERROR(Y209/H209,"0")+IFERROR(Y210/H210,"0")</f>
        <v>223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1.8507700000000002</v>
      </c>
      <c r="AA211" s="546"/>
      <c r="AB211" s="546"/>
      <c r="AC211" s="546"/>
    </row>
    <row r="212" spans="1:68" x14ac:dyDescent="0.2">
      <c r="A212" s="556"/>
      <c r="B212" s="556"/>
      <c r="C212" s="556"/>
      <c r="D212" s="556"/>
      <c r="E212" s="556"/>
      <c r="F212" s="556"/>
      <c r="G212" s="556"/>
      <c r="H212" s="556"/>
      <c r="I212" s="556"/>
      <c r="J212" s="556"/>
      <c r="K212" s="556"/>
      <c r="L212" s="556"/>
      <c r="M212" s="556"/>
      <c r="N212" s="556"/>
      <c r="O212" s="570"/>
      <c r="P212" s="557" t="s">
        <v>70</v>
      </c>
      <c r="Q212" s="558"/>
      <c r="R212" s="558"/>
      <c r="S212" s="558"/>
      <c r="T212" s="558"/>
      <c r="U212" s="558"/>
      <c r="V212" s="559"/>
      <c r="W212" s="37" t="s">
        <v>68</v>
      </c>
      <c r="X212" s="545">
        <f>IFERROR(SUM(X202:X210),"0")</f>
        <v>726</v>
      </c>
      <c r="Y212" s="545">
        <f>IFERROR(SUM(Y202:Y210),"0")</f>
        <v>736.8</v>
      </c>
      <c r="Z212" s="37"/>
      <c r="AA212" s="546"/>
      <c r="AB212" s="546"/>
      <c r="AC212" s="546"/>
    </row>
    <row r="213" spans="1:68" ht="14.25" customHeight="1" x14ac:dyDescent="0.25">
      <c r="A213" s="555" t="s">
        <v>160</v>
      </c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56"/>
      <c r="P213" s="556"/>
      <c r="Q213" s="556"/>
      <c r="R213" s="556"/>
      <c r="S213" s="556"/>
      <c r="T213" s="556"/>
      <c r="U213" s="556"/>
      <c r="V213" s="556"/>
      <c r="W213" s="556"/>
      <c r="X213" s="556"/>
      <c r="Y213" s="556"/>
      <c r="Z213" s="556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81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68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68</v>
      </c>
      <c r="X215" s="543">
        <v>20</v>
      </c>
      <c r="Y215" s="544">
        <f>IFERROR(IF(X215="",0,CEILING((X215/$H215),1)*$H215),"")</f>
        <v>21.599999999999998</v>
      </c>
      <c r="Z215" s="36">
        <f>IFERROR(IF(Y215=0,"",ROUNDUP(Y215/H215,0)*0.00651),"")</f>
        <v>5.8590000000000003E-2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22.100000000000005</v>
      </c>
      <c r="BN215" s="64">
        <f>IFERROR(Y215*I215/H215,"0")</f>
        <v>23.868000000000002</v>
      </c>
      <c r="BO215" s="64">
        <f>IFERROR(1/J215*(X215/H215),"0")</f>
        <v>4.5787545787545791E-2</v>
      </c>
      <c r="BP215" s="64">
        <f>IFERROR(1/J215*(Y215/H215),"0")</f>
        <v>4.9450549450549455E-2</v>
      </c>
    </row>
    <row r="216" spans="1:68" x14ac:dyDescent="0.2">
      <c r="A216" s="569"/>
      <c r="B216" s="556"/>
      <c r="C216" s="556"/>
      <c r="D216" s="556"/>
      <c r="E216" s="556"/>
      <c r="F216" s="556"/>
      <c r="G216" s="556"/>
      <c r="H216" s="556"/>
      <c r="I216" s="556"/>
      <c r="J216" s="556"/>
      <c r="K216" s="556"/>
      <c r="L216" s="556"/>
      <c r="M216" s="556"/>
      <c r="N216" s="556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71</v>
      </c>
      <c r="X216" s="545">
        <f>IFERROR(X214/H214,"0")+IFERROR(X215/H215,"0")</f>
        <v>8.3333333333333339</v>
      </c>
      <c r="Y216" s="545">
        <f>IFERROR(Y214/H214,"0")+IFERROR(Y215/H215,"0")</f>
        <v>9</v>
      </c>
      <c r="Z216" s="545">
        <f>IFERROR(IF(Z214="",0,Z214),"0")+IFERROR(IF(Z215="",0,Z215),"0")</f>
        <v>5.8590000000000003E-2</v>
      </c>
      <c r="AA216" s="546"/>
      <c r="AB216" s="546"/>
      <c r="AC216" s="546"/>
    </row>
    <row r="217" spans="1:68" x14ac:dyDescent="0.2">
      <c r="A217" s="556"/>
      <c r="B217" s="556"/>
      <c r="C217" s="556"/>
      <c r="D217" s="556"/>
      <c r="E217" s="556"/>
      <c r="F217" s="556"/>
      <c r="G217" s="556"/>
      <c r="H217" s="556"/>
      <c r="I217" s="556"/>
      <c r="J217" s="556"/>
      <c r="K217" s="556"/>
      <c r="L217" s="556"/>
      <c r="M217" s="556"/>
      <c r="N217" s="556"/>
      <c r="O217" s="570"/>
      <c r="P217" s="557" t="s">
        <v>70</v>
      </c>
      <c r="Q217" s="558"/>
      <c r="R217" s="558"/>
      <c r="S217" s="558"/>
      <c r="T217" s="558"/>
      <c r="U217" s="558"/>
      <c r="V217" s="559"/>
      <c r="W217" s="37" t="s">
        <v>68</v>
      </c>
      <c r="X217" s="545">
        <f>IFERROR(SUM(X214:X215),"0")</f>
        <v>20</v>
      </c>
      <c r="Y217" s="545">
        <f>IFERROR(SUM(Y214:Y215),"0")</f>
        <v>21.599999999999998</v>
      </c>
      <c r="Z217" s="37"/>
      <c r="AA217" s="546"/>
      <c r="AB217" s="546"/>
      <c r="AC217" s="546"/>
    </row>
    <row r="218" spans="1:68" ht="16.5" customHeight="1" x14ac:dyDescent="0.25">
      <c r="A218" s="562" t="s">
        <v>346</v>
      </c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56"/>
      <c r="P218" s="556"/>
      <c r="Q218" s="556"/>
      <c r="R218" s="556"/>
      <c r="S218" s="556"/>
      <c r="T218" s="556"/>
      <c r="U218" s="556"/>
      <c r="V218" s="556"/>
      <c r="W218" s="556"/>
      <c r="X218" s="556"/>
      <c r="Y218" s="556"/>
      <c r="Z218" s="556"/>
      <c r="AA218" s="538"/>
      <c r="AB218" s="538"/>
      <c r="AC218" s="538"/>
    </row>
    <row r="219" spans="1:68" ht="14.25" customHeight="1" x14ac:dyDescent="0.25">
      <c r="A219" s="555" t="s">
        <v>98</v>
      </c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56"/>
      <c r="P219" s="556"/>
      <c r="Q219" s="556"/>
      <c r="R219" s="556"/>
      <c r="S219" s="556"/>
      <c r="T219" s="556"/>
      <c r="U219" s="556"/>
      <c r="V219" s="556"/>
      <c r="W219" s="556"/>
      <c r="X219" s="556"/>
      <c r="Y219" s="556"/>
      <c r="Z219" s="556"/>
      <c r="AA219" s="539"/>
      <c r="AB219" s="539"/>
      <c r="AC219" s="539"/>
    </row>
    <row r="220" spans="1:68" ht="27" customHeight="1" x14ac:dyDescent="0.25">
      <c r="A220" s="54" t="s">
        <v>347</v>
      </c>
      <c r="B220" s="54" t="s">
        <v>348</v>
      </c>
      <c r="C220" s="31">
        <v>4301011826</v>
      </c>
      <c r="D220" s="547">
        <v>4680115884137</v>
      </c>
      <c r="E220" s="548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0"/>
      <c r="R220" s="550"/>
      <c r="S220" s="550"/>
      <c r="T220" s="551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customHeight="1" x14ac:dyDescent="0.25">
      <c r="A221" s="54" t="s">
        <v>350</v>
      </c>
      <c r="B221" s="54" t="s">
        <v>351</v>
      </c>
      <c r="C221" s="31">
        <v>4301011724</v>
      </c>
      <c r="D221" s="547">
        <v>4680115884236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4301011721</v>
      </c>
      <c r="D222" s="547">
        <v>4680115884175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68</v>
      </c>
      <c r="X222" s="543">
        <v>50</v>
      </c>
      <c r="Y222" s="544">
        <f t="shared" si="21"/>
        <v>58</v>
      </c>
      <c r="Z222" s="36">
        <f>IFERROR(IF(Y222=0,"",ROUNDUP(Y222/H222,0)*0.01898),"")</f>
        <v>9.4899999999999998E-2</v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51.875</v>
      </c>
      <c r="BN222" s="64">
        <f t="shared" si="23"/>
        <v>60.174999999999997</v>
      </c>
      <c r="BO222" s="64">
        <f t="shared" si="24"/>
        <v>6.7349137931034489E-2</v>
      </c>
      <c r="BP222" s="64">
        <f t="shared" si="25"/>
        <v>7.8125E-2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47">
        <v>4680115884144</v>
      </c>
      <c r="E223" s="548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0"/>
      <c r="R223" s="550"/>
      <c r="S223" s="550"/>
      <c r="T223" s="551"/>
      <c r="U223" s="34"/>
      <c r="V223" s="34"/>
      <c r="W223" s="35" t="s">
        <v>68</v>
      </c>
      <c r="X223" s="543">
        <v>12</v>
      </c>
      <c r="Y223" s="544">
        <f t="shared" si="21"/>
        <v>12</v>
      </c>
      <c r="Z223" s="36">
        <f t="shared" ref="Z223:Z228" si="26">IFERROR(IF(Y223=0,"",ROUNDUP(Y223/H223,0)*0.00902),"")</f>
        <v>2.7060000000000001E-2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12.629999999999999</v>
      </c>
      <c r="BN223" s="64">
        <f t="shared" si="23"/>
        <v>12.629999999999999</v>
      </c>
      <c r="BO223" s="64">
        <f t="shared" si="24"/>
        <v>2.2727272727272728E-2</v>
      </c>
      <c r="BP223" s="64">
        <f t="shared" si="25"/>
        <v>2.2727272727272728E-2</v>
      </c>
    </row>
    <row r="224" spans="1:68" ht="27" customHeight="1" x14ac:dyDescent="0.25">
      <c r="A224" s="54" t="s">
        <v>356</v>
      </c>
      <c r="B224" s="54" t="s">
        <v>358</v>
      </c>
      <c r="C224" s="31">
        <v>4301012196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4" t="s">
        <v>359</v>
      </c>
      <c r="Q224" s="550"/>
      <c r="R224" s="550"/>
      <c r="S224" s="550"/>
      <c r="T224" s="551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4301012149</v>
      </c>
      <c r="D225" s="547">
        <v>4680115886551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4301011726</v>
      </c>
      <c r="D226" s="547">
        <v>4680115884182</v>
      </c>
      <c r="E226" s="548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0"/>
      <c r="R226" s="550"/>
      <c r="S226" s="550"/>
      <c r="T226" s="551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4301011722</v>
      </c>
      <c r="D227" s="547">
        <v>4680115884205</v>
      </c>
      <c r="E227" s="548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0"/>
      <c r="R227" s="550"/>
      <c r="S227" s="550"/>
      <c r="T227" s="551"/>
      <c r="U227" s="34"/>
      <c r="V227" s="34"/>
      <c r="W227" s="35" t="s">
        <v>68</v>
      </c>
      <c r="X227" s="543">
        <v>40</v>
      </c>
      <c r="Y227" s="544">
        <f t="shared" si="21"/>
        <v>40</v>
      </c>
      <c r="Z227" s="36">
        <f t="shared" si="26"/>
        <v>9.0200000000000002E-2</v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42.1</v>
      </c>
      <c r="BN227" s="64">
        <f t="shared" si="23"/>
        <v>42.1</v>
      </c>
      <c r="BO227" s="64">
        <f t="shared" si="24"/>
        <v>7.575757575757576E-2</v>
      </c>
      <c r="BP227" s="64">
        <f t="shared" si="25"/>
        <v>7.575757575757576E-2</v>
      </c>
    </row>
    <row r="228" spans="1:68" ht="27" customHeight="1" x14ac:dyDescent="0.25">
      <c r="A228" s="54" t="s">
        <v>365</v>
      </c>
      <c r="B228" s="54" t="s">
        <v>367</v>
      </c>
      <c r="C228" s="31">
        <v>4301012195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55" t="s">
        <v>368</v>
      </c>
      <c r="Q228" s="550"/>
      <c r="R228" s="550"/>
      <c r="S228" s="550"/>
      <c r="T228" s="551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9"/>
      <c r="B229" s="556"/>
      <c r="C229" s="556"/>
      <c r="D229" s="556"/>
      <c r="E229" s="556"/>
      <c r="F229" s="556"/>
      <c r="G229" s="556"/>
      <c r="H229" s="556"/>
      <c r="I229" s="556"/>
      <c r="J229" s="556"/>
      <c r="K229" s="556"/>
      <c r="L229" s="556"/>
      <c r="M229" s="556"/>
      <c r="N229" s="556"/>
      <c r="O229" s="570"/>
      <c r="P229" s="557" t="s">
        <v>70</v>
      </c>
      <c r="Q229" s="558"/>
      <c r="R229" s="558"/>
      <c r="S229" s="558"/>
      <c r="T229" s="558"/>
      <c r="U229" s="558"/>
      <c r="V229" s="559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17.310344827586206</v>
      </c>
      <c r="Y229" s="545">
        <f>IFERROR(Y220/H220,"0")+IFERROR(Y221/H221,"0")+IFERROR(Y222/H222,"0")+IFERROR(Y223/H223,"0")+IFERROR(Y224/H224,"0")+IFERROR(Y225/H225,"0")+IFERROR(Y226/H226,"0")+IFERROR(Y227/H227,"0")+IFERROR(Y228/H228,"0")</f>
        <v>18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0.21216000000000002</v>
      </c>
      <c r="AA229" s="546"/>
      <c r="AB229" s="546"/>
      <c r="AC229" s="546"/>
    </row>
    <row r="230" spans="1:68" x14ac:dyDescent="0.2">
      <c r="A230" s="556"/>
      <c r="B230" s="556"/>
      <c r="C230" s="556"/>
      <c r="D230" s="556"/>
      <c r="E230" s="556"/>
      <c r="F230" s="556"/>
      <c r="G230" s="556"/>
      <c r="H230" s="556"/>
      <c r="I230" s="556"/>
      <c r="J230" s="556"/>
      <c r="K230" s="556"/>
      <c r="L230" s="556"/>
      <c r="M230" s="556"/>
      <c r="N230" s="556"/>
      <c r="O230" s="570"/>
      <c r="P230" s="557" t="s">
        <v>70</v>
      </c>
      <c r="Q230" s="558"/>
      <c r="R230" s="558"/>
      <c r="S230" s="558"/>
      <c r="T230" s="558"/>
      <c r="U230" s="558"/>
      <c r="V230" s="559"/>
      <c r="W230" s="37" t="s">
        <v>68</v>
      </c>
      <c r="X230" s="545">
        <f>IFERROR(SUM(X220:X228),"0")</f>
        <v>102</v>
      </c>
      <c r="Y230" s="545">
        <f>IFERROR(SUM(Y220:Y228),"0")</f>
        <v>110</v>
      </c>
      <c r="Z230" s="37"/>
      <c r="AA230" s="546"/>
      <c r="AB230" s="546"/>
      <c r="AC230" s="546"/>
    </row>
    <row r="231" spans="1:68" ht="14.25" customHeight="1" x14ac:dyDescent="0.25">
      <c r="A231" s="555" t="s">
        <v>130</v>
      </c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56"/>
      <c r="P231" s="556"/>
      <c r="Q231" s="556"/>
      <c r="R231" s="556"/>
      <c r="S231" s="556"/>
      <c r="T231" s="556"/>
      <c r="U231" s="556"/>
      <c r="V231" s="556"/>
      <c r="W231" s="556"/>
      <c r="X231" s="556"/>
      <c r="Y231" s="556"/>
      <c r="Z231" s="556"/>
      <c r="AA231" s="539"/>
      <c r="AB231" s="539"/>
      <c r="AC231" s="539"/>
    </row>
    <row r="232" spans="1:68" ht="27" customHeight="1" x14ac:dyDescent="0.25">
      <c r="A232" s="54" t="s">
        <v>369</v>
      </c>
      <c r="B232" s="54" t="s">
        <v>370</v>
      </c>
      <c r="C232" s="31">
        <v>4301020377</v>
      </c>
      <c r="D232" s="547">
        <v>4680115885981</v>
      </c>
      <c r="E232" s="548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4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0"/>
      <c r="R232" s="550"/>
      <c r="S232" s="550"/>
      <c r="T232" s="551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x14ac:dyDescent="0.2">
      <c r="A233" s="569"/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70"/>
      <c r="P233" s="557" t="s">
        <v>70</v>
      </c>
      <c r="Q233" s="558"/>
      <c r="R233" s="558"/>
      <c r="S233" s="558"/>
      <c r="T233" s="558"/>
      <c r="U233" s="558"/>
      <c r="V233" s="559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x14ac:dyDescent="0.2">
      <c r="A234" s="556"/>
      <c r="B234" s="556"/>
      <c r="C234" s="556"/>
      <c r="D234" s="556"/>
      <c r="E234" s="556"/>
      <c r="F234" s="556"/>
      <c r="G234" s="556"/>
      <c r="H234" s="556"/>
      <c r="I234" s="556"/>
      <c r="J234" s="556"/>
      <c r="K234" s="556"/>
      <c r="L234" s="556"/>
      <c r="M234" s="556"/>
      <c r="N234" s="556"/>
      <c r="O234" s="570"/>
      <c r="P234" s="557" t="s">
        <v>70</v>
      </c>
      <c r="Q234" s="558"/>
      <c r="R234" s="558"/>
      <c r="S234" s="558"/>
      <c r="T234" s="558"/>
      <c r="U234" s="558"/>
      <c r="V234" s="559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customHeight="1" x14ac:dyDescent="0.25">
      <c r="A235" s="555" t="s">
        <v>372</v>
      </c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56"/>
      <c r="P235" s="556"/>
      <c r="Q235" s="556"/>
      <c r="R235" s="556"/>
      <c r="S235" s="556"/>
      <c r="T235" s="556"/>
      <c r="U235" s="556"/>
      <c r="V235" s="556"/>
      <c r="W235" s="556"/>
      <c r="X235" s="556"/>
      <c r="Y235" s="556"/>
      <c r="Z235" s="556"/>
      <c r="AA235" s="539"/>
      <c r="AB235" s="539"/>
      <c r="AC235" s="539"/>
    </row>
    <row r="236" spans="1:68" ht="27" customHeight="1" x14ac:dyDescent="0.25">
      <c r="A236" s="54" t="s">
        <v>373</v>
      </c>
      <c r="B236" s="54" t="s">
        <v>374</v>
      </c>
      <c r="C236" s="31">
        <v>4301040362</v>
      </c>
      <c r="D236" s="547">
        <v>4680115886803</v>
      </c>
      <c r="E236" s="548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1" t="s">
        <v>375</v>
      </c>
      <c r="Q236" s="550"/>
      <c r="R236" s="550"/>
      <c r="S236" s="550"/>
      <c r="T236" s="551"/>
      <c r="U236" s="34"/>
      <c r="V236" s="34"/>
      <c r="W236" s="35" t="s">
        <v>68</v>
      </c>
      <c r="X236" s="543">
        <v>6</v>
      </c>
      <c r="Y236" s="544">
        <f>IFERROR(IF(X236="",0,CEILING((X236/$H236),1)*$H236),"")</f>
        <v>7.2</v>
      </c>
      <c r="Z236" s="36">
        <f>IFERROR(IF(Y236=0,"",ROUNDUP(Y236/H236,0)*0.0059),"")</f>
        <v>2.3599999999999999E-2</v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6.5833333333333339</v>
      </c>
      <c r="BN236" s="64">
        <f>IFERROR(Y236*I236/H236,"0")</f>
        <v>7.9</v>
      </c>
      <c r="BO236" s="64">
        <f>IFERROR(1/J236*(X236/H236),"0")</f>
        <v>1.5432098765432096E-2</v>
      </c>
      <c r="BP236" s="64">
        <f>IFERROR(1/J236*(Y236/H236),"0")</f>
        <v>1.8518518518518517E-2</v>
      </c>
    </row>
    <row r="237" spans="1:68" x14ac:dyDescent="0.2">
      <c r="A237" s="569"/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70"/>
      <c r="P237" s="557" t="s">
        <v>70</v>
      </c>
      <c r="Q237" s="558"/>
      <c r="R237" s="558"/>
      <c r="S237" s="558"/>
      <c r="T237" s="558"/>
      <c r="U237" s="558"/>
      <c r="V237" s="559"/>
      <c r="W237" s="37" t="s">
        <v>71</v>
      </c>
      <c r="X237" s="545">
        <f>IFERROR(X236/H236,"0")</f>
        <v>3.333333333333333</v>
      </c>
      <c r="Y237" s="545">
        <f>IFERROR(Y236/H236,"0")</f>
        <v>4</v>
      </c>
      <c r="Z237" s="545">
        <f>IFERROR(IF(Z236="",0,Z236),"0")</f>
        <v>2.3599999999999999E-2</v>
      </c>
      <c r="AA237" s="546"/>
      <c r="AB237" s="546"/>
      <c r="AC237" s="546"/>
    </row>
    <row r="238" spans="1:68" x14ac:dyDescent="0.2">
      <c r="A238" s="556"/>
      <c r="B238" s="556"/>
      <c r="C238" s="556"/>
      <c r="D238" s="556"/>
      <c r="E238" s="556"/>
      <c r="F238" s="556"/>
      <c r="G238" s="556"/>
      <c r="H238" s="556"/>
      <c r="I238" s="556"/>
      <c r="J238" s="556"/>
      <c r="K238" s="556"/>
      <c r="L238" s="556"/>
      <c r="M238" s="556"/>
      <c r="N238" s="556"/>
      <c r="O238" s="570"/>
      <c r="P238" s="557" t="s">
        <v>70</v>
      </c>
      <c r="Q238" s="558"/>
      <c r="R238" s="558"/>
      <c r="S238" s="558"/>
      <c r="T238" s="558"/>
      <c r="U238" s="558"/>
      <c r="V238" s="559"/>
      <c r="W238" s="37" t="s">
        <v>68</v>
      </c>
      <c r="X238" s="545">
        <f>IFERROR(SUM(X236:X236),"0")</f>
        <v>6</v>
      </c>
      <c r="Y238" s="545">
        <f>IFERROR(SUM(Y236:Y236),"0")</f>
        <v>7.2</v>
      </c>
      <c r="Z238" s="37"/>
      <c r="AA238" s="546"/>
      <c r="AB238" s="546"/>
      <c r="AC238" s="546"/>
    </row>
    <row r="239" spans="1:68" ht="14.25" customHeight="1" x14ac:dyDescent="0.25">
      <c r="A239" s="555" t="s">
        <v>377</v>
      </c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56"/>
      <c r="P239" s="556"/>
      <c r="Q239" s="556"/>
      <c r="R239" s="556"/>
      <c r="S239" s="556"/>
      <c r="T239" s="556"/>
      <c r="U239" s="556"/>
      <c r="V239" s="556"/>
      <c r="W239" s="556"/>
      <c r="X239" s="556"/>
      <c r="Y239" s="556"/>
      <c r="Z239" s="556"/>
      <c r="AA239" s="539"/>
      <c r="AB239" s="539"/>
      <c r="AC239" s="539"/>
    </row>
    <row r="240" spans="1:68" ht="27" customHeight="1" x14ac:dyDescent="0.25">
      <c r="A240" s="54" t="s">
        <v>378</v>
      </c>
      <c r="B240" s="54" t="s">
        <v>379</v>
      </c>
      <c r="C240" s="31">
        <v>4301041004</v>
      </c>
      <c r="D240" s="547">
        <v>4680115886704</v>
      </c>
      <c r="E240" s="548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3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0"/>
      <c r="R240" s="550"/>
      <c r="S240" s="550"/>
      <c r="T240" s="551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381</v>
      </c>
      <c r="B241" s="54" t="s">
        <v>382</v>
      </c>
      <c r="C241" s="31">
        <v>4301041008</v>
      </c>
      <c r="D241" s="547">
        <v>4680115886681</v>
      </c>
      <c r="E241" s="548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5" t="s">
        <v>383</v>
      </c>
      <c r="Q241" s="550"/>
      <c r="R241" s="550"/>
      <c r="S241" s="550"/>
      <c r="T241" s="551"/>
      <c r="U241" s="34"/>
      <c r="V241" s="34"/>
      <c r="W241" s="35" t="s">
        <v>68</v>
      </c>
      <c r="X241" s="543">
        <v>4.2</v>
      </c>
      <c r="Y241" s="544">
        <f>IFERROR(IF(X241="",0,CEILING((X241/$H241),1)*$H241),"")</f>
        <v>5.4</v>
      </c>
      <c r="Z241" s="36">
        <f>IFERROR(IF(Y241=0,"",ROUNDUP(Y241/H241,0)*0.0059),"")</f>
        <v>1.77E-2</v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4.6083333333333334</v>
      </c>
      <c r="BN241" s="64">
        <f>IFERROR(Y241*I241/H241,"0")</f>
        <v>5.9250000000000007</v>
      </c>
      <c r="BO241" s="64">
        <f>IFERROR(1/J241*(X241/H241),"0")</f>
        <v>1.0802469135802469E-2</v>
      </c>
      <c r="BP241" s="64">
        <f>IFERROR(1/J241*(Y241/H241),"0")</f>
        <v>1.3888888888888888E-2</v>
      </c>
    </row>
    <row r="242" spans="1:68" ht="27" customHeight="1" x14ac:dyDescent="0.25">
      <c r="A242" s="54" t="s">
        <v>384</v>
      </c>
      <c r="B242" s="54" t="s">
        <v>385</v>
      </c>
      <c r="C242" s="31">
        <v>4301041007</v>
      </c>
      <c r="D242" s="547">
        <v>4680115886735</v>
      </c>
      <c r="E242" s="548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0"/>
      <c r="R242" s="550"/>
      <c r="S242" s="550"/>
      <c r="T242" s="551"/>
      <c r="U242" s="34"/>
      <c r="V242" s="34"/>
      <c r="W242" s="35" t="s">
        <v>68</v>
      </c>
      <c r="X242" s="543">
        <v>3.3</v>
      </c>
      <c r="Y242" s="544">
        <f>IFERROR(IF(X242="",0,CEILING((X242/$H242),1)*$H242),"")</f>
        <v>3.6</v>
      </c>
      <c r="Z242" s="36">
        <f>IFERROR(IF(Y242=0,"",ROUNDUP(Y242/H242,0)*0.0059),"")</f>
        <v>2.3599999999999999E-2</v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3.9966666666666666</v>
      </c>
      <c r="BN242" s="64">
        <f>IFERROR(Y242*I242/H242,"0")</f>
        <v>4.3600000000000003</v>
      </c>
      <c r="BO242" s="64">
        <f>IFERROR(1/J242*(X242/H242),"0")</f>
        <v>1.6975308641975308E-2</v>
      </c>
      <c r="BP242" s="64">
        <f>IFERROR(1/J242*(Y242/H242),"0")</f>
        <v>1.8518518518518517E-2</v>
      </c>
    </row>
    <row r="243" spans="1:68" ht="27" customHeight="1" x14ac:dyDescent="0.25">
      <c r="A243" s="54" t="s">
        <v>386</v>
      </c>
      <c r="B243" s="54" t="s">
        <v>387</v>
      </c>
      <c r="C243" s="31">
        <v>4301041006</v>
      </c>
      <c r="D243" s="547">
        <v>4680115886728</v>
      </c>
      <c r="E243" s="548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0"/>
      <c r="R243" s="550"/>
      <c r="S243" s="550"/>
      <c r="T243" s="55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388</v>
      </c>
      <c r="B244" s="54" t="s">
        <v>389</v>
      </c>
      <c r="C244" s="31">
        <v>4301041005</v>
      </c>
      <c r="D244" s="547">
        <v>4680115886711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569"/>
      <c r="B245" s="556"/>
      <c r="C245" s="556"/>
      <c r="D245" s="556"/>
      <c r="E245" s="556"/>
      <c r="F245" s="556"/>
      <c r="G245" s="556"/>
      <c r="H245" s="556"/>
      <c r="I245" s="556"/>
      <c r="J245" s="556"/>
      <c r="K245" s="556"/>
      <c r="L245" s="556"/>
      <c r="M245" s="556"/>
      <c r="N245" s="556"/>
      <c r="O245" s="570"/>
      <c r="P245" s="557" t="s">
        <v>70</v>
      </c>
      <c r="Q245" s="558"/>
      <c r="R245" s="558"/>
      <c r="S245" s="558"/>
      <c r="T245" s="558"/>
      <c r="U245" s="558"/>
      <c r="V245" s="559"/>
      <c r="W245" s="37" t="s">
        <v>71</v>
      </c>
      <c r="X245" s="545">
        <f>IFERROR(X240/H240,"0")+IFERROR(X241/H241,"0")+IFERROR(X242/H242,"0")+IFERROR(X243/H243,"0")+IFERROR(X244/H244,"0")</f>
        <v>6</v>
      </c>
      <c r="Y245" s="545">
        <f>IFERROR(Y240/H240,"0")+IFERROR(Y241/H241,"0")+IFERROR(Y242/H242,"0")+IFERROR(Y243/H243,"0")+IFERROR(Y244/H244,"0")</f>
        <v>7</v>
      </c>
      <c r="Z245" s="545">
        <f>IFERROR(IF(Z240="",0,Z240),"0")+IFERROR(IF(Z241="",0,Z241),"0")+IFERROR(IF(Z242="",0,Z242),"0")+IFERROR(IF(Z243="",0,Z243),"0")+IFERROR(IF(Z244="",0,Z244),"0")</f>
        <v>4.1300000000000003E-2</v>
      </c>
      <c r="AA245" s="546"/>
      <c r="AB245" s="546"/>
      <c r="AC245" s="546"/>
    </row>
    <row r="246" spans="1:68" x14ac:dyDescent="0.2">
      <c r="A246" s="556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68</v>
      </c>
      <c r="X246" s="545">
        <f>IFERROR(SUM(X240:X244),"0")</f>
        <v>7.5</v>
      </c>
      <c r="Y246" s="545">
        <f>IFERROR(SUM(Y240:Y244),"0")</f>
        <v>9</v>
      </c>
      <c r="Z246" s="37"/>
      <c r="AA246" s="546"/>
      <c r="AB246" s="546"/>
      <c r="AC246" s="546"/>
    </row>
    <row r="247" spans="1:68" ht="16.5" customHeight="1" x14ac:dyDescent="0.25">
      <c r="A247" s="562" t="s">
        <v>390</v>
      </c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56"/>
      <c r="P247" s="556"/>
      <c r="Q247" s="556"/>
      <c r="R247" s="556"/>
      <c r="S247" s="556"/>
      <c r="T247" s="556"/>
      <c r="U247" s="556"/>
      <c r="V247" s="556"/>
      <c r="W247" s="556"/>
      <c r="X247" s="556"/>
      <c r="Y247" s="556"/>
      <c r="Z247" s="556"/>
      <c r="AA247" s="538"/>
      <c r="AB247" s="538"/>
      <c r="AC247" s="538"/>
    </row>
    <row r="248" spans="1:68" ht="14.25" customHeight="1" x14ac:dyDescent="0.25">
      <c r="A248" s="555" t="s">
        <v>98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9"/>
      <c r="AB248" s="539"/>
      <c r="AC248" s="539"/>
    </row>
    <row r="249" spans="1:68" ht="27" customHeight="1" x14ac:dyDescent="0.25">
      <c r="A249" s="54" t="s">
        <v>391</v>
      </c>
      <c r="B249" s="54" t="s">
        <v>392</v>
      </c>
      <c r="C249" s="31">
        <v>4301011855</v>
      </c>
      <c r="D249" s="547">
        <v>4680115885837</v>
      </c>
      <c r="E249" s="548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0"/>
      <c r="R249" s="550"/>
      <c r="S249" s="550"/>
      <c r="T249" s="551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394</v>
      </c>
      <c r="B250" s="54" t="s">
        <v>395</v>
      </c>
      <c r="C250" s="31">
        <v>4301011853</v>
      </c>
      <c r="D250" s="547">
        <v>4680115885851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397</v>
      </c>
      <c r="B251" s="54" t="s">
        <v>398</v>
      </c>
      <c r="C251" s="31">
        <v>4301011850</v>
      </c>
      <c r="D251" s="547">
        <v>4680115885806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4301011852</v>
      </c>
      <c r="D252" s="547">
        <v>4680115885844</v>
      </c>
      <c r="E252" s="548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0"/>
      <c r="R252" s="550"/>
      <c r="S252" s="550"/>
      <c r="T252" s="551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4301011851</v>
      </c>
      <c r="D253" s="547">
        <v>4680115885820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69"/>
      <c r="B254" s="556"/>
      <c r="C254" s="556"/>
      <c r="D254" s="556"/>
      <c r="E254" s="556"/>
      <c r="F254" s="556"/>
      <c r="G254" s="556"/>
      <c r="H254" s="556"/>
      <c r="I254" s="556"/>
      <c r="J254" s="556"/>
      <c r="K254" s="556"/>
      <c r="L254" s="556"/>
      <c r="M254" s="556"/>
      <c r="N254" s="556"/>
      <c r="O254" s="570"/>
      <c r="P254" s="557" t="s">
        <v>70</v>
      </c>
      <c r="Q254" s="558"/>
      <c r="R254" s="558"/>
      <c r="S254" s="558"/>
      <c r="T254" s="558"/>
      <c r="U254" s="558"/>
      <c r="V254" s="559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x14ac:dyDescent="0.2">
      <c r="A255" s="556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customHeight="1" x14ac:dyDescent="0.25">
      <c r="A256" s="562" t="s">
        <v>406</v>
      </c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56"/>
      <c r="P256" s="556"/>
      <c r="Q256" s="556"/>
      <c r="R256" s="556"/>
      <c r="S256" s="556"/>
      <c r="T256" s="556"/>
      <c r="U256" s="556"/>
      <c r="V256" s="556"/>
      <c r="W256" s="556"/>
      <c r="X256" s="556"/>
      <c r="Y256" s="556"/>
      <c r="Z256" s="556"/>
      <c r="AA256" s="538"/>
      <c r="AB256" s="538"/>
      <c r="AC256" s="538"/>
    </row>
    <row r="257" spans="1:68" ht="14.25" customHeight="1" x14ac:dyDescent="0.25">
      <c r="A257" s="555" t="s">
        <v>98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9"/>
      <c r="AB257" s="539"/>
      <c r="AC257" s="539"/>
    </row>
    <row r="258" spans="1:68" ht="27" customHeight="1" x14ac:dyDescent="0.25">
      <c r="A258" s="54" t="s">
        <v>407</v>
      </c>
      <c r="B258" s="54" t="s">
        <v>408</v>
      </c>
      <c r="C258" s="31">
        <v>4301011223</v>
      </c>
      <c r="D258" s="547">
        <v>4607091383423</v>
      </c>
      <c r="E258" s="548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0"/>
      <c r="R258" s="550"/>
      <c r="S258" s="550"/>
      <c r="T258" s="551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409</v>
      </c>
      <c r="B259" s="54" t="s">
        <v>410</v>
      </c>
      <c r="C259" s="31">
        <v>4301012199</v>
      </c>
      <c r="D259" s="547">
        <v>4680115886957</v>
      </c>
      <c r="E259" s="548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36" t="s">
        <v>411</v>
      </c>
      <c r="Q259" s="550"/>
      <c r="R259" s="550"/>
      <c r="S259" s="550"/>
      <c r="T259" s="55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4301012098</v>
      </c>
      <c r="D260" s="547">
        <v>4680115885660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416</v>
      </c>
      <c r="B261" s="54" t="s">
        <v>417</v>
      </c>
      <c r="C261" s="31">
        <v>4301012176</v>
      </c>
      <c r="D261" s="547">
        <v>4680115886773</v>
      </c>
      <c r="E261" s="548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8" t="s">
        <v>418</v>
      </c>
      <c r="Q261" s="550"/>
      <c r="R261" s="550"/>
      <c r="S261" s="550"/>
      <c r="T261" s="55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69"/>
      <c r="B262" s="556"/>
      <c r="C262" s="556"/>
      <c r="D262" s="556"/>
      <c r="E262" s="556"/>
      <c r="F262" s="556"/>
      <c r="G262" s="556"/>
      <c r="H262" s="556"/>
      <c r="I262" s="556"/>
      <c r="J262" s="556"/>
      <c r="K262" s="556"/>
      <c r="L262" s="556"/>
      <c r="M262" s="556"/>
      <c r="N262" s="556"/>
      <c r="O262" s="570"/>
      <c r="P262" s="557" t="s">
        <v>70</v>
      </c>
      <c r="Q262" s="558"/>
      <c r="R262" s="558"/>
      <c r="S262" s="558"/>
      <c r="T262" s="558"/>
      <c r="U262" s="558"/>
      <c r="V262" s="559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x14ac:dyDescent="0.2">
      <c r="A263" s="556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customHeight="1" x14ac:dyDescent="0.25">
      <c r="A264" s="562" t="s">
        <v>420</v>
      </c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56"/>
      <c r="P264" s="556"/>
      <c r="Q264" s="556"/>
      <c r="R264" s="556"/>
      <c r="S264" s="556"/>
      <c r="T264" s="556"/>
      <c r="U264" s="556"/>
      <c r="V264" s="556"/>
      <c r="W264" s="556"/>
      <c r="X264" s="556"/>
      <c r="Y264" s="556"/>
      <c r="Z264" s="556"/>
      <c r="AA264" s="538"/>
      <c r="AB264" s="538"/>
      <c r="AC264" s="538"/>
    </row>
    <row r="265" spans="1:68" ht="14.25" customHeight="1" x14ac:dyDescent="0.25">
      <c r="A265" s="555" t="s">
        <v>72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9"/>
      <c r="AB265" s="539"/>
      <c r="AC265" s="539"/>
    </row>
    <row r="266" spans="1:68" ht="27" customHeight="1" x14ac:dyDescent="0.25">
      <c r="A266" s="54" t="s">
        <v>421</v>
      </c>
      <c r="B266" s="54" t="s">
        <v>422</v>
      </c>
      <c r="C266" s="31">
        <v>4301051893</v>
      </c>
      <c r="D266" s="547">
        <v>4680115886186</v>
      </c>
      <c r="E266" s="548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0"/>
      <c r="R266" s="550"/>
      <c r="S266" s="550"/>
      <c r="T266" s="551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424</v>
      </c>
      <c r="B267" s="54" t="s">
        <v>425</v>
      </c>
      <c r="C267" s="31">
        <v>4301051795</v>
      </c>
      <c r="D267" s="547">
        <v>4680115881228</v>
      </c>
      <c r="E267" s="548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0"/>
      <c r="R267" s="550"/>
      <c r="S267" s="550"/>
      <c r="T267" s="551"/>
      <c r="U267" s="34"/>
      <c r="V267" s="34"/>
      <c r="W267" s="35" t="s">
        <v>68</v>
      </c>
      <c r="X267" s="543">
        <v>60</v>
      </c>
      <c r="Y267" s="544">
        <f>IFERROR(IF(X267="",0,CEILING((X267/$H267),1)*$H267),"")</f>
        <v>60</v>
      </c>
      <c r="Z267" s="36">
        <f>IFERROR(IF(Y267=0,"",ROUNDUP(Y267/H267,0)*0.00651),"")</f>
        <v>0.16275000000000001</v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66.300000000000011</v>
      </c>
      <c r="BN267" s="64">
        <f>IFERROR(Y267*I267/H267,"0")</f>
        <v>66.300000000000011</v>
      </c>
      <c r="BO267" s="64">
        <f>IFERROR(1/J267*(X267/H267),"0")</f>
        <v>0.13736263736263737</v>
      </c>
      <c r="BP267" s="64">
        <f>IFERROR(1/J267*(Y267/H267),"0")</f>
        <v>0.13736263736263737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47">
        <v>4680115881211</v>
      </c>
      <c r="E268" s="548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0"/>
      <c r="R268" s="550"/>
      <c r="S268" s="550"/>
      <c r="T268" s="551"/>
      <c r="U268" s="34"/>
      <c r="V268" s="34"/>
      <c r="W268" s="35" t="s">
        <v>68</v>
      </c>
      <c r="X268" s="543">
        <v>240</v>
      </c>
      <c r="Y268" s="544">
        <f>IFERROR(IF(X268="",0,CEILING((X268/$H268),1)*$H268),"")</f>
        <v>240</v>
      </c>
      <c r="Z268" s="36">
        <f>IFERROR(IF(Y268=0,"",ROUNDUP(Y268/H268,0)*0.00651),"")</f>
        <v>0.65100000000000002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258.00000000000006</v>
      </c>
      <c r="BN268" s="64">
        <f>IFERROR(Y268*I268/H268,"0")</f>
        <v>258.00000000000006</v>
      </c>
      <c r="BO268" s="64">
        <f>IFERROR(1/J268*(X268/H268),"0")</f>
        <v>0.5494505494505495</v>
      </c>
      <c r="BP268" s="64">
        <f>IFERROR(1/J268*(Y268/H268),"0")</f>
        <v>0.5494505494505495</v>
      </c>
    </row>
    <row r="269" spans="1:68" x14ac:dyDescent="0.2">
      <c r="A269" s="569"/>
      <c r="B269" s="556"/>
      <c r="C269" s="556"/>
      <c r="D269" s="556"/>
      <c r="E269" s="556"/>
      <c r="F269" s="556"/>
      <c r="G269" s="556"/>
      <c r="H269" s="556"/>
      <c r="I269" s="556"/>
      <c r="J269" s="556"/>
      <c r="K269" s="556"/>
      <c r="L269" s="556"/>
      <c r="M269" s="556"/>
      <c r="N269" s="556"/>
      <c r="O269" s="570"/>
      <c r="P269" s="557" t="s">
        <v>70</v>
      </c>
      <c r="Q269" s="558"/>
      <c r="R269" s="558"/>
      <c r="S269" s="558"/>
      <c r="T269" s="558"/>
      <c r="U269" s="558"/>
      <c r="V269" s="559"/>
      <c r="W269" s="37" t="s">
        <v>71</v>
      </c>
      <c r="X269" s="545">
        <f>IFERROR(X266/H266,"0")+IFERROR(X267/H267,"0")+IFERROR(X268/H268,"0")</f>
        <v>125</v>
      </c>
      <c r="Y269" s="545">
        <f>IFERROR(Y266/H266,"0")+IFERROR(Y267/H267,"0")+IFERROR(Y268/H268,"0")</f>
        <v>125</v>
      </c>
      <c r="Z269" s="545">
        <f>IFERROR(IF(Z266="",0,Z266),"0")+IFERROR(IF(Z267="",0,Z267),"0")+IFERROR(IF(Z268="",0,Z268),"0")</f>
        <v>0.81374999999999997</v>
      </c>
      <c r="AA269" s="546"/>
      <c r="AB269" s="546"/>
      <c r="AC269" s="546"/>
    </row>
    <row r="270" spans="1:68" x14ac:dyDescent="0.2">
      <c r="A270" s="556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68</v>
      </c>
      <c r="X270" s="545">
        <f>IFERROR(SUM(X266:X268),"0")</f>
        <v>300</v>
      </c>
      <c r="Y270" s="545">
        <f>IFERROR(SUM(Y266:Y268),"0")</f>
        <v>300</v>
      </c>
      <c r="Z270" s="37"/>
      <c r="AA270" s="546"/>
      <c r="AB270" s="546"/>
      <c r="AC270" s="546"/>
    </row>
    <row r="271" spans="1:68" ht="16.5" customHeight="1" x14ac:dyDescent="0.25">
      <c r="A271" s="562" t="s">
        <v>430</v>
      </c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56"/>
      <c r="P271" s="556"/>
      <c r="Q271" s="556"/>
      <c r="R271" s="556"/>
      <c r="S271" s="556"/>
      <c r="T271" s="556"/>
      <c r="U271" s="556"/>
      <c r="V271" s="556"/>
      <c r="W271" s="556"/>
      <c r="X271" s="556"/>
      <c r="Y271" s="556"/>
      <c r="Z271" s="556"/>
      <c r="AA271" s="538"/>
      <c r="AB271" s="538"/>
      <c r="AC271" s="538"/>
    </row>
    <row r="272" spans="1:68" ht="14.25" customHeight="1" x14ac:dyDescent="0.25">
      <c r="A272" s="555" t="s">
        <v>63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9"/>
      <c r="AB272" s="539"/>
      <c r="AC272" s="539"/>
    </row>
    <row r="273" spans="1:68" ht="27" customHeight="1" x14ac:dyDescent="0.25">
      <c r="A273" s="54" t="s">
        <v>431</v>
      </c>
      <c r="B273" s="54" t="s">
        <v>432</v>
      </c>
      <c r="C273" s="31">
        <v>4301031307</v>
      </c>
      <c r="D273" s="547">
        <v>4680115880344</v>
      </c>
      <c r="E273" s="548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3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0"/>
      <c r="R273" s="550"/>
      <c r="S273" s="550"/>
      <c r="T273" s="551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69"/>
      <c r="B274" s="556"/>
      <c r="C274" s="556"/>
      <c r="D274" s="556"/>
      <c r="E274" s="556"/>
      <c r="F274" s="556"/>
      <c r="G274" s="556"/>
      <c r="H274" s="556"/>
      <c r="I274" s="556"/>
      <c r="J274" s="556"/>
      <c r="K274" s="556"/>
      <c r="L274" s="556"/>
      <c r="M274" s="556"/>
      <c r="N274" s="556"/>
      <c r="O274" s="570"/>
      <c r="P274" s="557" t="s">
        <v>70</v>
      </c>
      <c r="Q274" s="558"/>
      <c r="R274" s="558"/>
      <c r="S274" s="558"/>
      <c r="T274" s="558"/>
      <c r="U274" s="558"/>
      <c r="V274" s="559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x14ac:dyDescent="0.2">
      <c r="A275" s="556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customHeight="1" x14ac:dyDescent="0.25">
      <c r="A276" s="555" t="s">
        <v>72</v>
      </c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56"/>
      <c r="P276" s="556"/>
      <c r="Q276" s="556"/>
      <c r="R276" s="556"/>
      <c r="S276" s="556"/>
      <c r="T276" s="556"/>
      <c r="U276" s="556"/>
      <c r="V276" s="556"/>
      <c r="W276" s="556"/>
      <c r="X276" s="556"/>
      <c r="Y276" s="556"/>
      <c r="Z276" s="556"/>
      <c r="AA276" s="539"/>
      <c r="AB276" s="539"/>
      <c r="AC276" s="539"/>
    </row>
    <row r="277" spans="1:68" ht="27" customHeight="1" x14ac:dyDescent="0.25">
      <c r="A277" s="54" t="s">
        <v>434</v>
      </c>
      <c r="B277" s="54" t="s">
        <v>435</v>
      </c>
      <c r="C277" s="31">
        <v>4301051782</v>
      </c>
      <c r="D277" s="547">
        <v>4680115884618</v>
      </c>
      <c r="E277" s="548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0"/>
      <c r="R277" s="550"/>
      <c r="S277" s="550"/>
      <c r="T277" s="551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69"/>
      <c r="B278" s="556"/>
      <c r="C278" s="556"/>
      <c r="D278" s="556"/>
      <c r="E278" s="556"/>
      <c r="F278" s="556"/>
      <c r="G278" s="556"/>
      <c r="H278" s="556"/>
      <c r="I278" s="556"/>
      <c r="J278" s="556"/>
      <c r="K278" s="556"/>
      <c r="L278" s="556"/>
      <c r="M278" s="556"/>
      <c r="N278" s="556"/>
      <c r="O278" s="570"/>
      <c r="P278" s="557" t="s">
        <v>70</v>
      </c>
      <c r="Q278" s="558"/>
      <c r="R278" s="558"/>
      <c r="S278" s="558"/>
      <c r="T278" s="558"/>
      <c r="U278" s="558"/>
      <c r="V278" s="559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x14ac:dyDescent="0.2">
      <c r="A279" s="556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customHeight="1" x14ac:dyDescent="0.25">
      <c r="A280" s="562" t="s">
        <v>437</v>
      </c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56"/>
      <c r="P280" s="556"/>
      <c r="Q280" s="556"/>
      <c r="R280" s="556"/>
      <c r="S280" s="556"/>
      <c r="T280" s="556"/>
      <c r="U280" s="556"/>
      <c r="V280" s="556"/>
      <c r="W280" s="556"/>
      <c r="X280" s="556"/>
      <c r="Y280" s="556"/>
      <c r="Z280" s="556"/>
      <c r="AA280" s="538"/>
      <c r="AB280" s="538"/>
      <c r="AC280" s="538"/>
    </row>
    <row r="281" spans="1:68" ht="14.25" customHeight="1" x14ac:dyDescent="0.25">
      <c r="A281" s="555" t="s">
        <v>98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9"/>
      <c r="AB281" s="539"/>
      <c r="AC281" s="539"/>
    </row>
    <row r="282" spans="1:68" ht="27" customHeight="1" x14ac:dyDescent="0.25">
      <c r="A282" s="54" t="s">
        <v>438</v>
      </c>
      <c r="B282" s="54" t="s">
        <v>439</v>
      </c>
      <c r="C282" s="31">
        <v>4301011662</v>
      </c>
      <c r="D282" s="547">
        <v>4680115883703</v>
      </c>
      <c r="E282" s="548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7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0"/>
      <c r="R282" s="550"/>
      <c r="S282" s="550"/>
      <c r="T282" s="551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69"/>
      <c r="B283" s="556"/>
      <c r="C283" s="556"/>
      <c r="D283" s="556"/>
      <c r="E283" s="556"/>
      <c r="F283" s="556"/>
      <c r="G283" s="556"/>
      <c r="H283" s="556"/>
      <c r="I283" s="556"/>
      <c r="J283" s="556"/>
      <c r="K283" s="556"/>
      <c r="L283" s="556"/>
      <c r="M283" s="556"/>
      <c r="N283" s="556"/>
      <c r="O283" s="570"/>
      <c r="P283" s="557" t="s">
        <v>70</v>
      </c>
      <c r="Q283" s="558"/>
      <c r="R283" s="558"/>
      <c r="S283" s="558"/>
      <c r="T283" s="558"/>
      <c r="U283" s="558"/>
      <c r="V283" s="559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x14ac:dyDescent="0.2">
      <c r="A284" s="556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customHeight="1" x14ac:dyDescent="0.25">
      <c r="A285" s="562" t="s">
        <v>442</v>
      </c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56"/>
      <c r="P285" s="556"/>
      <c r="Q285" s="556"/>
      <c r="R285" s="556"/>
      <c r="S285" s="556"/>
      <c r="T285" s="556"/>
      <c r="U285" s="556"/>
      <c r="V285" s="556"/>
      <c r="W285" s="556"/>
      <c r="X285" s="556"/>
      <c r="Y285" s="556"/>
      <c r="Z285" s="556"/>
      <c r="AA285" s="538"/>
      <c r="AB285" s="538"/>
      <c r="AC285" s="538"/>
    </row>
    <row r="286" spans="1:68" ht="14.25" customHeight="1" x14ac:dyDescent="0.25">
      <c r="A286" s="555" t="s">
        <v>98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9"/>
      <c r="AB286" s="539"/>
      <c r="AC286" s="539"/>
    </row>
    <row r="287" spans="1:68" ht="27" customHeight="1" x14ac:dyDescent="0.25">
      <c r="A287" s="54" t="s">
        <v>443</v>
      </c>
      <c r="B287" s="54" t="s">
        <v>444</v>
      </c>
      <c r="C287" s="31">
        <v>4301012024</v>
      </c>
      <c r="D287" s="547">
        <v>4680115885615</v>
      </c>
      <c r="E287" s="548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66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0"/>
      <c r="R287" s="550"/>
      <c r="S287" s="550"/>
      <c r="T287" s="551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446</v>
      </c>
      <c r="B288" s="54" t="s">
        <v>447</v>
      </c>
      <c r="C288" s="31">
        <v>4301011858</v>
      </c>
      <c r="D288" s="547">
        <v>4680115885646</v>
      </c>
      <c r="E288" s="548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85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0"/>
      <c r="R288" s="550"/>
      <c r="S288" s="550"/>
      <c r="T288" s="551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449</v>
      </c>
      <c r="B289" s="54" t="s">
        <v>450</v>
      </c>
      <c r="C289" s="31">
        <v>4301012016</v>
      </c>
      <c r="D289" s="547">
        <v>4680115885554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6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4301011857</v>
      </c>
      <c r="D290" s="547">
        <v>4680115885622</v>
      </c>
      <c r="E290" s="548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5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0"/>
      <c r="R290" s="550"/>
      <c r="S290" s="550"/>
      <c r="T290" s="551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4301011859</v>
      </c>
      <c r="D291" s="547">
        <v>4680115885608</v>
      </c>
      <c r="E291" s="548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0"/>
      <c r="R291" s="550"/>
      <c r="S291" s="550"/>
      <c r="T291" s="551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569"/>
      <c r="B292" s="556"/>
      <c r="C292" s="556"/>
      <c r="D292" s="556"/>
      <c r="E292" s="556"/>
      <c r="F292" s="556"/>
      <c r="G292" s="556"/>
      <c r="H292" s="556"/>
      <c r="I292" s="556"/>
      <c r="J292" s="556"/>
      <c r="K292" s="556"/>
      <c r="L292" s="556"/>
      <c r="M292" s="556"/>
      <c r="N292" s="556"/>
      <c r="O292" s="570"/>
      <c r="P292" s="557" t="s">
        <v>70</v>
      </c>
      <c r="Q292" s="558"/>
      <c r="R292" s="558"/>
      <c r="S292" s="558"/>
      <c r="T292" s="558"/>
      <c r="U292" s="558"/>
      <c r="V292" s="559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x14ac:dyDescent="0.2">
      <c r="A293" s="556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customHeight="1" x14ac:dyDescent="0.25">
      <c r="A294" s="555" t="s">
        <v>63</v>
      </c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56"/>
      <c r="P294" s="556"/>
      <c r="Q294" s="556"/>
      <c r="R294" s="556"/>
      <c r="S294" s="556"/>
      <c r="T294" s="556"/>
      <c r="U294" s="556"/>
      <c r="V294" s="556"/>
      <c r="W294" s="556"/>
      <c r="X294" s="556"/>
      <c r="Y294" s="556"/>
      <c r="Z294" s="556"/>
      <c r="AA294" s="539"/>
      <c r="AB294" s="539"/>
      <c r="AC294" s="539"/>
    </row>
    <row r="295" spans="1:68" ht="27" customHeight="1" x14ac:dyDescent="0.25">
      <c r="A295" s="54" t="s">
        <v>457</v>
      </c>
      <c r="B295" s="54" t="s">
        <v>458</v>
      </c>
      <c r="C295" s="31">
        <v>4301030878</v>
      </c>
      <c r="D295" s="547">
        <v>4607091387193</v>
      </c>
      <c r="E295" s="548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8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0"/>
      <c r="R295" s="550"/>
      <c r="S295" s="550"/>
      <c r="T295" s="551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customHeight="1" x14ac:dyDescent="0.25">
      <c r="A296" s="54" t="s">
        <v>460</v>
      </c>
      <c r="B296" s="54" t="s">
        <v>461</v>
      </c>
      <c r="C296" s="31">
        <v>4301031153</v>
      </c>
      <c r="D296" s="547">
        <v>4607091387230</v>
      </c>
      <c r="E296" s="548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0"/>
      <c r="R296" s="550"/>
      <c r="S296" s="550"/>
      <c r="T296" s="551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customHeight="1" x14ac:dyDescent="0.25">
      <c r="A297" s="54" t="s">
        <v>463</v>
      </c>
      <c r="B297" s="54" t="s">
        <v>464</v>
      </c>
      <c r="C297" s="31">
        <v>4301031154</v>
      </c>
      <c r="D297" s="547">
        <v>4607091387292</v>
      </c>
      <c r="E297" s="548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8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466</v>
      </c>
      <c r="B298" s="54" t="s">
        <v>467</v>
      </c>
      <c r="C298" s="31">
        <v>4301031152</v>
      </c>
      <c r="D298" s="547">
        <v>4607091387285</v>
      </c>
      <c r="E298" s="548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0"/>
      <c r="R298" s="550"/>
      <c r="S298" s="550"/>
      <c r="T298" s="551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4301031305</v>
      </c>
      <c r="D299" s="547">
        <v>4607091389845</v>
      </c>
      <c r="E299" s="548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0"/>
      <c r="R299" s="550"/>
      <c r="S299" s="550"/>
      <c r="T299" s="551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4301031306</v>
      </c>
      <c r="D300" s="547">
        <v>4680115882881</v>
      </c>
      <c r="E300" s="548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0"/>
      <c r="R300" s="550"/>
      <c r="S300" s="550"/>
      <c r="T300" s="551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4301031066</v>
      </c>
      <c r="D301" s="547">
        <v>4607091383836</v>
      </c>
      <c r="E301" s="548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80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0"/>
      <c r="R301" s="550"/>
      <c r="S301" s="550"/>
      <c r="T301" s="551"/>
      <c r="U301" s="34"/>
      <c r="V301" s="34"/>
      <c r="W301" s="35" t="s">
        <v>68</v>
      </c>
      <c r="X301" s="543">
        <v>15</v>
      </c>
      <c r="Y301" s="544">
        <f t="shared" si="27"/>
        <v>16.2</v>
      </c>
      <c r="Z301" s="36">
        <f>IFERROR(IF(Y301=0,"",ROUNDUP(Y301/H301,0)*0.00651),"")</f>
        <v>5.8590000000000003E-2</v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16.900000000000002</v>
      </c>
      <c r="BN301" s="64">
        <f t="shared" si="29"/>
        <v>18.251999999999999</v>
      </c>
      <c r="BO301" s="64">
        <f t="shared" si="30"/>
        <v>4.5787545787545791E-2</v>
      </c>
      <c r="BP301" s="64">
        <f t="shared" si="31"/>
        <v>4.9450549450549455E-2</v>
      </c>
    </row>
    <row r="302" spans="1:68" x14ac:dyDescent="0.2">
      <c r="A302" s="569"/>
      <c r="B302" s="556"/>
      <c r="C302" s="556"/>
      <c r="D302" s="556"/>
      <c r="E302" s="556"/>
      <c r="F302" s="556"/>
      <c r="G302" s="556"/>
      <c r="H302" s="556"/>
      <c r="I302" s="556"/>
      <c r="J302" s="556"/>
      <c r="K302" s="556"/>
      <c r="L302" s="556"/>
      <c r="M302" s="556"/>
      <c r="N302" s="556"/>
      <c r="O302" s="570"/>
      <c r="P302" s="557" t="s">
        <v>70</v>
      </c>
      <c r="Q302" s="558"/>
      <c r="R302" s="558"/>
      <c r="S302" s="558"/>
      <c r="T302" s="558"/>
      <c r="U302" s="558"/>
      <c r="V302" s="559"/>
      <c r="W302" s="37" t="s">
        <v>71</v>
      </c>
      <c r="X302" s="545">
        <f>IFERROR(X295/H295,"0")+IFERROR(X296/H296,"0")+IFERROR(X297/H297,"0")+IFERROR(X298/H298,"0")+IFERROR(X299/H299,"0")+IFERROR(X300/H300,"0")+IFERROR(X301/H301,"0")</f>
        <v>8.3333333333333339</v>
      </c>
      <c r="Y302" s="545">
        <f>IFERROR(Y295/H295,"0")+IFERROR(Y296/H296,"0")+IFERROR(Y297/H297,"0")+IFERROR(Y298/H298,"0")+IFERROR(Y299/H299,"0")+IFERROR(Y300/H300,"0")+IFERROR(Y301/H301,"0")</f>
        <v>9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5.8590000000000003E-2</v>
      </c>
      <c r="AA302" s="546"/>
      <c r="AB302" s="546"/>
      <c r="AC302" s="546"/>
    </row>
    <row r="303" spans="1:68" x14ac:dyDescent="0.2">
      <c r="A303" s="556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68</v>
      </c>
      <c r="X303" s="545">
        <f>IFERROR(SUM(X295:X301),"0")</f>
        <v>15</v>
      </c>
      <c r="Y303" s="545">
        <f>IFERROR(SUM(Y295:Y301),"0")</f>
        <v>16.2</v>
      </c>
      <c r="Z303" s="37"/>
      <c r="AA303" s="546"/>
      <c r="AB303" s="546"/>
      <c r="AC303" s="546"/>
    </row>
    <row r="304" spans="1:68" ht="14.25" customHeight="1" x14ac:dyDescent="0.25">
      <c r="A304" s="555" t="s">
        <v>72</v>
      </c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56"/>
      <c r="P304" s="556"/>
      <c r="Q304" s="556"/>
      <c r="R304" s="556"/>
      <c r="S304" s="556"/>
      <c r="T304" s="556"/>
      <c r="U304" s="556"/>
      <c r="V304" s="556"/>
      <c r="W304" s="556"/>
      <c r="X304" s="556"/>
      <c r="Y304" s="556"/>
      <c r="Z304" s="556"/>
      <c r="AA304" s="539"/>
      <c r="AB304" s="539"/>
      <c r="AC304" s="539"/>
    </row>
    <row r="305" spans="1:68" ht="27" customHeight="1" x14ac:dyDescent="0.25">
      <c r="A305" s="54" t="s">
        <v>476</v>
      </c>
      <c r="B305" s="54" t="s">
        <v>477</v>
      </c>
      <c r="C305" s="31">
        <v>4301051100</v>
      </c>
      <c r="D305" s="547">
        <v>4607091387766</v>
      </c>
      <c r="E305" s="548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69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0"/>
      <c r="R305" s="550"/>
      <c r="S305" s="550"/>
      <c r="T305" s="551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479</v>
      </c>
      <c r="B306" s="54" t="s">
        <v>480</v>
      </c>
      <c r="C306" s="31">
        <v>4301051818</v>
      </c>
      <c r="D306" s="547">
        <v>4607091387957</v>
      </c>
      <c r="E306" s="548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0"/>
      <c r="R306" s="550"/>
      <c r="S306" s="550"/>
      <c r="T306" s="551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482</v>
      </c>
      <c r="B307" s="54" t="s">
        <v>483</v>
      </c>
      <c r="C307" s="31">
        <v>4301051819</v>
      </c>
      <c r="D307" s="547">
        <v>4607091387964</v>
      </c>
      <c r="E307" s="548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0"/>
      <c r="R307" s="550"/>
      <c r="S307" s="550"/>
      <c r="T307" s="551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485</v>
      </c>
      <c r="B308" s="54" t="s">
        <v>486</v>
      </c>
      <c r="C308" s="31">
        <v>4301051734</v>
      </c>
      <c r="D308" s="547">
        <v>4680115884588</v>
      </c>
      <c r="E308" s="548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0"/>
      <c r="R308" s="550"/>
      <c r="S308" s="550"/>
      <c r="T308" s="55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4301051578</v>
      </c>
      <c r="D309" s="547">
        <v>4607091387513</v>
      </c>
      <c r="E309" s="548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0"/>
      <c r="R309" s="550"/>
      <c r="S309" s="550"/>
      <c r="T309" s="55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69"/>
      <c r="B310" s="556"/>
      <c r="C310" s="556"/>
      <c r="D310" s="556"/>
      <c r="E310" s="556"/>
      <c r="F310" s="556"/>
      <c r="G310" s="556"/>
      <c r="H310" s="556"/>
      <c r="I310" s="556"/>
      <c r="J310" s="556"/>
      <c r="K310" s="556"/>
      <c r="L310" s="556"/>
      <c r="M310" s="556"/>
      <c r="N310" s="556"/>
      <c r="O310" s="570"/>
      <c r="P310" s="557" t="s">
        <v>70</v>
      </c>
      <c r="Q310" s="558"/>
      <c r="R310" s="558"/>
      <c r="S310" s="558"/>
      <c r="T310" s="558"/>
      <c r="U310" s="558"/>
      <c r="V310" s="559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x14ac:dyDescent="0.2">
      <c r="A311" s="556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customHeight="1" x14ac:dyDescent="0.25">
      <c r="A312" s="555" t="s">
        <v>160</v>
      </c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56"/>
      <c r="P312" s="556"/>
      <c r="Q312" s="556"/>
      <c r="R312" s="556"/>
      <c r="S312" s="556"/>
      <c r="T312" s="556"/>
      <c r="U312" s="556"/>
      <c r="V312" s="556"/>
      <c r="W312" s="556"/>
      <c r="X312" s="556"/>
      <c r="Y312" s="556"/>
      <c r="Z312" s="556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47">
        <v>4607091380880</v>
      </c>
      <c r="E313" s="548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86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0"/>
      <c r="R313" s="550"/>
      <c r="S313" s="550"/>
      <c r="T313" s="551"/>
      <c r="U313" s="34"/>
      <c r="V313" s="34"/>
      <c r="W313" s="35" t="s">
        <v>68</v>
      </c>
      <c r="X313" s="543">
        <v>0</v>
      </c>
      <c r="Y313" s="54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4301060406</v>
      </c>
      <c r="D314" s="547">
        <v>4607091384482</v>
      </c>
      <c r="E314" s="548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7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0"/>
      <c r="R314" s="550"/>
      <c r="S314" s="550"/>
      <c r="T314" s="551"/>
      <c r="U314" s="34"/>
      <c r="V314" s="34"/>
      <c r="W314" s="35" t="s">
        <v>68</v>
      </c>
      <c r="X314" s="543">
        <v>240</v>
      </c>
      <c r="Y314" s="544">
        <f>IFERROR(IF(X314="",0,CEILING((X314/$H314),1)*$H314),"")</f>
        <v>241.79999999999998</v>
      </c>
      <c r="Z314" s="36">
        <f>IFERROR(IF(Y314=0,"",ROUNDUP(Y314/H314,0)*0.01898),"")</f>
        <v>0.58838000000000001</v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255.96923076923079</v>
      </c>
      <c r="BN314" s="64">
        <f>IFERROR(Y314*I314/H314,"0")</f>
        <v>257.88900000000001</v>
      </c>
      <c r="BO314" s="64">
        <f>IFERROR(1/J314*(X314/H314),"0")</f>
        <v>0.48076923076923078</v>
      </c>
      <c r="BP314" s="64">
        <f>IFERROR(1/J314*(Y314/H314),"0")</f>
        <v>0.484375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47">
        <v>4607091380897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55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0"/>
      <c r="R315" s="550"/>
      <c r="S315" s="550"/>
      <c r="T315" s="551"/>
      <c r="U315" s="34"/>
      <c r="V315" s="34"/>
      <c r="W315" s="35" t="s">
        <v>68</v>
      </c>
      <c r="X315" s="543">
        <v>140</v>
      </c>
      <c r="Y315" s="544">
        <f>IFERROR(IF(X315="",0,CEILING((X315/$H315),1)*$H315),"")</f>
        <v>142.80000000000001</v>
      </c>
      <c r="Z315" s="36">
        <f>IFERROR(IF(Y315=0,"",ROUNDUP(Y315/H315,0)*0.01898),"")</f>
        <v>0.32266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148.65</v>
      </c>
      <c r="BN315" s="64">
        <f>IFERROR(Y315*I315/H315,"0")</f>
        <v>151.62300000000002</v>
      </c>
      <c r="BO315" s="64">
        <f>IFERROR(1/J315*(X315/H315),"0")</f>
        <v>0.26041666666666663</v>
      </c>
      <c r="BP315" s="64">
        <f>IFERROR(1/J315*(Y315/H315),"0")</f>
        <v>0.265625</v>
      </c>
    </row>
    <row r="316" spans="1:68" x14ac:dyDescent="0.2">
      <c r="A316" s="569"/>
      <c r="B316" s="556"/>
      <c r="C316" s="556"/>
      <c r="D316" s="556"/>
      <c r="E316" s="556"/>
      <c r="F316" s="556"/>
      <c r="G316" s="556"/>
      <c r="H316" s="556"/>
      <c r="I316" s="556"/>
      <c r="J316" s="556"/>
      <c r="K316" s="556"/>
      <c r="L316" s="556"/>
      <c r="M316" s="556"/>
      <c r="N316" s="556"/>
      <c r="O316" s="570"/>
      <c r="P316" s="557" t="s">
        <v>70</v>
      </c>
      <c r="Q316" s="558"/>
      <c r="R316" s="558"/>
      <c r="S316" s="558"/>
      <c r="T316" s="558"/>
      <c r="U316" s="558"/>
      <c r="V316" s="559"/>
      <c r="W316" s="37" t="s">
        <v>71</v>
      </c>
      <c r="X316" s="545">
        <f>IFERROR(X313/H313,"0")+IFERROR(X314/H314,"0")+IFERROR(X315/H315,"0")</f>
        <v>47.435897435897431</v>
      </c>
      <c r="Y316" s="545">
        <f>IFERROR(Y313/H313,"0")+IFERROR(Y314/H314,"0")+IFERROR(Y315/H315,"0")</f>
        <v>48</v>
      </c>
      <c r="Z316" s="545">
        <f>IFERROR(IF(Z313="",0,Z313),"0")+IFERROR(IF(Z314="",0,Z314),"0")+IFERROR(IF(Z315="",0,Z315),"0")</f>
        <v>0.91104000000000007</v>
      </c>
      <c r="AA316" s="546"/>
      <c r="AB316" s="546"/>
      <c r="AC316" s="546"/>
    </row>
    <row r="317" spans="1:68" x14ac:dyDescent="0.2">
      <c r="A317" s="556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68</v>
      </c>
      <c r="X317" s="545">
        <f>IFERROR(SUM(X313:X315),"0")</f>
        <v>380</v>
      </c>
      <c r="Y317" s="545">
        <f>IFERROR(SUM(Y313:Y315),"0")</f>
        <v>384.6</v>
      </c>
      <c r="Z317" s="37"/>
      <c r="AA317" s="546"/>
      <c r="AB317" s="546"/>
      <c r="AC317" s="546"/>
    </row>
    <row r="318" spans="1:68" ht="14.25" customHeight="1" x14ac:dyDescent="0.25">
      <c r="A318" s="555" t="s">
        <v>90</v>
      </c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56"/>
      <c r="P318" s="556"/>
      <c r="Q318" s="556"/>
      <c r="R318" s="556"/>
      <c r="S318" s="556"/>
      <c r="T318" s="556"/>
      <c r="U318" s="556"/>
      <c r="V318" s="556"/>
      <c r="W318" s="556"/>
      <c r="X318" s="556"/>
      <c r="Y318" s="556"/>
      <c r="Z318" s="556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47">
        <v>4607091388381</v>
      </c>
      <c r="E319" s="548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859" t="s">
        <v>502</v>
      </c>
      <c r="Q319" s="550"/>
      <c r="R319" s="550"/>
      <c r="S319" s="550"/>
      <c r="T319" s="551"/>
      <c r="U319" s="34"/>
      <c r="V319" s="34"/>
      <c r="W319" s="35" t="s">
        <v>68</v>
      </c>
      <c r="X319" s="543">
        <v>0</v>
      </c>
      <c r="Y319" s="54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47">
        <v>4607091388374</v>
      </c>
      <c r="E320" s="548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73" t="s">
        <v>506</v>
      </c>
      <c r="Q320" s="550"/>
      <c r="R320" s="550"/>
      <c r="S320" s="550"/>
      <c r="T320" s="551"/>
      <c r="U320" s="34"/>
      <c r="V320" s="34"/>
      <c r="W320" s="35" t="s">
        <v>68</v>
      </c>
      <c r="X320" s="543">
        <v>0</v>
      </c>
      <c r="Y320" s="54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507</v>
      </c>
      <c r="B321" s="54" t="s">
        <v>508</v>
      </c>
      <c r="C321" s="31">
        <v>4301032015</v>
      </c>
      <c r="D321" s="547">
        <v>4607091383102</v>
      </c>
      <c r="E321" s="548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0"/>
      <c r="R321" s="550"/>
      <c r="S321" s="550"/>
      <c r="T321" s="55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47">
        <v>4607091388404</v>
      </c>
      <c r="E322" s="548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0"/>
      <c r="R322" s="550"/>
      <c r="S322" s="550"/>
      <c r="T322" s="55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69"/>
      <c r="B323" s="556"/>
      <c r="C323" s="556"/>
      <c r="D323" s="556"/>
      <c r="E323" s="556"/>
      <c r="F323" s="556"/>
      <c r="G323" s="556"/>
      <c r="H323" s="556"/>
      <c r="I323" s="556"/>
      <c r="J323" s="556"/>
      <c r="K323" s="556"/>
      <c r="L323" s="556"/>
      <c r="M323" s="556"/>
      <c r="N323" s="556"/>
      <c r="O323" s="570"/>
      <c r="P323" s="557" t="s">
        <v>70</v>
      </c>
      <c r="Q323" s="558"/>
      <c r="R323" s="558"/>
      <c r="S323" s="558"/>
      <c r="T323" s="558"/>
      <c r="U323" s="558"/>
      <c r="V323" s="559"/>
      <c r="W323" s="37" t="s">
        <v>71</v>
      </c>
      <c r="X323" s="545">
        <f>IFERROR(X319/H319,"0")+IFERROR(X320/H320,"0")+IFERROR(X321/H321,"0")+IFERROR(X322/H322,"0")</f>
        <v>0</v>
      </c>
      <c r="Y323" s="545">
        <f>IFERROR(Y319/H319,"0")+IFERROR(Y320/H320,"0")+IFERROR(Y321/H321,"0")+IFERROR(Y322/H322,"0")</f>
        <v>0</v>
      </c>
      <c r="Z323" s="545">
        <f>IFERROR(IF(Z319="",0,Z319),"0")+IFERROR(IF(Z320="",0,Z320),"0")+IFERROR(IF(Z321="",0,Z321),"0")+IFERROR(IF(Z322="",0,Z322),"0")</f>
        <v>0</v>
      </c>
      <c r="AA323" s="546"/>
      <c r="AB323" s="546"/>
      <c r="AC323" s="546"/>
    </row>
    <row r="324" spans="1:68" x14ac:dyDescent="0.2">
      <c r="A324" s="556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68</v>
      </c>
      <c r="X324" s="545">
        <f>IFERROR(SUM(X319:X322),"0")</f>
        <v>0</v>
      </c>
      <c r="Y324" s="545">
        <f>IFERROR(SUM(Y319:Y322),"0")</f>
        <v>0</v>
      </c>
      <c r="Z324" s="37"/>
      <c r="AA324" s="546"/>
      <c r="AB324" s="546"/>
      <c r="AC324" s="546"/>
    </row>
    <row r="325" spans="1:68" ht="14.25" customHeight="1" x14ac:dyDescent="0.25">
      <c r="A325" s="555" t="s">
        <v>512</v>
      </c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56"/>
      <c r="P325" s="556"/>
      <c r="Q325" s="556"/>
      <c r="R325" s="556"/>
      <c r="S325" s="556"/>
      <c r="T325" s="556"/>
      <c r="U325" s="556"/>
      <c r="V325" s="556"/>
      <c r="W325" s="556"/>
      <c r="X325" s="556"/>
      <c r="Y325" s="556"/>
      <c r="Z325" s="556"/>
      <c r="AA325" s="539"/>
      <c r="AB325" s="539"/>
      <c r="AC325" s="539"/>
    </row>
    <row r="326" spans="1:68" ht="16.5" customHeight="1" x14ac:dyDescent="0.25">
      <c r="A326" s="54" t="s">
        <v>513</v>
      </c>
      <c r="B326" s="54" t="s">
        <v>514</v>
      </c>
      <c r="C326" s="31">
        <v>4301180007</v>
      </c>
      <c r="D326" s="547">
        <v>4680115881808</v>
      </c>
      <c r="E326" s="548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5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0"/>
      <c r="R326" s="550"/>
      <c r="S326" s="550"/>
      <c r="T326" s="551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517</v>
      </c>
      <c r="B327" s="54" t="s">
        <v>518</v>
      </c>
      <c r="C327" s="31">
        <v>4301180006</v>
      </c>
      <c r="D327" s="547">
        <v>4680115881822</v>
      </c>
      <c r="E327" s="548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0"/>
      <c r="R327" s="550"/>
      <c r="S327" s="550"/>
      <c r="T327" s="551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4301180001</v>
      </c>
      <c r="D328" s="547">
        <v>4680115880016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5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0"/>
      <c r="R328" s="550"/>
      <c r="S328" s="550"/>
      <c r="T328" s="55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69"/>
      <c r="B329" s="556"/>
      <c r="C329" s="556"/>
      <c r="D329" s="556"/>
      <c r="E329" s="556"/>
      <c r="F329" s="556"/>
      <c r="G329" s="556"/>
      <c r="H329" s="556"/>
      <c r="I329" s="556"/>
      <c r="J329" s="556"/>
      <c r="K329" s="556"/>
      <c r="L329" s="556"/>
      <c r="M329" s="556"/>
      <c r="N329" s="556"/>
      <c r="O329" s="570"/>
      <c r="P329" s="557" t="s">
        <v>70</v>
      </c>
      <c r="Q329" s="558"/>
      <c r="R329" s="558"/>
      <c r="S329" s="558"/>
      <c r="T329" s="558"/>
      <c r="U329" s="558"/>
      <c r="V329" s="559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x14ac:dyDescent="0.2">
      <c r="A330" s="556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customHeight="1" x14ac:dyDescent="0.25">
      <c r="A331" s="562" t="s">
        <v>521</v>
      </c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56"/>
      <c r="P331" s="556"/>
      <c r="Q331" s="556"/>
      <c r="R331" s="556"/>
      <c r="S331" s="556"/>
      <c r="T331" s="556"/>
      <c r="U331" s="556"/>
      <c r="V331" s="556"/>
      <c r="W331" s="556"/>
      <c r="X331" s="556"/>
      <c r="Y331" s="556"/>
      <c r="Z331" s="556"/>
      <c r="AA331" s="538"/>
      <c r="AB331" s="538"/>
      <c r="AC331" s="538"/>
    </row>
    <row r="332" spans="1:68" ht="14.25" customHeight="1" x14ac:dyDescent="0.25">
      <c r="A332" s="555" t="s">
        <v>72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9"/>
      <c r="AB332" s="539"/>
      <c r="AC332" s="539"/>
    </row>
    <row r="333" spans="1:68" ht="27" customHeight="1" x14ac:dyDescent="0.25">
      <c r="A333" s="54" t="s">
        <v>522</v>
      </c>
      <c r="B333" s="54" t="s">
        <v>523</v>
      </c>
      <c r="C333" s="31">
        <v>4301051489</v>
      </c>
      <c r="D333" s="547">
        <v>4607091387919</v>
      </c>
      <c r="E333" s="548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79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0"/>
      <c r="R333" s="550"/>
      <c r="S333" s="550"/>
      <c r="T333" s="551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525</v>
      </c>
      <c r="B334" s="54" t="s">
        <v>526</v>
      </c>
      <c r="C334" s="31">
        <v>4301051461</v>
      </c>
      <c r="D334" s="547">
        <v>4680115883604</v>
      </c>
      <c r="E334" s="548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6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0"/>
      <c r="R334" s="550"/>
      <c r="S334" s="550"/>
      <c r="T334" s="551"/>
      <c r="U334" s="34"/>
      <c r="V334" s="34"/>
      <c r="W334" s="35" t="s">
        <v>68</v>
      </c>
      <c r="X334" s="543">
        <v>735</v>
      </c>
      <c r="Y334" s="544">
        <f>IFERROR(IF(X334="",0,CEILING((X334/$H334),1)*$H334),"")</f>
        <v>735</v>
      </c>
      <c r="Z334" s="36">
        <f>IFERROR(IF(Y334=0,"",ROUNDUP(Y334/H334,0)*0.00651),"")</f>
        <v>2.2785000000000002</v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823.19999999999982</v>
      </c>
      <c r="BN334" s="64">
        <f>IFERROR(Y334*I334/H334,"0")</f>
        <v>823.19999999999982</v>
      </c>
      <c r="BO334" s="64">
        <f>IFERROR(1/J334*(X334/H334),"0")</f>
        <v>1.9230769230769231</v>
      </c>
      <c r="BP334" s="64">
        <f>IFERROR(1/J334*(Y334/H334),"0")</f>
        <v>1.9230769230769231</v>
      </c>
    </row>
    <row r="335" spans="1:68" ht="27" customHeight="1" x14ac:dyDescent="0.25">
      <c r="A335" s="54" t="s">
        <v>528</v>
      </c>
      <c r="B335" s="54" t="s">
        <v>529</v>
      </c>
      <c r="C335" s="31">
        <v>4301051864</v>
      </c>
      <c r="D335" s="547">
        <v>4680115883567</v>
      </c>
      <c r="E335" s="548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7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0"/>
      <c r="R335" s="550"/>
      <c r="S335" s="550"/>
      <c r="T335" s="551"/>
      <c r="U335" s="34"/>
      <c r="V335" s="34"/>
      <c r="W335" s="35" t="s">
        <v>68</v>
      </c>
      <c r="X335" s="543">
        <v>350</v>
      </c>
      <c r="Y335" s="544">
        <f>IFERROR(IF(X335="",0,CEILING((X335/$H335),1)*$H335),"")</f>
        <v>350.7</v>
      </c>
      <c r="Z335" s="36">
        <f>IFERROR(IF(Y335=0,"",ROUNDUP(Y335/H335,0)*0.00651),"")</f>
        <v>1.08717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390</v>
      </c>
      <c r="BN335" s="64">
        <f>IFERROR(Y335*I335/H335,"0")</f>
        <v>390.78</v>
      </c>
      <c r="BO335" s="64">
        <f>IFERROR(1/J335*(X335/H335),"0")</f>
        <v>0.91575091575091572</v>
      </c>
      <c r="BP335" s="64">
        <f>IFERROR(1/J335*(Y335/H335),"0")</f>
        <v>0.91758241758241765</v>
      </c>
    </row>
    <row r="336" spans="1:68" x14ac:dyDescent="0.2">
      <c r="A336" s="569"/>
      <c r="B336" s="556"/>
      <c r="C336" s="556"/>
      <c r="D336" s="556"/>
      <c r="E336" s="556"/>
      <c r="F336" s="556"/>
      <c r="G336" s="556"/>
      <c r="H336" s="556"/>
      <c r="I336" s="556"/>
      <c r="J336" s="556"/>
      <c r="K336" s="556"/>
      <c r="L336" s="556"/>
      <c r="M336" s="556"/>
      <c r="N336" s="556"/>
      <c r="O336" s="570"/>
      <c r="P336" s="557" t="s">
        <v>70</v>
      </c>
      <c r="Q336" s="558"/>
      <c r="R336" s="558"/>
      <c r="S336" s="558"/>
      <c r="T336" s="558"/>
      <c r="U336" s="558"/>
      <c r="V336" s="559"/>
      <c r="W336" s="37" t="s">
        <v>71</v>
      </c>
      <c r="X336" s="545">
        <f>IFERROR(X333/H333,"0")+IFERROR(X334/H334,"0")+IFERROR(X335/H335,"0")</f>
        <v>516.66666666666663</v>
      </c>
      <c r="Y336" s="545">
        <f>IFERROR(Y333/H333,"0")+IFERROR(Y334/H334,"0")+IFERROR(Y335/H335,"0")</f>
        <v>517</v>
      </c>
      <c r="Z336" s="545">
        <f>IFERROR(IF(Z333="",0,Z333),"0")+IFERROR(IF(Z334="",0,Z334),"0")+IFERROR(IF(Z335="",0,Z335),"0")</f>
        <v>3.3656700000000002</v>
      </c>
      <c r="AA336" s="546"/>
      <c r="AB336" s="546"/>
      <c r="AC336" s="546"/>
    </row>
    <row r="337" spans="1:68" x14ac:dyDescent="0.2">
      <c r="A337" s="556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68</v>
      </c>
      <c r="X337" s="545">
        <f>IFERROR(SUM(X333:X335),"0")</f>
        <v>1085</v>
      </c>
      <c r="Y337" s="545">
        <f>IFERROR(SUM(Y333:Y335),"0")</f>
        <v>1085.7</v>
      </c>
      <c r="Z337" s="37"/>
      <c r="AA337" s="546"/>
      <c r="AB337" s="546"/>
      <c r="AC337" s="546"/>
    </row>
    <row r="338" spans="1:68" ht="27.75" customHeight="1" x14ac:dyDescent="0.2">
      <c r="A338" s="606" t="s">
        <v>531</v>
      </c>
      <c r="B338" s="607"/>
      <c r="C338" s="607"/>
      <c r="D338" s="607"/>
      <c r="E338" s="607"/>
      <c r="F338" s="607"/>
      <c r="G338" s="607"/>
      <c r="H338" s="607"/>
      <c r="I338" s="607"/>
      <c r="J338" s="607"/>
      <c r="K338" s="607"/>
      <c r="L338" s="607"/>
      <c r="M338" s="607"/>
      <c r="N338" s="607"/>
      <c r="O338" s="607"/>
      <c r="P338" s="607"/>
      <c r="Q338" s="607"/>
      <c r="R338" s="607"/>
      <c r="S338" s="607"/>
      <c r="T338" s="607"/>
      <c r="U338" s="607"/>
      <c r="V338" s="607"/>
      <c r="W338" s="607"/>
      <c r="X338" s="607"/>
      <c r="Y338" s="607"/>
      <c r="Z338" s="607"/>
      <c r="AA338" s="48"/>
      <c r="AB338" s="48"/>
      <c r="AC338" s="48"/>
    </row>
    <row r="339" spans="1:68" ht="16.5" customHeight="1" x14ac:dyDescent="0.25">
      <c r="A339" s="562" t="s">
        <v>532</v>
      </c>
      <c r="B339" s="556"/>
      <c r="C339" s="556"/>
      <c r="D339" s="556"/>
      <c r="E339" s="556"/>
      <c r="F339" s="556"/>
      <c r="G339" s="556"/>
      <c r="H339" s="556"/>
      <c r="I339" s="556"/>
      <c r="J339" s="556"/>
      <c r="K339" s="556"/>
      <c r="L339" s="556"/>
      <c r="M339" s="556"/>
      <c r="N339" s="556"/>
      <c r="O339" s="556"/>
      <c r="P339" s="556"/>
      <c r="Q339" s="556"/>
      <c r="R339" s="556"/>
      <c r="S339" s="556"/>
      <c r="T339" s="556"/>
      <c r="U339" s="556"/>
      <c r="V339" s="556"/>
      <c r="W339" s="556"/>
      <c r="X339" s="556"/>
      <c r="Y339" s="556"/>
      <c r="Z339" s="556"/>
      <c r="AA339" s="538"/>
      <c r="AB339" s="538"/>
      <c r="AC339" s="538"/>
    </row>
    <row r="340" spans="1:68" ht="14.25" customHeight="1" x14ac:dyDescent="0.25">
      <c r="A340" s="555" t="s">
        <v>98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47">
        <v>4680115884847</v>
      </c>
      <c r="E341" s="548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0"/>
      <c r="R341" s="550"/>
      <c r="S341" s="550"/>
      <c r="T341" s="551"/>
      <c r="U341" s="34"/>
      <c r="V341" s="34"/>
      <c r="W341" s="35" t="s">
        <v>68</v>
      </c>
      <c r="X341" s="543">
        <v>1000</v>
      </c>
      <c r="Y341" s="544">
        <f t="shared" ref="Y341:Y347" si="32">IFERROR(IF(X341="",0,CEILING((X341/$H341),1)*$H341),"")</f>
        <v>1005</v>
      </c>
      <c r="Z341" s="36">
        <f>IFERROR(IF(Y341=0,"",ROUNDUP(Y341/H341,0)*0.02175),"")</f>
        <v>1.4572499999999999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1032</v>
      </c>
      <c r="BN341" s="64">
        <f t="shared" ref="BN341:BN347" si="34">IFERROR(Y341*I341/H341,"0")</f>
        <v>1037.1600000000001</v>
      </c>
      <c r="BO341" s="64">
        <f t="shared" ref="BO341:BO347" si="35">IFERROR(1/J341*(X341/H341),"0")</f>
        <v>1.3888888888888888</v>
      </c>
      <c r="BP341" s="64">
        <f t="shared" ref="BP341:BP347" si="36">IFERROR(1/J341*(Y341/H341),"0")</f>
        <v>1.3958333333333333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47">
        <v>4680115884854</v>
      </c>
      <c r="E342" s="548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0"/>
      <c r="R342" s="550"/>
      <c r="S342" s="550"/>
      <c r="T342" s="551"/>
      <c r="U342" s="34"/>
      <c r="V342" s="34"/>
      <c r="W342" s="35" t="s">
        <v>68</v>
      </c>
      <c r="X342" s="543">
        <v>1000</v>
      </c>
      <c r="Y342" s="544">
        <f t="shared" si="32"/>
        <v>1005</v>
      </c>
      <c r="Z342" s="36">
        <f>IFERROR(IF(Y342=0,"",ROUNDUP(Y342/H342,0)*0.02175),"")</f>
        <v>1.4572499999999999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1032</v>
      </c>
      <c r="BN342" s="64">
        <f t="shared" si="34"/>
        <v>1037.1600000000001</v>
      </c>
      <c r="BO342" s="64">
        <f t="shared" si="35"/>
        <v>1.3888888888888888</v>
      </c>
      <c r="BP342" s="64">
        <f t="shared" si="36"/>
        <v>1.3958333333333333</v>
      </c>
    </row>
    <row r="343" spans="1:68" ht="37.5" customHeight="1" x14ac:dyDescent="0.25">
      <c r="A343" s="54" t="s">
        <v>539</v>
      </c>
      <c r="B343" s="54" t="s">
        <v>540</v>
      </c>
      <c r="C343" s="31">
        <v>4301011867</v>
      </c>
      <c r="D343" s="547">
        <v>4680115884830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6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3" s="550"/>
      <c r="R343" s="550"/>
      <c r="S343" s="550"/>
      <c r="T343" s="551"/>
      <c r="U343" s="34"/>
      <c r="V343" s="34"/>
      <c r="W343" s="35" t="s">
        <v>68</v>
      </c>
      <c r="X343" s="543">
        <v>1000</v>
      </c>
      <c r="Y343" s="544">
        <f t="shared" si="32"/>
        <v>1005</v>
      </c>
      <c r="Z343" s="36">
        <f>IFERROR(IF(Y343=0,"",ROUNDUP(Y343/H343,0)*0.02175),"")</f>
        <v>1.4572499999999999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1032</v>
      </c>
      <c r="BN343" s="64">
        <f t="shared" si="34"/>
        <v>1037.1600000000001</v>
      </c>
      <c r="BO343" s="64">
        <f t="shared" si="35"/>
        <v>1.3888888888888888</v>
      </c>
      <c r="BP343" s="64">
        <f t="shared" si="36"/>
        <v>1.3958333333333333</v>
      </c>
    </row>
    <row r="344" spans="1:68" ht="27" customHeight="1" x14ac:dyDescent="0.25">
      <c r="A344" s="54" t="s">
        <v>542</v>
      </c>
      <c r="B344" s="54" t="s">
        <v>543</v>
      </c>
      <c r="C344" s="31">
        <v>4301011832</v>
      </c>
      <c r="D344" s="547">
        <v>4607091383997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83</v>
      </c>
      <c r="N344" s="33"/>
      <c r="O344" s="32">
        <v>60</v>
      </c>
      <c r="P344" s="8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0"/>
      <c r="R344" s="550"/>
      <c r="S344" s="550"/>
      <c r="T344" s="551"/>
      <c r="U344" s="34"/>
      <c r="V344" s="34"/>
      <c r="W344" s="35" t="s">
        <v>68</v>
      </c>
      <c r="X344" s="543">
        <v>400</v>
      </c>
      <c r="Y344" s="544">
        <f t="shared" si="32"/>
        <v>405</v>
      </c>
      <c r="Z344" s="36">
        <f>IFERROR(IF(Y344=0,"",ROUNDUP(Y344/H344,0)*0.02175),"")</f>
        <v>0.58724999999999994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412.8</v>
      </c>
      <c r="BN344" s="64">
        <f t="shared" si="34"/>
        <v>417.96000000000004</v>
      </c>
      <c r="BO344" s="64">
        <f t="shared" si="35"/>
        <v>0.55555555555555558</v>
      </c>
      <c r="BP344" s="64">
        <f t="shared" si="36"/>
        <v>0.5625</v>
      </c>
    </row>
    <row r="345" spans="1:68" ht="27" customHeight="1" x14ac:dyDescent="0.25">
      <c r="A345" s="54" t="s">
        <v>545</v>
      </c>
      <c r="B345" s="54" t="s">
        <v>546</v>
      </c>
      <c r="C345" s="31">
        <v>4301011433</v>
      </c>
      <c r="D345" s="547">
        <v>4680115882638</v>
      </c>
      <c r="E345" s="548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76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0"/>
      <c r="R345" s="550"/>
      <c r="S345" s="550"/>
      <c r="T345" s="551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548</v>
      </c>
      <c r="B346" s="54" t="s">
        <v>549</v>
      </c>
      <c r="C346" s="31">
        <v>4301011952</v>
      </c>
      <c r="D346" s="547">
        <v>4680115884922</v>
      </c>
      <c r="E346" s="548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0"/>
      <c r="R346" s="550"/>
      <c r="S346" s="550"/>
      <c r="T346" s="551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customHeight="1" x14ac:dyDescent="0.25">
      <c r="A347" s="54" t="s">
        <v>550</v>
      </c>
      <c r="B347" s="54" t="s">
        <v>551</v>
      </c>
      <c r="C347" s="31">
        <v>4301011868</v>
      </c>
      <c r="D347" s="547">
        <v>4680115884861</v>
      </c>
      <c r="E347" s="548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0"/>
      <c r="R347" s="550"/>
      <c r="S347" s="550"/>
      <c r="T347" s="551"/>
      <c r="U347" s="34"/>
      <c r="V347" s="34"/>
      <c r="W347" s="35" t="s">
        <v>68</v>
      </c>
      <c r="X347" s="543">
        <v>25</v>
      </c>
      <c r="Y347" s="544">
        <f t="shared" si="32"/>
        <v>25</v>
      </c>
      <c r="Z347" s="36">
        <f>IFERROR(IF(Y347=0,"",ROUNDUP(Y347/H347,0)*0.00902),"")</f>
        <v>4.5100000000000001E-2</v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3"/>
        <v>26.05</v>
      </c>
      <c r="BN347" s="64">
        <f t="shared" si="34"/>
        <v>26.05</v>
      </c>
      <c r="BO347" s="64">
        <f t="shared" si="35"/>
        <v>3.787878787878788E-2</v>
      </c>
      <c r="BP347" s="64">
        <f t="shared" si="36"/>
        <v>3.787878787878788E-2</v>
      </c>
    </row>
    <row r="348" spans="1:68" x14ac:dyDescent="0.2">
      <c r="A348" s="569"/>
      <c r="B348" s="556"/>
      <c r="C348" s="556"/>
      <c r="D348" s="556"/>
      <c r="E348" s="556"/>
      <c r="F348" s="556"/>
      <c r="G348" s="556"/>
      <c r="H348" s="556"/>
      <c r="I348" s="556"/>
      <c r="J348" s="556"/>
      <c r="K348" s="556"/>
      <c r="L348" s="556"/>
      <c r="M348" s="556"/>
      <c r="N348" s="556"/>
      <c r="O348" s="570"/>
      <c r="P348" s="557" t="s">
        <v>70</v>
      </c>
      <c r="Q348" s="558"/>
      <c r="R348" s="558"/>
      <c r="S348" s="558"/>
      <c r="T348" s="558"/>
      <c r="U348" s="558"/>
      <c r="V348" s="559"/>
      <c r="W348" s="37" t="s">
        <v>71</v>
      </c>
      <c r="X348" s="545">
        <f>IFERROR(X341/H341,"0")+IFERROR(X342/H342,"0")+IFERROR(X343/H343,"0")+IFERROR(X344/H344,"0")+IFERROR(X345/H345,"0")+IFERROR(X346/H346,"0")+IFERROR(X347/H347,"0")</f>
        <v>231.66666666666666</v>
      </c>
      <c r="Y348" s="545">
        <f>IFERROR(Y341/H341,"0")+IFERROR(Y342/H342,"0")+IFERROR(Y343/H343,"0")+IFERROR(Y344/H344,"0")+IFERROR(Y345/H345,"0")+IFERROR(Y346/H346,"0")+IFERROR(Y347/H347,"0")</f>
        <v>233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5.0040999999999993</v>
      </c>
      <c r="AA348" s="546"/>
      <c r="AB348" s="546"/>
      <c r="AC348" s="546"/>
    </row>
    <row r="349" spans="1:68" x14ac:dyDescent="0.2">
      <c r="A349" s="556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68</v>
      </c>
      <c r="X349" s="545">
        <f>IFERROR(SUM(X341:X347),"0")</f>
        <v>3425</v>
      </c>
      <c r="Y349" s="545">
        <f>IFERROR(SUM(Y341:Y347),"0")</f>
        <v>3445</v>
      </c>
      <c r="Z349" s="37"/>
      <c r="AA349" s="546"/>
      <c r="AB349" s="546"/>
      <c r="AC349" s="546"/>
    </row>
    <row r="350" spans="1:68" ht="14.25" customHeight="1" x14ac:dyDescent="0.25">
      <c r="A350" s="555" t="s">
        <v>130</v>
      </c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56"/>
      <c r="P350" s="556"/>
      <c r="Q350" s="556"/>
      <c r="R350" s="556"/>
      <c r="S350" s="556"/>
      <c r="T350" s="556"/>
      <c r="U350" s="556"/>
      <c r="V350" s="556"/>
      <c r="W350" s="556"/>
      <c r="X350" s="556"/>
      <c r="Y350" s="556"/>
      <c r="Z350" s="556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47">
        <v>4607091383980</v>
      </c>
      <c r="E351" s="548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0"/>
      <c r="R351" s="550"/>
      <c r="S351" s="550"/>
      <c r="T351" s="551"/>
      <c r="U351" s="34"/>
      <c r="V351" s="34"/>
      <c r="W351" s="35" t="s">
        <v>68</v>
      </c>
      <c r="X351" s="543">
        <v>1000</v>
      </c>
      <c r="Y351" s="544">
        <f>IFERROR(IF(X351="",0,CEILING((X351/$H351),1)*$H351),"")</f>
        <v>1005</v>
      </c>
      <c r="Z351" s="36">
        <f>IFERROR(IF(Y351=0,"",ROUNDUP(Y351/H351,0)*0.02175),"")</f>
        <v>1.4572499999999999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1032</v>
      </c>
      <c r="BN351" s="64">
        <f>IFERROR(Y351*I351/H351,"0")</f>
        <v>1037.1600000000001</v>
      </c>
      <c r="BO351" s="64">
        <f>IFERROR(1/J351*(X351/H351),"0")</f>
        <v>1.3888888888888888</v>
      </c>
      <c r="BP351" s="64">
        <f>IFERROR(1/J351*(Y351/H351),"0")</f>
        <v>1.3958333333333333</v>
      </c>
    </row>
    <row r="352" spans="1:68" ht="16.5" customHeight="1" x14ac:dyDescent="0.25">
      <c r="A352" s="54" t="s">
        <v>555</v>
      </c>
      <c r="B352" s="54" t="s">
        <v>556</v>
      </c>
      <c r="C352" s="31">
        <v>4301020179</v>
      </c>
      <c r="D352" s="547">
        <v>4607091384178</v>
      </c>
      <c r="E352" s="548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66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0"/>
      <c r="R352" s="550"/>
      <c r="S352" s="550"/>
      <c r="T352" s="551"/>
      <c r="U352" s="34"/>
      <c r="V352" s="34"/>
      <c r="W352" s="35" t="s">
        <v>68</v>
      </c>
      <c r="X352" s="543">
        <v>8</v>
      </c>
      <c r="Y352" s="544">
        <f>IFERROR(IF(X352="",0,CEILING((X352/$H352),1)*$H352),"")</f>
        <v>8</v>
      </c>
      <c r="Z352" s="36">
        <f>IFERROR(IF(Y352=0,"",ROUNDUP(Y352/H352,0)*0.00902),"")</f>
        <v>1.804E-2</v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8.42</v>
      </c>
      <c r="BN352" s="64">
        <f>IFERROR(Y352*I352/H352,"0")</f>
        <v>8.42</v>
      </c>
      <c r="BO352" s="64">
        <f>IFERROR(1/J352*(X352/H352),"0")</f>
        <v>1.5151515151515152E-2</v>
      </c>
      <c r="BP352" s="64">
        <f>IFERROR(1/J352*(Y352/H352),"0")</f>
        <v>1.5151515151515152E-2</v>
      </c>
    </row>
    <row r="353" spans="1:68" x14ac:dyDescent="0.2">
      <c r="A353" s="569"/>
      <c r="B353" s="556"/>
      <c r="C353" s="556"/>
      <c r="D353" s="556"/>
      <c r="E353" s="556"/>
      <c r="F353" s="556"/>
      <c r="G353" s="556"/>
      <c r="H353" s="556"/>
      <c r="I353" s="556"/>
      <c r="J353" s="556"/>
      <c r="K353" s="556"/>
      <c r="L353" s="556"/>
      <c r="M353" s="556"/>
      <c r="N353" s="556"/>
      <c r="O353" s="570"/>
      <c r="P353" s="557" t="s">
        <v>70</v>
      </c>
      <c r="Q353" s="558"/>
      <c r="R353" s="558"/>
      <c r="S353" s="558"/>
      <c r="T353" s="558"/>
      <c r="U353" s="558"/>
      <c r="V353" s="559"/>
      <c r="W353" s="37" t="s">
        <v>71</v>
      </c>
      <c r="X353" s="545">
        <f>IFERROR(X351/H351,"0")+IFERROR(X352/H352,"0")</f>
        <v>68.666666666666671</v>
      </c>
      <c r="Y353" s="545">
        <f>IFERROR(Y351/H351,"0")+IFERROR(Y352/H352,"0")</f>
        <v>69</v>
      </c>
      <c r="Z353" s="545">
        <f>IFERROR(IF(Z351="",0,Z351),"0")+IFERROR(IF(Z352="",0,Z352),"0")</f>
        <v>1.47529</v>
      </c>
      <c r="AA353" s="546"/>
      <c r="AB353" s="546"/>
      <c r="AC353" s="546"/>
    </row>
    <row r="354" spans="1:68" x14ac:dyDescent="0.2">
      <c r="A354" s="556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68</v>
      </c>
      <c r="X354" s="545">
        <f>IFERROR(SUM(X351:X352),"0")</f>
        <v>1008</v>
      </c>
      <c r="Y354" s="545">
        <f>IFERROR(SUM(Y351:Y352),"0")</f>
        <v>1013</v>
      </c>
      <c r="Z354" s="37"/>
      <c r="AA354" s="546"/>
      <c r="AB354" s="546"/>
      <c r="AC354" s="546"/>
    </row>
    <row r="355" spans="1:68" ht="14.25" customHeight="1" x14ac:dyDescent="0.25">
      <c r="A355" s="555" t="s">
        <v>72</v>
      </c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56"/>
      <c r="P355" s="556"/>
      <c r="Q355" s="556"/>
      <c r="R355" s="556"/>
      <c r="S355" s="556"/>
      <c r="T355" s="556"/>
      <c r="U355" s="556"/>
      <c r="V355" s="556"/>
      <c r="W355" s="556"/>
      <c r="X355" s="556"/>
      <c r="Y355" s="556"/>
      <c r="Z355" s="556"/>
      <c r="AA355" s="539"/>
      <c r="AB355" s="539"/>
      <c r="AC355" s="539"/>
    </row>
    <row r="356" spans="1:68" ht="27" customHeight="1" x14ac:dyDescent="0.25">
      <c r="A356" s="54" t="s">
        <v>557</v>
      </c>
      <c r="B356" s="54" t="s">
        <v>558</v>
      </c>
      <c r="C356" s="31">
        <v>4301051903</v>
      </c>
      <c r="D356" s="547">
        <v>4607091383928</v>
      </c>
      <c r="E356" s="548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0"/>
      <c r="R356" s="550"/>
      <c r="S356" s="550"/>
      <c r="T356" s="551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47">
        <v>4607091384260</v>
      </c>
      <c r="E357" s="548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0"/>
      <c r="R357" s="550"/>
      <c r="S357" s="550"/>
      <c r="T357" s="551"/>
      <c r="U357" s="34"/>
      <c r="V357" s="34"/>
      <c r="W357" s="35" t="s">
        <v>68</v>
      </c>
      <c r="X357" s="543">
        <v>0</v>
      </c>
      <c r="Y357" s="54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69"/>
      <c r="B358" s="556"/>
      <c r="C358" s="556"/>
      <c r="D358" s="556"/>
      <c r="E358" s="556"/>
      <c r="F358" s="556"/>
      <c r="G358" s="556"/>
      <c r="H358" s="556"/>
      <c r="I358" s="556"/>
      <c r="J358" s="556"/>
      <c r="K358" s="556"/>
      <c r="L358" s="556"/>
      <c r="M358" s="556"/>
      <c r="N358" s="556"/>
      <c r="O358" s="570"/>
      <c r="P358" s="557" t="s">
        <v>70</v>
      </c>
      <c r="Q358" s="558"/>
      <c r="R358" s="558"/>
      <c r="S358" s="558"/>
      <c r="T358" s="558"/>
      <c r="U358" s="558"/>
      <c r="V358" s="559"/>
      <c r="W358" s="37" t="s">
        <v>71</v>
      </c>
      <c r="X358" s="545">
        <f>IFERROR(X356/H356,"0")+IFERROR(X357/H357,"0")</f>
        <v>0</v>
      </c>
      <c r="Y358" s="545">
        <f>IFERROR(Y356/H356,"0")+IFERROR(Y357/H357,"0")</f>
        <v>0</v>
      </c>
      <c r="Z358" s="545">
        <f>IFERROR(IF(Z356="",0,Z356),"0")+IFERROR(IF(Z357="",0,Z357),"0")</f>
        <v>0</v>
      </c>
      <c r="AA358" s="546"/>
      <c r="AB358" s="546"/>
      <c r="AC358" s="546"/>
    </row>
    <row r="359" spans="1:68" x14ac:dyDescent="0.2">
      <c r="A359" s="556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68</v>
      </c>
      <c r="X359" s="545">
        <f>IFERROR(SUM(X356:X357),"0")</f>
        <v>0</v>
      </c>
      <c r="Y359" s="545">
        <f>IFERROR(SUM(Y356:Y357),"0")</f>
        <v>0</v>
      </c>
      <c r="Z359" s="37"/>
      <c r="AA359" s="546"/>
      <c r="AB359" s="546"/>
      <c r="AC359" s="546"/>
    </row>
    <row r="360" spans="1:68" ht="14.25" customHeight="1" x14ac:dyDescent="0.25">
      <c r="A360" s="555" t="s">
        <v>160</v>
      </c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56"/>
      <c r="P360" s="556"/>
      <c r="Q360" s="556"/>
      <c r="R360" s="556"/>
      <c r="S360" s="556"/>
      <c r="T360" s="556"/>
      <c r="U360" s="556"/>
      <c r="V360" s="556"/>
      <c r="W360" s="556"/>
      <c r="X360" s="556"/>
      <c r="Y360" s="556"/>
      <c r="Z360" s="556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47">
        <v>4607091384673</v>
      </c>
      <c r="E361" s="548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12" t="s">
        <v>565</v>
      </c>
      <c r="Q361" s="550"/>
      <c r="R361" s="550"/>
      <c r="S361" s="550"/>
      <c r="T361" s="551"/>
      <c r="U361" s="34"/>
      <c r="V361" s="34"/>
      <c r="W361" s="35" t="s">
        <v>68</v>
      </c>
      <c r="X361" s="543">
        <v>20</v>
      </c>
      <c r="Y361" s="544">
        <f>IFERROR(IF(X361="",0,CEILING((X361/$H361),1)*$H361),"")</f>
        <v>27</v>
      </c>
      <c r="Z361" s="36">
        <f>IFERROR(IF(Y361=0,"",ROUNDUP(Y361/H361,0)*0.01898),"")</f>
        <v>5.6940000000000004E-2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21.153333333333332</v>
      </c>
      <c r="BN361" s="64">
        <f>IFERROR(Y361*I361/H361,"0")</f>
        <v>28.556999999999999</v>
      </c>
      <c r="BO361" s="64">
        <f>IFERROR(1/J361*(X361/H361),"0")</f>
        <v>3.4722222222222224E-2</v>
      </c>
      <c r="BP361" s="64">
        <f>IFERROR(1/J361*(Y361/H361),"0")</f>
        <v>4.6875E-2</v>
      </c>
    </row>
    <row r="362" spans="1:68" x14ac:dyDescent="0.2">
      <c r="A362" s="569"/>
      <c r="B362" s="556"/>
      <c r="C362" s="556"/>
      <c r="D362" s="556"/>
      <c r="E362" s="556"/>
      <c r="F362" s="556"/>
      <c r="G362" s="556"/>
      <c r="H362" s="556"/>
      <c r="I362" s="556"/>
      <c r="J362" s="556"/>
      <c r="K362" s="556"/>
      <c r="L362" s="556"/>
      <c r="M362" s="556"/>
      <c r="N362" s="556"/>
      <c r="O362" s="570"/>
      <c r="P362" s="557" t="s">
        <v>70</v>
      </c>
      <c r="Q362" s="558"/>
      <c r="R362" s="558"/>
      <c r="S362" s="558"/>
      <c r="T362" s="558"/>
      <c r="U362" s="558"/>
      <c r="V362" s="559"/>
      <c r="W362" s="37" t="s">
        <v>71</v>
      </c>
      <c r="X362" s="545">
        <f>IFERROR(X361/H361,"0")</f>
        <v>2.2222222222222223</v>
      </c>
      <c r="Y362" s="545">
        <f>IFERROR(Y361/H361,"0")</f>
        <v>3</v>
      </c>
      <c r="Z362" s="545">
        <f>IFERROR(IF(Z361="",0,Z361),"0")</f>
        <v>5.6940000000000004E-2</v>
      </c>
      <c r="AA362" s="546"/>
      <c r="AB362" s="546"/>
      <c r="AC362" s="546"/>
    </row>
    <row r="363" spans="1:68" x14ac:dyDescent="0.2">
      <c r="A363" s="556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68</v>
      </c>
      <c r="X363" s="545">
        <f>IFERROR(SUM(X361:X361),"0")</f>
        <v>20</v>
      </c>
      <c r="Y363" s="545">
        <f>IFERROR(SUM(Y361:Y361),"0")</f>
        <v>27</v>
      </c>
      <c r="Z363" s="37"/>
      <c r="AA363" s="546"/>
      <c r="AB363" s="546"/>
      <c r="AC363" s="546"/>
    </row>
    <row r="364" spans="1:68" ht="16.5" customHeight="1" x14ac:dyDescent="0.25">
      <c r="A364" s="562" t="s">
        <v>567</v>
      </c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56"/>
      <c r="P364" s="556"/>
      <c r="Q364" s="556"/>
      <c r="R364" s="556"/>
      <c r="S364" s="556"/>
      <c r="T364" s="556"/>
      <c r="U364" s="556"/>
      <c r="V364" s="556"/>
      <c r="W364" s="556"/>
      <c r="X364" s="556"/>
      <c r="Y364" s="556"/>
      <c r="Z364" s="556"/>
      <c r="AA364" s="538"/>
      <c r="AB364" s="538"/>
      <c r="AC364" s="538"/>
    </row>
    <row r="365" spans="1:68" ht="14.25" customHeight="1" x14ac:dyDescent="0.25">
      <c r="A365" s="555" t="s">
        <v>98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9"/>
      <c r="AB365" s="539"/>
      <c r="AC365" s="539"/>
    </row>
    <row r="366" spans="1:68" ht="37.5" customHeight="1" x14ac:dyDescent="0.25">
      <c r="A366" s="54" t="s">
        <v>568</v>
      </c>
      <c r="B366" s="54" t="s">
        <v>569</v>
      </c>
      <c r="C366" s="31">
        <v>4301011873</v>
      </c>
      <c r="D366" s="547">
        <v>4680115881907</v>
      </c>
      <c r="E366" s="548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5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0"/>
      <c r="R366" s="550"/>
      <c r="S366" s="550"/>
      <c r="T366" s="551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571</v>
      </c>
      <c r="B367" s="54" t="s">
        <v>572</v>
      </c>
      <c r="C367" s="31">
        <v>4301011875</v>
      </c>
      <c r="D367" s="547">
        <v>4680115884885</v>
      </c>
      <c r="E367" s="548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0"/>
      <c r="R367" s="550"/>
      <c r="S367" s="550"/>
      <c r="T367" s="551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4301011871</v>
      </c>
      <c r="D368" s="547">
        <v>4680115884908</v>
      </c>
      <c r="E368" s="548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86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0"/>
      <c r="R368" s="550"/>
      <c r="S368" s="550"/>
      <c r="T368" s="55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569"/>
      <c r="B369" s="556"/>
      <c r="C369" s="556"/>
      <c r="D369" s="556"/>
      <c r="E369" s="556"/>
      <c r="F369" s="556"/>
      <c r="G369" s="556"/>
      <c r="H369" s="556"/>
      <c r="I369" s="556"/>
      <c r="J369" s="556"/>
      <c r="K369" s="556"/>
      <c r="L369" s="556"/>
      <c r="M369" s="556"/>
      <c r="N369" s="556"/>
      <c r="O369" s="570"/>
      <c r="P369" s="557" t="s">
        <v>70</v>
      </c>
      <c r="Q369" s="558"/>
      <c r="R369" s="558"/>
      <c r="S369" s="558"/>
      <c r="T369" s="558"/>
      <c r="U369" s="558"/>
      <c r="V369" s="559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x14ac:dyDescent="0.2">
      <c r="A370" s="556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customHeight="1" x14ac:dyDescent="0.25">
      <c r="A371" s="555" t="s">
        <v>63</v>
      </c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56"/>
      <c r="P371" s="556"/>
      <c r="Q371" s="556"/>
      <c r="R371" s="556"/>
      <c r="S371" s="556"/>
      <c r="T371" s="556"/>
      <c r="U371" s="556"/>
      <c r="V371" s="556"/>
      <c r="W371" s="556"/>
      <c r="X371" s="556"/>
      <c r="Y371" s="556"/>
      <c r="Z371" s="556"/>
      <c r="AA371" s="539"/>
      <c r="AB371" s="539"/>
      <c r="AC371" s="539"/>
    </row>
    <row r="372" spans="1:68" ht="27" customHeight="1" x14ac:dyDescent="0.25">
      <c r="A372" s="54" t="s">
        <v>576</v>
      </c>
      <c r="B372" s="54" t="s">
        <v>577</v>
      </c>
      <c r="C372" s="31">
        <v>4301031303</v>
      </c>
      <c r="D372" s="547">
        <v>4607091384802</v>
      </c>
      <c r="E372" s="548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0"/>
      <c r="R372" s="550"/>
      <c r="S372" s="550"/>
      <c r="T372" s="551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9"/>
      <c r="B373" s="556"/>
      <c r="C373" s="556"/>
      <c r="D373" s="556"/>
      <c r="E373" s="556"/>
      <c r="F373" s="556"/>
      <c r="G373" s="556"/>
      <c r="H373" s="556"/>
      <c r="I373" s="556"/>
      <c r="J373" s="556"/>
      <c r="K373" s="556"/>
      <c r="L373" s="556"/>
      <c r="M373" s="556"/>
      <c r="N373" s="556"/>
      <c r="O373" s="570"/>
      <c r="P373" s="557" t="s">
        <v>70</v>
      </c>
      <c r="Q373" s="558"/>
      <c r="R373" s="558"/>
      <c r="S373" s="558"/>
      <c r="T373" s="558"/>
      <c r="U373" s="558"/>
      <c r="V373" s="559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x14ac:dyDescent="0.2">
      <c r="A374" s="556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customHeight="1" x14ac:dyDescent="0.25">
      <c r="A375" s="555" t="s">
        <v>72</v>
      </c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56"/>
      <c r="P375" s="556"/>
      <c r="Q375" s="556"/>
      <c r="R375" s="556"/>
      <c r="S375" s="556"/>
      <c r="T375" s="556"/>
      <c r="U375" s="556"/>
      <c r="V375" s="556"/>
      <c r="W375" s="556"/>
      <c r="X375" s="556"/>
      <c r="Y375" s="556"/>
      <c r="Z375" s="556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47">
        <v>4607091384246</v>
      </c>
      <c r="E376" s="548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0"/>
      <c r="R376" s="550"/>
      <c r="S376" s="550"/>
      <c r="T376" s="551"/>
      <c r="U376" s="34"/>
      <c r="V376" s="34"/>
      <c r="W376" s="35" t="s">
        <v>68</v>
      </c>
      <c r="X376" s="543">
        <v>0</v>
      </c>
      <c r="Y376" s="54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27" customHeight="1" x14ac:dyDescent="0.25">
      <c r="A377" s="54" t="s">
        <v>582</v>
      </c>
      <c r="B377" s="54" t="s">
        <v>583</v>
      </c>
      <c r="C377" s="31">
        <v>4301051660</v>
      </c>
      <c r="D377" s="547">
        <v>4607091384253</v>
      </c>
      <c r="E377" s="548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3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0"/>
      <c r="R377" s="550"/>
      <c r="S377" s="550"/>
      <c r="T377" s="551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9"/>
      <c r="B378" s="556"/>
      <c r="C378" s="556"/>
      <c r="D378" s="556"/>
      <c r="E378" s="556"/>
      <c r="F378" s="556"/>
      <c r="G378" s="556"/>
      <c r="H378" s="556"/>
      <c r="I378" s="556"/>
      <c r="J378" s="556"/>
      <c r="K378" s="556"/>
      <c r="L378" s="556"/>
      <c r="M378" s="556"/>
      <c r="N378" s="556"/>
      <c r="O378" s="570"/>
      <c r="P378" s="557" t="s">
        <v>70</v>
      </c>
      <c r="Q378" s="558"/>
      <c r="R378" s="558"/>
      <c r="S378" s="558"/>
      <c r="T378" s="558"/>
      <c r="U378" s="558"/>
      <c r="V378" s="559"/>
      <c r="W378" s="37" t="s">
        <v>71</v>
      </c>
      <c r="X378" s="545">
        <f>IFERROR(X376/H376,"0")+IFERROR(X377/H377,"0")</f>
        <v>0</v>
      </c>
      <c r="Y378" s="545">
        <f>IFERROR(Y376/H376,"0")+IFERROR(Y377/H377,"0")</f>
        <v>0</v>
      </c>
      <c r="Z378" s="545">
        <f>IFERROR(IF(Z376="",0,Z376),"0")+IFERROR(IF(Z377="",0,Z377),"0")</f>
        <v>0</v>
      </c>
      <c r="AA378" s="546"/>
      <c r="AB378" s="546"/>
      <c r="AC378" s="546"/>
    </row>
    <row r="379" spans="1:68" x14ac:dyDescent="0.2">
      <c r="A379" s="556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68</v>
      </c>
      <c r="X379" s="545">
        <f>IFERROR(SUM(X376:X377),"0")</f>
        <v>0</v>
      </c>
      <c r="Y379" s="545">
        <f>IFERROR(SUM(Y376:Y377),"0")</f>
        <v>0</v>
      </c>
      <c r="Z379" s="37"/>
      <c r="AA379" s="546"/>
      <c r="AB379" s="546"/>
      <c r="AC379" s="546"/>
    </row>
    <row r="380" spans="1:68" ht="14.25" customHeight="1" x14ac:dyDescent="0.25">
      <c r="A380" s="555" t="s">
        <v>160</v>
      </c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56"/>
      <c r="P380" s="556"/>
      <c r="Q380" s="556"/>
      <c r="R380" s="556"/>
      <c r="S380" s="556"/>
      <c r="T380" s="556"/>
      <c r="U380" s="556"/>
      <c r="V380" s="556"/>
      <c r="W380" s="556"/>
      <c r="X380" s="556"/>
      <c r="Y380" s="556"/>
      <c r="Z380" s="556"/>
      <c r="AA380" s="539"/>
      <c r="AB380" s="539"/>
      <c r="AC380" s="539"/>
    </row>
    <row r="381" spans="1:68" ht="27" customHeight="1" x14ac:dyDescent="0.25">
      <c r="A381" s="54" t="s">
        <v>584</v>
      </c>
      <c r="B381" s="54" t="s">
        <v>585</v>
      </c>
      <c r="C381" s="31">
        <v>4301060441</v>
      </c>
      <c r="D381" s="547">
        <v>4607091389357</v>
      </c>
      <c r="E381" s="548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0"/>
      <c r="R381" s="550"/>
      <c r="S381" s="550"/>
      <c r="T381" s="551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9"/>
      <c r="B382" s="556"/>
      <c r="C382" s="556"/>
      <c r="D382" s="556"/>
      <c r="E382" s="556"/>
      <c r="F382" s="556"/>
      <c r="G382" s="556"/>
      <c r="H382" s="556"/>
      <c r="I382" s="556"/>
      <c r="J382" s="556"/>
      <c r="K382" s="556"/>
      <c r="L382" s="556"/>
      <c r="M382" s="556"/>
      <c r="N382" s="556"/>
      <c r="O382" s="570"/>
      <c r="P382" s="557" t="s">
        <v>70</v>
      </c>
      <c r="Q382" s="558"/>
      <c r="R382" s="558"/>
      <c r="S382" s="558"/>
      <c r="T382" s="558"/>
      <c r="U382" s="558"/>
      <c r="V382" s="559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x14ac:dyDescent="0.2">
      <c r="A383" s="556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customHeight="1" x14ac:dyDescent="0.2">
      <c r="A384" s="606" t="s">
        <v>587</v>
      </c>
      <c r="B384" s="607"/>
      <c r="C384" s="607"/>
      <c r="D384" s="607"/>
      <c r="E384" s="607"/>
      <c r="F384" s="607"/>
      <c r="G384" s="607"/>
      <c r="H384" s="607"/>
      <c r="I384" s="607"/>
      <c r="J384" s="607"/>
      <c r="K384" s="607"/>
      <c r="L384" s="607"/>
      <c r="M384" s="607"/>
      <c r="N384" s="607"/>
      <c r="O384" s="607"/>
      <c r="P384" s="607"/>
      <c r="Q384" s="607"/>
      <c r="R384" s="607"/>
      <c r="S384" s="607"/>
      <c r="T384" s="607"/>
      <c r="U384" s="607"/>
      <c r="V384" s="607"/>
      <c r="W384" s="607"/>
      <c r="X384" s="607"/>
      <c r="Y384" s="607"/>
      <c r="Z384" s="607"/>
      <c r="AA384" s="48"/>
      <c r="AB384" s="48"/>
      <c r="AC384" s="48"/>
    </row>
    <row r="385" spans="1:68" ht="16.5" customHeight="1" x14ac:dyDescent="0.25">
      <c r="A385" s="562" t="s">
        <v>588</v>
      </c>
      <c r="B385" s="556"/>
      <c r="C385" s="556"/>
      <c r="D385" s="556"/>
      <c r="E385" s="556"/>
      <c r="F385" s="556"/>
      <c r="G385" s="556"/>
      <c r="H385" s="556"/>
      <c r="I385" s="556"/>
      <c r="J385" s="556"/>
      <c r="K385" s="556"/>
      <c r="L385" s="556"/>
      <c r="M385" s="556"/>
      <c r="N385" s="556"/>
      <c r="O385" s="556"/>
      <c r="P385" s="556"/>
      <c r="Q385" s="556"/>
      <c r="R385" s="556"/>
      <c r="S385" s="556"/>
      <c r="T385" s="556"/>
      <c r="U385" s="556"/>
      <c r="V385" s="556"/>
      <c r="W385" s="556"/>
      <c r="X385" s="556"/>
      <c r="Y385" s="556"/>
      <c r="Z385" s="556"/>
      <c r="AA385" s="538"/>
      <c r="AB385" s="538"/>
      <c r="AC385" s="538"/>
    </row>
    <row r="386" spans="1:68" ht="14.25" customHeight="1" x14ac:dyDescent="0.25">
      <c r="A386" s="555" t="s">
        <v>63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9"/>
      <c r="AB386" s="539"/>
      <c r="AC386" s="539"/>
    </row>
    <row r="387" spans="1:68" ht="27" customHeight="1" x14ac:dyDescent="0.25">
      <c r="A387" s="54" t="s">
        <v>589</v>
      </c>
      <c r="B387" s="54" t="s">
        <v>590</v>
      </c>
      <c r="C387" s="31">
        <v>4301031405</v>
      </c>
      <c r="D387" s="547">
        <v>4680115886100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customHeight="1" x14ac:dyDescent="0.25">
      <c r="A388" s="54" t="s">
        <v>592</v>
      </c>
      <c r="B388" s="54" t="s">
        <v>593</v>
      </c>
      <c r="C388" s="31">
        <v>4301031406</v>
      </c>
      <c r="D388" s="547">
        <v>4680115886117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592</v>
      </c>
      <c r="B389" s="54" t="s">
        <v>595</v>
      </c>
      <c r="C389" s="31">
        <v>4301031382</v>
      </c>
      <c r="D389" s="547">
        <v>4680115886117</v>
      </c>
      <c r="E389" s="548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6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0"/>
      <c r="R389" s="550"/>
      <c r="S389" s="550"/>
      <c r="T389" s="551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596</v>
      </c>
      <c r="B390" s="54" t="s">
        <v>597</v>
      </c>
      <c r="C390" s="31">
        <v>4301031402</v>
      </c>
      <c r="D390" s="547">
        <v>4680115886124</v>
      </c>
      <c r="E390" s="548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0"/>
      <c r="R390" s="550"/>
      <c r="S390" s="550"/>
      <c r="T390" s="551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4301031366</v>
      </c>
      <c r="D391" s="547">
        <v>4680115883147</v>
      </c>
      <c r="E391" s="548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0"/>
      <c r="R391" s="550"/>
      <c r="S391" s="550"/>
      <c r="T391" s="551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4301031362</v>
      </c>
      <c r="D392" s="547">
        <v>4607091384338</v>
      </c>
      <c r="E392" s="548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0"/>
      <c r="R392" s="550"/>
      <c r="S392" s="550"/>
      <c r="T392" s="551"/>
      <c r="U392" s="34"/>
      <c r="V392" s="34"/>
      <c r="W392" s="35" t="s">
        <v>68</v>
      </c>
      <c r="X392" s="543">
        <v>17.5</v>
      </c>
      <c r="Y392" s="544">
        <f t="shared" si="37"/>
        <v>18.900000000000002</v>
      </c>
      <c r="Z392" s="36">
        <f t="shared" si="42"/>
        <v>4.5179999999999998E-2</v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18.583333333333332</v>
      </c>
      <c r="BN392" s="64">
        <f t="shared" si="39"/>
        <v>20.07</v>
      </c>
      <c r="BO392" s="64">
        <f t="shared" si="40"/>
        <v>3.5612535612535613E-2</v>
      </c>
      <c r="BP392" s="64">
        <f t="shared" si="41"/>
        <v>3.8461538461538464E-2</v>
      </c>
    </row>
    <row r="393" spans="1:68" ht="37.5" customHeight="1" x14ac:dyDescent="0.25">
      <c r="A393" s="54" t="s">
        <v>603</v>
      </c>
      <c r="B393" s="54" t="s">
        <v>604</v>
      </c>
      <c r="C393" s="31">
        <v>4301031361</v>
      </c>
      <c r="D393" s="547">
        <v>4607091389524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0"/>
      <c r="R393" s="550"/>
      <c r="S393" s="550"/>
      <c r="T393" s="551"/>
      <c r="U393" s="34"/>
      <c r="V393" s="34"/>
      <c r="W393" s="35" t="s">
        <v>68</v>
      </c>
      <c r="X393" s="543">
        <v>24.5</v>
      </c>
      <c r="Y393" s="544">
        <f t="shared" si="37"/>
        <v>25.200000000000003</v>
      </c>
      <c r="Z393" s="36">
        <f t="shared" si="42"/>
        <v>6.0240000000000002E-2</v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26.016666666666666</v>
      </c>
      <c r="BN393" s="64">
        <f t="shared" si="39"/>
        <v>26.76</v>
      </c>
      <c r="BO393" s="64">
        <f t="shared" si="40"/>
        <v>4.9857549857549859E-2</v>
      </c>
      <c r="BP393" s="64">
        <f t="shared" si="41"/>
        <v>5.1282051282051287E-2</v>
      </c>
    </row>
    <row r="394" spans="1:68" ht="27" customHeight="1" x14ac:dyDescent="0.25">
      <c r="A394" s="54" t="s">
        <v>606</v>
      </c>
      <c r="B394" s="54" t="s">
        <v>607</v>
      </c>
      <c r="C394" s="31">
        <v>4301031364</v>
      </c>
      <c r="D394" s="547">
        <v>4680115883161</v>
      </c>
      <c r="E394" s="548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0"/>
      <c r="R394" s="550"/>
      <c r="S394" s="550"/>
      <c r="T394" s="551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4301031358</v>
      </c>
      <c r="D395" s="547">
        <v>4607091389531</v>
      </c>
      <c r="E395" s="548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0"/>
      <c r="R395" s="550"/>
      <c r="S395" s="550"/>
      <c r="T395" s="551"/>
      <c r="U395" s="34"/>
      <c r="V395" s="34"/>
      <c r="W395" s="35" t="s">
        <v>68</v>
      </c>
      <c r="X395" s="543">
        <v>17.5</v>
      </c>
      <c r="Y395" s="544">
        <f t="shared" si="37"/>
        <v>18.900000000000002</v>
      </c>
      <c r="Z395" s="36">
        <f t="shared" si="42"/>
        <v>4.5179999999999998E-2</v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18.583333333333332</v>
      </c>
      <c r="BN395" s="64">
        <f t="shared" si="39"/>
        <v>20.07</v>
      </c>
      <c r="BO395" s="64">
        <f t="shared" si="40"/>
        <v>3.5612535612535613E-2</v>
      </c>
      <c r="BP395" s="64">
        <f t="shared" si="41"/>
        <v>3.8461538461538464E-2</v>
      </c>
    </row>
    <row r="396" spans="1:68" ht="37.5" customHeight="1" x14ac:dyDescent="0.25">
      <c r="A396" s="54" t="s">
        <v>612</v>
      </c>
      <c r="B396" s="54" t="s">
        <v>613</v>
      </c>
      <c r="C396" s="31">
        <v>4301031360</v>
      </c>
      <c r="D396" s="547">
        <v>4607091384345</v>
      </c>
      <c r="E396" s="548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0"/>
      <c r="R396" s="550"/>
      <c r="S396" s="550"/>
      <c r="T396" s="551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x14ac:dyDescent="0.2">
      <c r="A397" s="569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70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28.333333333333332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30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0.15060000000000001</v>
      </c>
      <c r="AA397" s="546"/>
      <c r="AB397" s="546"/>
      <c r="AC397" s="546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5">
        <f>IFERROR(SUM(X387:X396),"0")</f>
        <v>59.5</v>
      </c>
      <c r="Y398" s="545">
        <f>IFERROR(SUM(Y387:Y396),"0")</f>
        <v>63.000000000000014</v>
      </c>
      <c r="Z398" s="37"/>
      <c r="AA398" s="546"/>
      <c r="AB398" s="546"/>
      <c r="AC398" s="546"/>
    </row>
    <row r="399" spans="1:68" ht="14.25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9"/>
      <c r="AB399" s="539"/>
      <c r="AC399" s="539"/>
    </row>
    <row r="400" spans="1:68" ht="27" customHeight="1" x14ac:dyDescent="0.25">
      <c r="A400" s="54" t="s">
        <v>614</v>
      </c>
      <c r="B400" s="54" t="s">
        <v>615</v>
      </c>
      <c r="C400" s="31">
        <v>4301051284</v>
      </c>
      <c r="D400" s="547">
        <v>4607091384352</v>
      </c>
      <c r="E400" s="548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0"/>
      <c r="R400" s="550"/>
      <c r="S400" s="550"/>
      <c r="T400" s="551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617</v>
      </c>
      <c r="B401" s="54" t="s">
        <v>618</v>
      </c>
      <c r="C401" s="31">
        <v>4301051431</v>
      </c>
      <c r="D401" s="547">
        <v>4607091389654</v>
      </c>
      <c r="E401" s="548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64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0"/>
      <c r="R401" s="550"/>
      <c r="S401" s="550"/>
      <c r="T401" s="55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569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70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customHeight="1" x14ac:dyDescent="0.25">
      <c r="A404" s="562" t="s">
        <v>620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8"/>
      <c r="AB404" s="538"/>
      <c r="AC404" s="538"/>
    </row>
    <row r="405" spans="1:68" ht="14.25" customHeight="1" x14ac:dyDescent="0.25">
      <c r="A405" s="555" t="s">
        <v>130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9"/>
      <c r="AB405" s="539"/>
      <c r="AC405" s="539"/>
    </row>
    <row r="406" spans="1:68" ht="27" customHeight="1" x14ac:dyDescent="0.25">
      <c r="A406" s="54" t="s">
        <v>621</v>
      </c>
      <c r="B406" s="54" t="s">
        <v>622</v>
      </c>
      <c r="C406" s="31">
        <v>4301020319</v>
      </c>
      <c r="D406" s="547">
        <v>4680115885240</v>
      </c>
      <c r="E406" s="548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8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0"/>
      <c r="R406" s="550"/>
      <c r="S406" s="550"/>
      <c r="T406" s="551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569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70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47">
        <v>4680115886094</v>
      </c>
      <c r="E410" s="548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6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0"/>
      <c r="R410" s="550"/>
      <c r="S410" s="550"/>
      <c r="T410" s="551"/>
      <c r="U410" s="34"/>
      <c r="V410" s="34"/>
      <c r="W410" s="35" t="s">
        <v>68</v>
      </c>
      <c r="X410" s="543">
        <v>10</v>
      </c>
      <c r="Y410" s="544">
        <f>IFERROR(IF(X410="",0,CEILING((X410/$H410),1)*$H410),"")</f>
        <v>10.8</v>
      </c>
      <c r="Z410" s="36">
        <f>IFERROR(IF(Y410=0,"",ROUNDUP(Y410/H410,0)*0.00902),"")</f>
        <v>1.804E-2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10.388888888888889</v>
      </c>
      <c r="BN410" s="64">
        <f>IFERROR(Y410*I410/H410,"0")</f>
        <v>11.22</v>
      </c>
      <c r="BO410" s="64">
        <f>IFERROR(1/J410*(X410/H410),"0")</f>
        <v>1.4029180695847361E-2</v>
      </c>
      <c r="BP410" s="64">
        <f>IFERROR(1/J410*(Y410/H410),"0")</f>
        <v>1.5151515151515152E-2</v>
      </c>
    </row>
    <row r="411" spans="1:68" ht="27" customHeight="1" x14ac:dyDescent="0.25">
      <c r="A411" s="54" t="s">
        <v>627</v>
      </c>
      <c r="B411" s="54" t="s">
        <v>628</v>
      </c>
      <c r="C411" s="31">
        <v>4301031363</v>
      </c>
      <c r="D411" s="547">
        <v>4607091389425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0"/>
      <c r="R411" s="550"/>
      <c r="S411" s="550"/>
      <c r="T411" s="55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630</v>
      </c>
      <c r="B412" s="54" t="s">
        <v>631</v>
      </c>
      <c r="C412" s="31">
        <v>4301031373</v>
      </c>
      <c r="D412" s="547">
        <v>4680115880771</v>
      </c>
      <c r="E412" s="548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0"/>
      <c r="R412" s="550"/>
      <c r="S412" s="550"/>
      <c r="T412" s="55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633</v>
      </c>
      <c r="B413" s="54" t="s">
        <v>634</v>
      </c>
      <c r="C413" s="31">
        <v>4301031359</v>
      </c>
      <c r="D413" s="547">
        <v>4607091389500</v>
      </c>
      <c r="E413" s="548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0"/>
      <c r="R413" s="550"/>
      <c r="S413" s="550"/>
      <c r="T413" s="551"/>
      <c r="U413" s="34"/>
      <c r="V413" s="34"/>
      <c r="W413" s="35" t="s">
        <v>68</v>
      </c>
      <c r="X413" s="543">
        <v>7</v>
      </c>
      <c r="Y413" s="544">
        <f>IFERROR(IF(X413="",0,CEILING((X413/$H413),1)*$H413),"")</f>
        <v>8.4</v>
      </c>
      <c r="Z413" s="36">
        <f>IFERROR(IF(Y413=0,"",ROUNDUP(Y413/H413,0)*0.00502),"")</f>
        <v>2.0080000000000001E-2</v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7.4333333333333327</v>
      </c>
      <c r="BN413" s="64">
        <f>IFERROR(Y413*I413/H413,"0")</f>
        <v>8.92</v>
      </c>
      <c r="BO413" s="64">
        <f>IFERROR(1/J413*(X413/H413),"0")</f>
        <v>1.4245014245014245E-2</v>
      </c>
      <c r="BP413" s="64">
        <f>IFERROR(1/J413*(Y413/H413),"0")</f>
        <v>1.7094017094017096E-2</v>
      </c>
    </row>
    <row r="414" spans="1:68" x14ac:dyDescent="0.2">
      <c r="A414" s="569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70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5">
        <f>IFERROR(X410/H410,"0")+IFERROR(X411/H411,"0")+IFERROR(X412/H412,"0")+IFERROR(X413/H413,"0")</f>
        <v>5.1851851851851851</v>
      </c>
      <c r="Y414" s="545">
        <f>IFERROR(Y410/H410,"0")+IFERROR(Y411/H411,"0")+IFERROR(Y412/H412,"0")+IFERROR(Y413/H413,"0")</f>
        <v>6</v>
      </c>
      <c r="Z414" s="545">
        <f>IFERROR(IF(Z410="",0,Z410),"0")+IFERROR(IF(Z411="",0,Z411),"0")+IFERROR(IF(Z412="",0,Z412),"0")+IFERROR(IF(Z413="",0,Z413),"0")</f>
        <v>3.8120000000000001E-2</v>
      </c>
      <c r="AA414" s="546"/>
      <c r="AB414" s="546"/>
      <c r="AC414" s="546"/>
    </row>
    <row r="415" spans="1:68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5">
        <f>IFERROR(SUM(X410:X413),"0")</f>
        <v>17</v>
      </c>
      <c r="Y415" s="545">
        <f>IFERROR(SUM(Y410:Y413),"0")</f>
        <v>19.200000000000003</v>
      </c>
      <c r="Z415" s="37"/>
      <c r="AA415" s="546"/>
      <c r="AB415" s="546"/>
      <c r="AC415" s="546"/>
    </row>
    <row r="416" spans="1:68" ht="16.5" customHeight="1" x14ac:dyDescent="0.25">
      <c r="A416" s="562" t="s">
        <v>635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8"/>
      <c r="AB416" s="538"/>
      <c r="AC416" s="538"/>
    </row>
    <row r="417" spans="1:68" ht="14.25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9"/>
      <c r="AB417" s="539"/>
      <c r="AC417" s="539"/>
    </row>
    <row r="418" spans="1:68" ht="27" customHeight="1" x14ac:dyDescent="0.25">
      <c r="A418" s="54" t="s">
        <v>636</v>
      </c>
      <c r="B418" s="54" t="s">
        <v>637</v>
      </c>
      <c r="C418" s="31">
        <v>4301031347</v>
      </c>
      <c r="D418" s="547">
        <v>4680115885110</v>
      </c>
      <c r="E418" s="548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2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0"/>
      <c r="R418" s="550"/>
      <c r="S418" s="550"/>
      <c r="T418" s="551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569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70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customHeight="1" x14ac:dyDescent="0.25">
      <c r="A421" s="562" t="s">
        <v>639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8"/>
      <c r="AB421" s="538"/>
      <c r="AC421" s="538"/>
    </row>
    <row r="422" spans="1:68" ht="14.25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9"/>
      <c r="AB422" s="539"/>
      <c r="AC422" s="539"/>
    </row>
    <row r="423" spans="1:68" ht="27" customHeight="1" x14ac:dyDescent="0.25">
      <c r="A423" s="54" t="s">
        <v>640</v>
      </c>
      <c r="B423" s="54" t="s">
        <v>641</v>
      </c>
      <c r="C423" s="31">
        <v>4301031261</v>
      </c>
      <c r="D423" s="547">
        <v>4680115885103</v>
      </c>
      <c r="E423" s="548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0"/>
      <c r="R423" s="550"/>
      <c r="S423" s="550"/>
      <c r="T423" s="551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569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70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customHeight="1" x14ac:dyDescent="0.2">
      <c r="A426" s="606" t="s">
        <v>643</v>
      </c>
      <c r="B426" s="607"/>
      <c r="C426" s="607"/>
      <c r="D426" s="607"/>
      <c r="E426" s="607"/>
      <c r="F426" s="607"/>
      <c r="G426" s="607"/>
      <c r="H426" s="607"/>
      <c r="I426" s="607"/>
      <c r="J426" s="607"/>
      <c r="K426" s="607"/>
      <c r="L426" s="607"/>
      <c r="M426" s="607"/>
      <c r="N426" s="607"/>
      <c r="O426" s="607"/>
      <c r="P426" s="607"/>
      <c r="Q426" s="607"/>
      <c r="R426" s="607"/>
      <c r="S426" s="607"/>
      <c r="T426" s="607"/>
      <c r="U426" s="607"/>
      <c r="V426" s="607"/>
      <c r="W426" s="607"/>
      <c r="X426" s="607"/>
      <c r="Y426" s="607"/>
      <c r="Z426" s="607"/>
      <c r="AA426" s="48"/>
      <c r="AB426" s="48"/>
      <c r="AC426" s="48"/>
    </row>
    <row r="427" spans="1:68" ht="16.5" customHeight="1" x14ac:dyDescent="0.25">
      <c r="A427" s="562" t="s">
        <v>643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8"/>
      <c r="AB427" s="538"/>
      <c r="AC427" s="538"/>
    </row>
    <row r="428" spans="1:68" ht="14.25" customHeight="1" x14ac:dyDescent="0.25">
      <c r="A428" s="555" t="s">
        <v>98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47">
        <v>4607091389067</v>
      </c>
      <c r="E429" s="548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6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0"/>
      <c r="R429" s="550"/>
      <c r="S429" s="550"/>
      <c r="T429" s="551"/>
      <c r="U429" s="34"/>
      <c r="V429" s="34"/>
      <c r="W429" s="35" t="s">
        <v>68</v>
      </c>
      <c r="X429" s="543">
        <v>30</v>
      </c>
      <c r="Y429" s="544">
        <f t="shared" ref="Y429:Y440" si="43">IFERROR(IF(X429="",0,CEILING((X429/$H429),1)*$H429),"")</f>
        <v>31.68</v>
      </c>
      <c r="Z429" s="36">
        <f t="shared" ref="Z429:Z435" si="44">IFERROR(IF(Y429=0,"",ROUNDUP(Y429/H429,0)*0.01196),"")</f>
        <v>7.1760000000000004E-2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32.04545454545454</v>
      </c>
      <c r="BN429" s="64">
        <f t="shared" ref="BN429:BN440" si="46">IFERROR(Y429*I429/H429,"0")</f>
        <v>33.839999999999996</v>
      </c>
      <c r="BO429" s="64">
        <f t="shared" ref="BO429:BO440" si="47">IFERROR(1/J429*(X429/H429),"0")</f>
        <v>5.4632867132867136E-2</v>
      </c>
      <c r="BP429" s="64">
        <f t="shared" ref="BP429:BP440" si="48">IFERROR(1/J429*(Y429/H429),"0")</f>
        <v>5.7692307692307696E-2</v>
      </c>
    </row>
    <row r="430" spans="1:68" ht="27" customHeight="1" x14ac:dyDescent="0.25">
      <c r="A430" s="54" t="s">
        <v>647</v>
      </c>
      <c r="B430" s="54" t="s">
        <v>648</v>
      </c>
      <c r="C430" s="31">
        <v>4301011961</v>
      </c>
      <c r="D430" s="547">
        <v>4680115885271</v>
      </c>
      <c r="E430" s="548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1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0"/>
      <c r="R430" s="550"/>
      <c r="S430" s="550"/>
      <c r="T430" s="551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47">
        <v>4680115885226</v>
      </c>
      <c r="E431" s="548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68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0"/>
      <c r="R431" s="550"/>
      <c r="S431" s="550"/>
      <c r="T431" s="551"/>
      <c r="U431" s="34"/>
      <c r="V431" s="34"/>
      <c r="W431" s="35" t="s">
        <v>68</v>
      </c>
      <c r="X431" s="543">
        <v>50</v>
      </c>
      <c r="Y431" s="544">
        <f t="shared" si="43"/>
        <v>52.800000000000004</v>
      </c>
      <c r="Z431" s="36">
        <f t="shared" si="44"/>
        <v>0.1196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53.409090909090907</v>
      </c>
      <c r="BN431" s="64">
        <f t="shared" si="46"/>
        <v>56.400000000000006</v>
      </c>
      <c r="BO431" s="64">
        <f t="shared" si="47"/>
        <v>9.1054778554778545E-2</v>
      </c>
      <c r="BP431" s="64">
        <f t="shared" si="48"/>
        <v>9.6153846153846159E-2</v>
      </c>
    </row>
    <row r="432" spans="1:68" ht="27" customHeight="1" x14ac:dyDescent="0.25">
      <c r="A432" s="54" t="s">
        <v>653</v>
      </c>
      <c r="B432" s="54" t="s">
        <v>654</v>
      </c>
      <c r="C432" s="31">
        <v>4301012145</v>
      </c>
      <c r="D432" s="547">
        <v>4607091383522</v>
      </c>
      <c r="E432" s="548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584" t="s">
        <v>655</v>
      </c>
      <c r="Q432" s="550"/>
      <c r="R432" s="550"/>
      <c r="S432" s="550"/>
      <c r="T432" s="551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customHeight="1" x14ac:dyDescent="0.25">
      <c r="A433" s="54" t="s">
        <v>657</v>
      </c>
      <c r="B433" s="54" t="s">
        <v>658</v>
      </c>
      <c r="C433" s="31">
        <v>4301011774</v>
      </c>
      <c r="D433" s="547">
        <v>4680115884502</v>
      </c>
      <c r="E433" s="548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0"/>
      <c r="R433" s="550"/>
      <c r="S433" s="550"/>
      <c r="T433" s="551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47">
        <v>4607091389104</v>
      </c>
      <c r="E434" s="548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0"/>
      <c r="R434" s="550"/>
      <c r="S434" s="550"/>
      <c r="T434" s="551"/>
      <c r="U434" s="34"/>
      <c r="V434" s="34"/>
      <c r="W434" s="35" t="s">
        <v>68</v>
      </c>
      <c r="X434" s="543">
        <v>80</v>
      </c>
      <c r="Y434" s="544">
        <f t="shared" si="43"/>
        <v>84.48</v>
      </c>
      <c r="Z434" s="36">
        <f t="shared" si="44"/>
        <v>0.19136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85.454545454545453</v>
      </c>
      <c r="BN434" s="64">
        <f t="shared" si="46"/>
        <v>90.24</v>
      </c>
      <c r="BO434" s="64">
        <f t="shared" si="47"/>
        <v>0.14568764568764569</v>
      </c>
      <c r="BP434" s="64">
        <f t="shared" si="48"/>
        <v>0.15384615384615385</v>
      </c>
    </row>
    <row r="435" spans="1:68" ht="16.5" customHeight="1" x14ac:dyDescent="0.25">
      <c r="A435" s="54" t="s">
        <v>663</v>
      </c>
      <c r="B435" s="54" t="s">
        <v>664</v>
      </c>
      <c r="C435" s="31">
        <v>4301011799</v>
      </c>
      <c r="D435" s="547">
        <v>4680115884519</v>
      </c>
      <c r="E435" s="548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0"/>
      <c r="R435" s="550"/>
      <c r="S435" s="550"/>
      <c r="T435" s="551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666</v>
      </c>
      <c r="B436" s="54" t="s">
        <v>667</v>
      </c>
      <c r="C436" s="31">
        <v>4301012125</v>
      </c>
      <c r="D436" s="547">
        <v>4680115886391</v>
      </c>
      <c r="E436" s="548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0"/>
      <c r="R436" s="550"/>
      <c r="S436" s="550"/>
      <c r="T436" s="551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4301012035</v>
      </c>
      <c r="D437" s="547">
        <v>4680115880603</v>
      </c>
      <c r="E437" s="548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5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0"/>
      <c r="R437" s="550"/>
      <c r="S437" s="550"/>
      <c r="T437" s="551"/>
      <c r="U437" s="34"/>
      <c r="V437" s="34"/>
      <c r="W437" s="35" t="s">
        <v>68</v>
      </c>
      <c r="X437" s="543">
        <v>36</v>
      </c>
      <c r="Y437" s="544">
        <f t="shared" si="43"/>
        <v>38.4</v>
      </c>
      <c r="Z437" s="36">
        <f>IFERROR(IF(Y437=0,"",ROUNDUP(Y437/H437,0)*0.00902),"")</f>
        <v>7.2160000000000002E-2</v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51.975000000000001</v>
      </c>
      <c r="BN437" s="64">
        <f t="shared" si="46"/>
        <v>55.44</v>
      </c>
      <c r="BO437" s="64">
        <f t="shared" si="47"/>
        <v>5.6818181818181823E-2</v>
      </c>
      <c r="BP437" s="64">
        <f t="shared" si="48"/>
        <v>6.0606060606060608E-2</v>
      </c>
    </row>
    <row r="438" spans="1:68" ht="27" customHeight="1" x14ac:dyDescent="0.25">
      <c r="A438" s="54" t="s">
        <v>670</v>
      </c>
      <c r="B438" s="54" t="s">
        <v>671</v>
      </c>
      <c r="C438" s="31">
        <v>4301012036</v>
      </c>
      <c r="D438" s="547">
        <v>4680115882782</v>
      </c>
      <c r="E438" s="548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1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0"/>
      <c r="R438" s="550"/>
      <c r="S438" s="550"/>
      <c r="T438" s="551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customHeight="1" x14ac:dyDescent="0.25">
      <c r="A439" s="54" t="s">
        <v>672</v>
      </c>
      <c r="B439" s="54" t="s">
        <v>673</v>
      </c>
      <c r="C439" s="31">
        <v>4301012050</v>
      </c>
      <c r="D439" s="547">
        <v>4680115885479</v>
      </c>
      <c r="E439" s="548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0"/>
      <c r="R439" s="550"/>
      <c r="S439" s="550"/>
      <c r="T439" s="551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customHeight="1" x14ac:dyDescent="0.25">
      <c r="A440" s="54" t="s">
        <v>674</v>
      </c>
      <c r="B440" s="54" t="s">
        <v>675</v>
      </c>
      <c r="C440" s="31">
        <v>4301012034</v>
      </c>
      <c r="D440" s="547">
        <v>4607091389982</v>
      </c>
      <c r="E440" s="548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3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0"/>
      <c r="R440" s="550"/>
      <c r="S440" s="550"/>
      <c r="T440" s="551"/>
      <c r="U440" s="34"/>
      <c r="V440" s="34"/>
      <c r="W440" s="35" t="s">
        <v>68</v>
      </c>
      <c r="X440" s="543">
        <v>72</v>
      </c>
      <c r="Y440" s="544">
        <f t="shared" si="43"/>
        <v>72</v>
      </c>
      <c r="Z440" s="36">
        <f>IFERROR(IF(Y440=0,"",ROUNDUP(Y440/H440,0)*0.00937),"")</f>
        <v>0.14055000000000001</v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104.4</v>
      </c>
      <c r="BN440" s="64">
        <f t="shared" si="46"/>
        <v>104.4</v>
      </c>
      <c r="BO440" s="64">
        <f t="shared" si="47"/>
        <v>0.125</v>
      </c>
      <c r="BP440" s="64">
        <f t="shared" si="48"/>
        <v>0.125</v>
      </c>
    </row>
    <row r="441" spans="1:68" x14ac:dyDescent="0.2">
      <c r="A441" s="569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70"/>
      <c r="P441" s="557" t="s">
        <v>70</v>
      </c>
      <c r="Q441" s="558"/>
      <c r="R441" s="558"/>
      <c r="S441" s="558"/>
      <c r="T441" s="558"/>
      <c r="U441" s="558"/>
      <c r="V441" s="559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52.803030303030297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55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0.59543000000000001</v>
      </c>
      <c r="AA441" s="546"/>
      <c r="AB441" s="546"/>
      <c r="AC441" s="546"/>
    </row>
    <row r="442" spans="1:68" x14ac:dyDescent="0.2">
      <c r="A442" s="556"/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70"/>
      <c r="P442" s="557" t="s">
        <v>70</v>
      </c>
      <c r="Q442" s="558"/>
      <c r="R442" s="558"/>
      <c r="S442" s="558"/>
      <c r="T442" s="558"/>
      <c r="U442" s="558"/>
      <c r="V442" s="559"/>
      <c r="W442" s="37" t="s">
        <v>68</v>
      </c>
      <c r="X442" s="545">
        <f>IFERROR(SUM(X429:X440),"0")</f>
        <v>268</v>
      </c>
      <c r="Y442" s="545">
        <f>IFERROR(SUM(Y429:Y440),"0")</f>
        <v>279.36</v>
      </c>
      <c r="Z442" s="37"/>
      <c r="AA442" s="546"/>
      <c r="AB442" s="546"/>
      <c r="AC442" s="546"/>
    </row>
    <row r="443" spans="1:68" ht="14.25" customHeight="1" x14ac:dyDescent="0.25">
      <c r="A443" s="555" t="s">
        <v>130</v>
      </c>
      <c r="B443" s="556"/>
      <c r="C443" s="556"/>
      <c r="D443" s="556"/>
      <c r="E443" s="556"/>
      <c r="F443" s="556"/>
      <c r="G443" s="556"/>
      <c r="H443" s="556"/>
      <c r="I443" s="556"/>
      <c r="J443" s="556"/>
      <c r="K443" s="556"/>
      <c r="L443" s="556"/>
      <c r="M443" s="556"/>
      <c r="N443" s="556"/>
      <c r="O443" s="556"/>
      <c r="P443" s="556"/>
      <c r="Q443" s="556"/>
      <c r="R443" s="556"/>
      <c r="S443" s="556"/>
      <c r="T443" s="556"/>
      <c r="U443" s="556"/>
      <c r="V443" s="556"/>
      <c r="W443" s="556"/>
      <c r="X443" s="556"/>
      <c r="Y443" s="556"/>
      <c r="Z443" s="556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47">
        <v>4607091388930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0"/>
      <c r="R444" s="550"/>
      <c r="S444" s="550"/>
      <c r="T444" s="551"/>
      <c r="U444" s="34"/>
      <c r="V444" s="34"/>
      <c r="W444" s="35" t="s">
        <v>68</v>
      </c>
      <c r="X444" s="543">
        <v>130</v>
      </c>
      <c r="Y444" s="544">
        <f>IFERROR(IF(X444="",0,CEILING((X444/$H444),1)*$H444),"")</f>
        <v>132</v>
      </c>
      <c r="Z444" s="36">
        <f>IFERROR(IF(Y444=0,"",ROUNDUP(Y444/H444,0)*0.01196),"")</f>
        <v>0.29899999999999999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138.86363636363635</v>
      </c>
      <c r="BN444" s="64">
        <f>IFERROR(Y444*I444/H444,"0")</f>
        <v>140.99999999999997</v>
      </c>
      <c r="BO444" s="64">
        <f>IFERROR(1/J444*(X444/H444),"0")</f>
        <v>0.23674242424242425</v>
      </c>
      <c r="BP444" s="64">
        <f>IFERROR(1/J444*(Y444/H444),"0")</f>
        <v>0.24038461538461539</v>
      </c>
    </row>
    <row r="445" spans="1:68" ht="16.5" customHeight="1" x14ac:dyDescent="0.25">
      <c r="A445" s="54" t="s">
        <v>679</v>
      </c>
      <c r="B445" s="54" t="s">
        <v>680</v>
      </c>
      <c r="C445" s="31">
        <v>4301020384</v>
      </c>
      <c r="D445" s="547">
        <v>4680115886407</v>
      </c>
      <c r="E445" s="548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60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0"/>
      <c r="R445" s="550"/>
      <c r="S445" s="550"/>
      <c r="T445" s="55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681</v>
      </c>
      <c r="B446" s="54" t="s">
        <v>682</v>
      </c>
      <c r="C446" s="31">
        <v>4301020385</v>
      </c>
      <c r="D446" s="547">
        <v>4680115880054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3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0"/>
      <c r="R446" s="550"/>
      <c r="S446" s="550"/>
      <c r="T446" s="55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9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70"/>
      <c r="P447" s="557" t="s">
        <v>70</v>
      </c>
      <c r="Q447" s="558"/>
      <c r="R447" s="558"/>
      <c r="S447" s="558"/>
      <c r="T447" s="558"/>
      <c r="U447" s="558"/>
      <c r="V447" s="559"/>
      <c r="W447" s="37" t="s">
        <v>71</v>
      </c>
      <c r="X447" s="545">
        <f>IFERROR(X444/H444,"0")+IFERROR(X445/H445,"0")+IFERROR(X446/H446,"0")</f>
        <v>24.621212121212121</v>
      </c>
      <c r="Y447" s="545">
        <f>IFERROR(Y444/H444,"0")+IFERROR(Y445/H445,"0")+IFERROR(Y446/H446,"0")</f>
        <v>25</v>
      </c>
      <c r="Z447" s="545">
        <f>IFERROR(IF(Z444="",0,Z444),"0")+IFERROR(IF(Z445="",0,Z445),"0")+IFERROR(IF(Z446="",0,Z446),"0")</f>
        <v>0.29899999999999999</v>
      </c>
      <c r="AA447" s="546"/>
      <c r="AB447" s="546"/>
      <c r="AC447" s="546"/>
    </row>
    <row r="448" spans="1:68" x14ac:dyDescent="0.2">
      <c r="A448" s="556"/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70"/>
      <c r="P448" s="557" t="s">
        <v>70</v>
      </c>
      <c r="Q448" s="558"/>
      <c r="R448" s="558"/>
      <c r="S448" s="558"/>
      <c r="T448" s="558"/>
      <c r="U448" s="558"/>
      <c r="V448" s="559"/>
      <c r="W448" s="37" t="s">
        <v>68</v>
      </c>
      <c r="X448" s="545">
        <f>IFERROR(SUM(X444:X446),"0")</f>
        <v>130</v>
      </c>
      <c r="Y448" s="545">
        <f>IFERROR(SUM(Y444:Y446),"0")</f>
        <v>132</v>
      </c>
      <c r="Z448" s="37"/>
      <c r="AA448" s="546"/>
      <c r="AB448" s="546"/>
      <c r="AC448" s="546"/>
    </row>
    <row r="449" spans="1:68" ht="14.25" customHeight="1" x14ac:dyDescent="0.25">
      <c r="A449" s="555" t="s">
        <v>63</v>
      </c>
      <c r="B449" s="556"/>
      <c r="C449" s="556"/>
      <c r="D449" s="556"/>
      <c r="E449" s="556"/>
      <c r="F449" s="556"/>
      <c r="G449" s="556"/>
      <c r="H449" s="556"/>
      <c r="I449" s="556"/>
      <c r="J449" s="556"/>
      <c r="K449" s="556"/>
      <c r="L449" s="556"/>
      <c r="M449" s="556"/>
      <c r="N449" s="556"/>
      <c r="O449" s="556"/>
      <c r="P449" s="556"/>
      <c r="Q449" s="556"/>
      <c r="R449" s="556"/>
      <c r="S449" s="556"/>
      <c r="T449" s="556"/>
      <c r="U449" s="556"/>
      <c r="V449" s="556"/>
      <c r="W449" s="556"/>
      <c r="X449" s="556"/>
      <c r="Y449" s="556"/>
      <c r="Z449" s="556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47">
        <v>4680115883116</v>
      </c>
      <c r="E450" s="548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69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0"/>
      <c r="R450" s="550"/>
      <c r="S450" s="550"/>
      <c r="T450" s="551"/>
      <c r="U450" s="34"/>
      <c r="V450" s="34"/>
      <c r="W450" s="35" t="s">
        <v>68</v>
      </c>
      <c r="X450" s="543">
        <v>50</v>
      </c>
      <c r="Y450" s="544">
        <f t="shared" ref="Y450:Y455" si="49">IFERROR(IF(X450="",0,CEILING((X450/$H450),1)*$H450),"")</f>
        <v>52.800000000000004</v>
      </c>
      <c r="Z450" s="36">
        <f>IFERROR(IF(Y450=0,"",ROUNDUP(Y450/H450,0)*0.01196),"")</f>
        <v>0.1196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53.409090909090907</v>
      </c>
      <c r="BN450" s="64">
        <f t="shared" ref="BN450:BN455" si="51">IFERROR(Y450*I450/H450,"0")</f>
        <v>56.400000000000006</v>
      </c>
      <c r="BO450" s="64">
        <f t="shared" ref="BO450:BO455" si="52">IFERROR(1/J450*(X450/H450),"0")</f>
        <v>9.1054778554778545E-2</v>
      </c>
      <c r="BP450" s="64">
        <f t="shared" ref="BP450:BP455" si="53">IFERROR(1/J450*(Y450/H450),"0")</f>
        <v>9.6153846153846159E-2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47">
        <v>4680115883093</v>
      </c>
      <c r="E451" s="548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0"/>
      <c r="R451" s="550"/>
      <c r="S451" s="550"/>
      <c r="T451" s="551"/>
      <c r="U451" s="34"/>
      <c r="V451" s="34"/>
      <c r="W451" s="35" t="s">
        <v>68</v>
      </c>
      <c r="X451" s="543">
        <v>150</v>
      </c>
      <c r="Y451" s="544">
        <f t="shared" si="49"/>
        <v>153.12</v>
      </c>
      <c r="Z451" s="36">
        <f>IFERROR(IF(Y451=0,"",ROUNDUP(Y451/H451,0)*0.01196),"")</f>
        <v>0.34683999999999998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160.22727272727272</v>
      </c>
      <c r="BN451" s="64">
        <f t="shared" si="51"/>
        <v>163.56</v>
      </c>
      <c r="BO451" s="64">
        <f t="shared" si="52"/>
        <v>0.27316433566433568</v>
      </c>
      <c r="BP451" s="64">
        <f t="shared" si="53"/>
        <v>0.27884615384615385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47">
        <v>4680115883109</v>
      </c>
      <c r="E452" s="548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8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0"/>
      <c r="R452" s="550"/>
      <c r="S452" s="550"/>
      <c r="T452" s="551"/>
      <c r="U452" s="34"/>
      <c r="V452" s="34"/>
      <c r="W452" s="35" t="s">
        <v>68</v>
      </c>
      <c r="X452" s="543">
        <v>110</v>
      </c>
      <c r="Y452" s="544">
        <f t="shared" si="49"/>
        <v>110.88000000000001</v>
      </c>
      <c r="Z452" s="36">
        <f>IFERROR(IF(Y452=0,"",ROUNDUP(Y452/H452,0)*0.01196),"")</f>
        <v>0.25115999999999999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117.49999999999999</v>
      </c>
      <c r="BN452" s="64">
        <f t="shared" si="51"/>
        <v>118.44</v>
      </c>
      <c r="BO452" s="64">
        <f t="shared" si="52"/>
        <v>0.20032051282051283</v>
      </c>
      <c r="BP452" s="64">
        <f t="shared" si="53"/>
        <v>0.20192307692307693</v>
      </c>
    </row>
    <row r="453" spans="1:68" ht="27" customHeight="1" x14ac:dyDescent="0.25">
      <c r="A453" s="54" t="s">
        <v>692</v>
      </c>
      <c r="B453" s="54" t="s">
        <v>693</v>
      </c>
      <c r="C453" s="31">
        <v>4301031419</v>
      </c>
      <c r="D453" s="547">
        <v>4680115882072</v>
      </c>
      <c r="E453" s="548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0"/>
      <c r="R453" s="550"/>
      <c r="S453" s="550"/>
      <c r="T453" s="551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customHeight="1" x14ac:dyDescent="0.25">
      <c r="A454" s="54" t="s">
        <v>694</v>
      </c>
      <c r="B454" s="54" t="s">
        <v>695</v>
      </c>
      <c r="C454" s="31">
        <v>4301031418</v>
      </c>
      <c r="D454" s="547">
        <v>4680115882102</v>
      </c>
      <c r="E454" s="548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5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0"/>
      <c r="R454" s="550"/>
      <c r="S454" s="550"/>
      <c r="T454" s="551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customHeight="1" x14ac:dyDescent="0.25">
      <c r="A455" s="54" t="s">
        <v>696</v>
      </c>
      <c r="B455" s="54" t="s">
        <v>697</v>
      </c>
      <c r="C455" s="31">
        <v>4301031417</v>
      </c>
      <c r="D455" s="547">
        <v>4680115882096</v>
      </c>
      <c r="E455" s="548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7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0"/>
      <c r="R455" s="550"/>
      <c r="S455" s="550"/>
      <c r="T455" s="551"/>
      <c r="U455" s="34"/>
      <c r="V455" s="34"/>
      <c r="W455" s="35" t="s">
        <v>68</v>
      </c>
      <c r="X455" s="543">
        <v>90</v>
      </c>
      <c r="Y455" s="544">
        <f t="shared" si="49"/>
        <v>91.2</v>
      </c>
      <c r="Z455" s="36">
        <f>IFERROR(IF(Y455=0,"",ROUNDUP(Y455/H455,0)*0.00902),"")</f>
        <v>0.17138</v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125.43750000000001</v>
      </c>
      <c r="BN455" s="64">
        <f t="shared" si="51"/>
        <v>127.11000000000001</v>
      </c>
      <c r="BO455" s="64">
        <f t="shared" si="52"/>
        <v>0.14204545454545456</v>
      </c>
      <c r="BP455" s="64">
        <f t="shared" si="53"/>
        <v>0.14393939393939395</v>
      </c>
    </row>
    <row r="456" spans="1:68" x14ac:dyDescent="0.2">
      <c r="A456" s="569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70"/>
      <c r="P456" s="557" t="s">
        <v>70</v>
      </c>
      <c r="Q456" s="558"/>
      <c r="R456" s="558"/>
      <c r="S456" s="558"/>
      <c r="T456" s="558"/>
      <c r="U456" s="558"/>
      <c r="V456" s="559"/>
      <c r="W456" s="37" t="s">
        <v>71</v>
      </c>
      <c r="X456" s="545">
        <f>IFERROR(X450/H450,"0")+IFERROR(X451/H451,"0")+IFERROR(X452/H452,"0")+IFERROR(X453/H453,"0")+IFERROR(X454/H454,"0")+IFERROR(X455/H455,"0")</f>
        <v>77.462121212121204</v>
      </c>
      <c r="Y456" s="545">
        <f>IFERROR(Y450/H450,"0")+IFERROR(Y451/H451,"0")+IFERROR(Y452/H452,"0")+IFERROR(Y453/H453,"0")+IFERROR(Y454/H454,"0")+IFERROR(Y455/H455,"0")</f>
        <v>79</v>
      </c>
      <c r="Z456" s="545">
        <f>IFERROR(IF(Z450="",0,Z450),"0")+IFERROR(IF(Z451="",0,Z451),"0")+IFERROR(IF(Z452="",0,Z452),"0")+IFERROR(IF(Z453="",0,Z453),"0")+IFERROR(IF(Z454="",0,Z454),"0")+IFERROR(IF(Z455="",0,Z455),"0")</f>
        <v>0.88897999999999999</v>
      </c>
      <c r="AA456" s="546"/>
      <c r="AB456" s="546"/>
      <c r="AC456" s="546"/>
    </row>
    <row r="457" spans="1:68" x14ac:dyDescent="0.2">
      <c r="A457" s="556"/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70"/>
      <c r="P457" s="557" t="s">
        <v>70</v>
      </c>
      <c r="Q457" s="558"/>
      <c r="R457" s="558"/>
      <c r="S457" s="558"/>
      <c r="T457" s="558"/>
      <c r="U457" s="558"/>
      <c r="V457" s="559"/>
      <c r="W457" s="37" t="s">
        <v>68</v>
      </c>
      <c r="X457" s="545">
        <f>IFERROR(SUM(X450:X455),"0")</f>
        <v>400</v>
      </c>
      <c r="Y457" s="545">
        <f>IFERROR(SUM(Y450:Y455),"0")</f>
        <v>408</v>
      </c>
      <c r="Z457" s="37"/>
      <c r="AA457" s="546"/>
      <c r="AB457" s="546"/>
      <c r="AC457" s="546"/>
    </row>
    <row r="458" spans="1:68" ht="14.25" customHeight="1" x14ac:dyDescent="0.25">
      <c r="A458" s="555" t="s">
        <v>72</v>
      </c>
      <c r="B458" s="556"/>
      <c r="C458" s="556"/>
      <c r="D458" s="556"/>
      <c r="E458" s="556"/>
      <c r="F458" s="556"/>
      <c r="G458" s="556"/>
      <c r="H458" s="556"/>
      <c r="I458" s="556"/>
      <c r="J458" s="556"/>
      <c r="K458" s="556"/>
      <c r="L458" s="556"/>
      <c r="M458" s="556"/>
      <c r="N458" s="556"/>
      <c r="O458" s="556"/>
      <c r="P458" s="556"/>
      <c r="Q458" s="556"/>
      <c r="R458" s="556"/>
      <c r="S458" s="556"/>
      <c r="T458" s="556"/>
      <c r="U458" s="556"/>
      <c r="V458" s="556"/>
      <c r="W458" s="556"/>
      <c r="X458" s="556"/>
      <c r="Y458" s="556"/>
      <c r="Z458" s="556"/>
      <c r="AA458" s="539"/>
      <c r="AB458" s="539"/>
      <c r="AC458" s="539"/>
    </row>
    <row r="459" spans="1:68" ht="16.5" customHeight="1" x14ac:dyDescent="0.25">
      <c r="A459" s="54" t="s">
        <v>698</v>
      </c>
      <c r="B459" s="54" t="s">
        <v>699</v>
      </c>
      <c r="C459" s="31">
        <v>4301051232</v>
      </c>
      <c r="D459" s="547">
        <v>4607091383409</v>
      </c>
      <c r="E459" s="548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0"/>
      <c r="R459" s="550"/>
      <c r="S459" s="550"/>
      <c r="T459" s="55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701</v>
      </c>
      <c r="B460" s="54" t="s">
        <v>702</v>
      </c>
      <c r="C460" s="31">
        <v>4301051233</v>
      </c>
      <c r="D460" s="547">
        <v>4607091383416</v>
      </c>
      <c r="E460" s="548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0"/>
      <c r="R460" s="550"/>
      <c r="S460" s="550"/>
      <c r="T460" s="55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704</v>
      </c>
      <c r="B461" s="54" t="s">
        <v>705</v>
      </c>
      <c r="C461" s="31">
        <v>4301051064</v>
      </c>
      <c r="D461" s="547">
        <v>4680115883536</v>
      </c>
      <c r="E461" s="548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0"/>
      <c r="R461" s="550"/>
      <c r="S461" s="550"/>
      <c r="T461" s="55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69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70"/>
      <c r="P462" s="557" t="s">
        <v>70</v>
      </c>
      <c r="Q462" s="558"/>
      <c r="R462" s="558"/>
      <c r="S462" s="558"/>
      <c r="T462" s="558"/>
      <c r="U462" s="558"/>
      <c r="V462" s="559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6"/>
      <c r="B463" s="556"/>
      <c r="C463" s="556"/>
      <c r="D463" s="556"/>
      <c r="E463" s="556"/>
      <c r="F463" s="556"/>
      <c r="G463" s="556"/>
      <c r="H463" s="556"/>
      <c r="I463" s="556"/>
      <c r="J463" s="556"/>
      <c r="K463" s="556"/>
      <c r="L463" s="556"/>
      <c r="M463" s="556"/>
      <c r="N463" s="556"/>
      <c r="O463" s="570"/>
      <c r="P463" s="557" t="s">
        <v>70</v>
      </c>
      <c r="Q463" s="558"/>
      <c r="R463" s="558"/>
      <c r="S463" s="558"/>
      <c r="T463" s="558"/>
      <c r="U463" s="558"/>
      <c r="V463" s="559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6" t="s">
        <v>707</v>
      </c>
      <c r="B464" s="607"/>
      <c r="C464" s="607"/>
      <c r="D464" s="607"/>
      <c r="E464" s="607"/>
      <c r="F464" s="607"/>
      <c r="G464" s="607"/>
      <c r="H464" s="607"/>
      <c r="I464" s="607"/>
      <c r="J464" s="607"/>
      <c r="K464" s="607"/>
      <c r="L464" s="607"/>
      <c r="M464" s="607"/>
      <c r="N464" s="607"/>
      <c r="O464" s="607"/>
      <c r="P464" s="607"/>
      <c r="Q464" s="607"/>
      <c r="R464" s="607"/>
      <c r="S464" s="607"/>
      <c r="T464" s="607"/>
      <c r="U464" s="607"/>
      <c r="V464" s="607"/>
      <c r="W464" s="607"/>
      <c r="X464" s="607"/>
      <c r="Y464" s="607"/>
      <c r="Z464" s="607"/>
      <c r="AA464" s="48"/>
      <c r="AB464" s="48"/>
      <c r="AC464" s="48"/>
    </row>
    <row r="465" spans="1:68" ht="16.5" customHeight="1" x14ac:dyDescent="0.25">
      <c r="A465" s="562" t="s">
        <v>707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8"/>
      <c r="AB465" s="538"/>
      <c r="AC465" s="538"/>
    </row>
    <row r="466" spans="1:68" ht="14.25" customHeight="1" x14ac:dyDescent="0.25">
      <c r="A466" s="555" t="s">
        <v>98</v>
      </c>
      <c r="B466" s="556"/>
      <c r="C466" s="556"/>
      <c r="D466" s="556"/>
      <c r="E466" s="556"/>
      <c r="F466" s="556"/>
      <c r="G466" s="556"/>
      <c r="H466" s="556"/>
      <c r="I466" s="556"/>
      <c r="J466" s="556"/>
      <c r="K466" s="556"/>
      <c r="L466" s="556"/>
      <c r="M466" s="556"/>
      <c r="N466" s="556"/>
      <c r="O466" s="556"/>
      <c r="P466" s="556"/>
      <c r="Q466" s="556"/>
      <c r="R466" s="556"/>
      <c r="S466" s="556"/>
      <c r="T466" s="556"/>
      <c r="U466" s="556"/>
      <c r="V466" s="556"/>
      <c r="W466" s="556"/>
      <c r="X466" s="556"/>
      <c r="Y466" s="556"/>
      <c r="Z466" s="556"/>
      <c r="AA466" s="539"/>
      <c r="AB466" s="539"/>
      <c r="AC466" s="539"/>
    </row>
    <row r="467" spans="1:68" ht="27" customHeight="1" x14ac:dyDescent="0.25">
      <c r="A467" s="54" t="s">
        <v>708</v>
      </c>
      <c r="B467" s="54" t="s">
        <v>709</v>
      </c>
      <c r="C467" s="31">
        <v>4301011763</v>
      </c>
      <c r="D467" s="547">
        <v>4640242181011</v>
      </c>
      <c r="E467" s="548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67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0"/>
      <c r="R467" s="550"/>
      <c r="S467" s="550"/>
      <c r="T467" s="55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711</v>
      </c>
      <c r="B468" s="54" t="s">
        <v>712</v>
      </c>
      <c r="C468" s="31">
        <v>4301011585</v>
      </c>
      <c r="D468" s="547">
        <v>4640242180441</v>
      </c>
      <c r="E468" s="548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596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0"/>
      <c r="R468" s="550"/>
      <c r="S468" s="550"/>
      <c r="T468" s="55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714</v>
      </c>
      <c r="B469" s="54" t="s">
        <v>715</v>
      </c>
      <c r="C469" s="31">
        <v>4301011584</v>
      </c>
      <c r="D469" s="547">
        <v>4640242180564</v>
      </c>
      <c r="E469" s="548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8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0"/>
      <c r="R469" s="550"/>
      <c r="S469" s="550"/>
      <c r="T469" s="551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717</v>
      </c>
      <c r="B470" s="54" t="s">
        <v>718</v>
      </c>
      <c r="C470" s="31">
        <v>4301011764</v>
      </c>
      <c r="D470" s="547">
        <v>4640242181189</v>
      </c>
      <c r="E470" s="548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0"/>
      <c r="R470" s="550"/>
      <c r="S470" s="550"/>
      <c r="T470" s="55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69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70"/>
      <c r="P471" s="557" t="s">
        <v>70</v>
      </c>
      <c r="Q471" s="558"/>
      <c r="R471" s="558"/>
      <c r="S471" s="558"/>
      <c r="T471" s="558"/>
      <c r="U471" s="558"/>
      <c r="V471" s="559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x14ac:dyDescent="0.2">
      <c r="A472" s="556"/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70"/>
      <c r="P472" s="557" t="s">
        <v>70</v>
      </c>
      <c r="Q472" s="558"/>
      <c r="R472" s="558"/>
      <c r="S472" s="558"/>
      <c r="T472" s="558"/>
      <c r="U472" s="558"/>
      <c r="V472" s="559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customHeight="1" x14ac:dyDescent="0.25">
      <c r="A473" s="555" t="s">
        <v>130</v>
      </c>
      <c r="B473" s="556"/>
      <c r="C473" s="556"/>
      <c r="D473" s="556"/>
      <c r="E473" s="556"/>
      <c r="F473" s="556"/>
      <c r="G473" s="556"/>
      <c r="H473" s="556"/>
      <c r="I473" s="556"/>
      <c r="J473" s="556"/>
      <c r="K473" s="556"/>
      <c r="L473" s="556"/>
      <c r="M473" s="556"/>
      <c r="N473" s="556"/>
      <c r="O473" s="556"/>
      <c r="P473" s="556"/>
      <c r="Q473" s="556"/>
      <c r="R473" s="556"/>
      <c r="S473" s="556"/>
      <c r="T473" s="556"/>
      <c r="U473" s="556"/>
      <c r="V473" s="556"/>
      <c r="W473" s="556"/>
      <c r="X473" s="556"/>
      <c r="Y473" s="556"/>
      <c r="Z473" s="556"/>
      <c r="AA473" s="539"/>
      <c r="AB473" s="539"/>
      <c r="AC473" s="539"/>
    </row>
    <row r="474" spans="1:68" ht="27" customHeight="1" x14ac:dyDescent="0.25">
      <c r="A474" s="54" t="s">
        <v>719</v>
      </c>
      <c r="B474" s="54" t="s">
        <v>720</v>
      </c>
      <c r="C474" s="31">
        <v>4301020400</v>
      </c>
      <c r="D474" s="547">
        <v>4640242180519</v>
      </c>
      <c r="E474" s="548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64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0"/>
      <c r="R474" s="550"/>
      <c r="S474" s="550"/>
      <c r="T474" s="55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722</v>
      </c>
      <c r="B475" s="54" t="s">
        <v>723</v>
      </c>
      <c r="C475" s="31">
        <v>4301020260</v>
      </c>
      <c r="D475" s="547">
        <v>4640242180526</v>
      </c>
      <c r="E475" s="548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88" t="s">
        <v>724</v>
      </c>
      <c r="Q475" s="550"/>
      <c r="R475" s="550"/>
      <c r="S475" s="550"/>
      <c r="T475" s="551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726</v>
      </c>
      <c r="B476" s="54" t="s">
        <v>727</v>
      </c>
      <c r="C476" s="31">
        <v>4301020295</v>
      </c>
      <c r="D476" s="547">
        <v>4640242181363</v>
      </c>
      <c r="E476" s="548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0"/>
      <c r="R476" s="550"/>
      <c r="S476" s="550"/>
      <c r="T476" s="55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9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70"/>
      <c r="P477" s="557" t="s">
        <v>70</v>
      </c>
      <c r="Q477" s="558"/>
      <c r="R477" s="558"/>
      <c r="S477" s="558"/>
      <c r="T477" s="558"/>
      <c r="U477" s="558"/>
      <c r="V477" s="559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6"/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70"/>
      <c r="P478" s="557" t="s">
        <v>70</v>
      </c>
      <c r="Q478" s="558"/>
      <c r="R478" s="558"/>
      <c r="S478" s="558"/>
      <c r="T478" s="558"/>
      <c r="U478" s="558"/>
      <c r="V478" s="559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55" t="s">
        <v>63</v>
      </c>
      <c r="B479" s="556"/>
      <c r="C479" s="556"/>
      <c r="D479" s="556"/>
      <c r="E479" s="556"/>
      <c r="F479" s="556"/>
      <c r="G479" s="556"/>
      <c r="H479" s="556"/>
      <c r="I479" s="556"/>
      <c r="J479" s="556"/>
      <c r="K479" s="556"/>
      <c r="L479" s="556"/>
      <c r="M479" s="556"/>
      <c r="N479" s="556"/>
      <c r="O479" s="556"/>
      <c r="P479" s="556"/>
      <c r="Q479" s="556"/>
      <c r="R479" s="556"/>
      <c r="S479" s="556"/>
      <c r="T479" s="556"/>
      <c r="U479" s="556"/>
      <c r="V479" s="556"/>
      <c r="W479" s="556"/>
      <c r="X479" s="556"/>
      <c r="Y479" s="556"/>
      <c r="Z479" s="556"/>
      <c r="AA479" s="539"/>
      <c r="AB479" s="539"/>
      <c r="AC479" s="539"/>
    </row>
    <row r="480" spans="1:68" ht="27" customHeight="1" x14ac:dyDescent="0.25">
      <c r="A480" s="54" t="s">
        <v>729</v>
      </c>
      <c r="B480" s="54" t="s">
        <v>730</v>
      </c>
      <c r="C480" s="31">
        <v>4301031280</v>
      </c>
      <c r="D480" s="547">
        <v>4640242180816</v>
      </c>
      <c r="E480" s="548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67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0"/>
      <c r="R480" s="550"/>
      <c r="S480" s="550"/>
      <c r="T480" s="551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732</v>
      </c>
      <c r="B481" s="54" t="s">
        <v>733</v>
      </c>
      <c r="C481" s="31">
        <v>4301031244</v>
      </c>
      <c r="D481" s="547">
        <v>4640242180595</v>
      </c>
      <c r="E481" s="548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0"/>
      <c r="R481" s="550"/>
      <c r="S481" s="550"/>
      <c r="T481" s="551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69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70"/>
      <c r="P482" s="557" t="s">
        <v>70</v>
      </c>
      <c r="Q482" s="558"/>
      <c r="R482" s="558"/>
      <c r="S482" s="558"/>
      <c r="T482" s="558"/>
      <c r="U482" s="558"/>
      <c r="V482" s="559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6"/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70"/>
      <c r="P483" s="557" t="s">
        <v>70</v>
      </c>
      <c r="Q483" s="558"/>
      <c r="R483" s="558"/>
      <c r="S483" s="558"/>
      <c r="T483" s="558"/>
      <c r="U483" s="558"/>
      <c r="V483" s="559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55" t="s">
        <v>72</v>
      </c>
      <c r="B484" s="556"/>
      <c r="C484" s="556"/>
      <c r="D484" s="556"/>
      <c r="E484" s="556"/>
      <c r="F484" s="556"/>
      <c r="G484" s="556"/>
      <c r="H484" s="556"/>
      <c r="I484" s="556"/>
      <c r="J484" s="556"/>
      <c r="K484" s="556"/>
      <c r="L484" s="556"/>
      <c r="M484" s="556"/>
      <c r="N484" s="556"/>
      <c r="O484" s="556"/>
      <c r="P484" s="556"/>
      <c r="Q484" s="556"/>
      <c r="R484" s="556"/>
      <c r="S484" s="556"/>
      <c r="T484" s="556"/>
      <c r="U484" s="556"/>
      <c r="V484" s="556"/>
      <c r="W484" s="556"/>
      <c r="X484" s="556"/>
      <c r="Y484" s="556"/>
      <c r="Z484" s="556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47">
        <v>4640242180533</v>
      </c>
      <c r="E485" s="548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759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0"/>
      <c r="R485" s="550"/>
      <c r="S485" s="550"/>
      <c r="T485" s="551"/>
      <c r="U485" s="34"/>
      <c r="V485" s="34"/>
      <c r="W485" s="35" t="s">
        <v>68</v>
      </c>
      <c r="X485" s="543">
        <v>800</v>
      </c>
      <c r="Y485" s="544">
        <f>IFERROR(IF(X485="",0,CEILING((X485/$H485),1)*$H485),"")</f>
        <v>801</v>
      </c>
      <c r="Z485" s="36">
        <f>IFERROR(IF(Y485=0,"",ROUNDUP(Y485/H485,0)*0.01898),"")</f>
        <v>1.6892199999999999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846.13333333333333</v>
      </c>
      <c r="BN485" s="64">
        <f>IFERROR(Y485*I485/H485,"0")</f>
        <v>847.19100000000003</v>
      </c>
      <c r="BO485" s="64">
        <f>IFERROR(1/J485*(X485/H485),"0")</f>
        <v>1.3888888888888888</v>
      </c>
      <c r="BP485" s="64">
        <f>IFERROR(1/J485*(Y485/H485),"0")</f>
        <v>1.390625</v>
      </c>
    </row>
    <row r="486" spans="1:68" x14ac:dyDescent="0.2">
      <c r="A486" s="569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70"/>
      <c r="P486" s="557" t="s">
        <v>70</v>
      </c>
      <c r="Q486" s="558"/>
      <c r="R486" s="558"/>
      <c r="S486" s="558"/>
      <c r="T486" s="558"/>
      <c r="U486" s="558"/>
      <c r="V486" s="559"/>
      <c r="W486" s="37" t="s">
        <v>71</v>
      </c>
      <c r="X486" s="545">
        <f>IFERROR(X485/H485,"0")</f>
        <v>88.888888888888886</v>
      </c>
      <c r="Y486" s="545">
        <f>IFERROR(Y485/H485,"0")</f>
        <v>89</v>
      </c>
      <c r="Z486" s="545">
        <f>IFERROR(IF(Z485="",0,Z485),"0")</f>
        <v>1.6892199999999999</v>
      </c>
      <c r="AA486" s="546"/>
      <c r="AB486" s="546"/>
      <c r="AC486" s="546"/>
    </row>
    <row r="487" spans="1:68" x14ac:dyDescent="0.2">
      <c r="A487" s="556"/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70"/>
      <c r="P487" s="557" t="s">
        <v>70</v>
      </c>
      <c r="Q487" s="558"/>
      <c r="R487" s="558"/>
      <c r="S487" s="558"/>
      <c r="T487" s="558"/>
      <c r="U487" s="558"/>
      <c r="V487" s="559"/>
      <c r="W487" s="37" t="s">
        <v>68</v>
      </c>
      <c r="X487" s="545">
        <f>IFERROR(SUM(X485:X485),"0")</f>
        <v>800</v>
      </c>
      <c r="Y487" s="545">
        <f>IFERROR(SUM(Y485:Y485),"0")</f>
        <v>801</v>
      </c>
      <c r="Z487" s="37"/>
      <c r="AA487" s="546"/>
      <c r="AB487" s="546"/>
      <c r="AC487" s="546"/>
    </row>
    <row r="488" spans="1:68" ht="14.25" customHeight="1" x14ac:dyDescent="0.25">
      <c r="A488" s="555" t="s">
        <v>160</v>
      </c>
      <c r="B488" s="556"/>
      <c r="C488" s="556"/>
      <c r="D488" s="556"/>
      <c r="E488" s="556"/>
      <c r="F488" s="556"/>
      <c r="G488" s="556"/>
      <c r="H488" s="556"/>
      <c r="I488" s="556"/>
      <c r="J488" s="556"/>
      <c r="K488" s="556"/>
      <c r="L488" s="556"/>
      <c r="M488" s="556"/>
      <c r="N488" s="556"/>
      <c r="O488" s="556"/>
      <c r="P488" s="556"/>
      <c r="Q488" s="556"/>
      <c r="R488" s="556"/>
      <c r="S488" s="556"/>
      <c r="T488" s="556"/>
      <c r="U488" s="556"/>
      <c r="V488" s="556"/>
      <c r="W488" s="556"/>
      <c r="X488" s="556"/>
      <c r="Y488" s="556"/>
      <c r="Z488" s="556"/>
      <c r="AA488" s="539"/>
      <c r="AB488" s="539"/>
      <c r="AC488" s="539"/>
    </row>
    <row r="489" spans="1:68" ht="27" customHeight="1" x14ac:dyDescent="0.25">
      <c r="A489" s="54" t="s">
        <v>738</v>
      </c>
      <c r="B489" s="54" t="s">
        <v>739</v>
      </c>
      <c r="C489" s="31">
        <v>4301060491</v>
      </c>
      <c r="D489" s="547">
        <v>4640242180120</v>
      </c>
      <c r="E489" s="548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1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0"/>
      <c r="R489" s="550"/>
      <c r="S489" s="550"/>
      <c r="T489" s="55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741</v>
      </c>
      <c r="B490" s="54" t="s">
        <v>742</v>
      </c>
      <c r="C490" s="31">
        <v>4301060493</v>
      </c>
      <c r="D490" s="547">
        <v>4640242180137</v>
      </c>
      <c r="E490" s="548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79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0"/>
      <c r="R490" s="550"/>
      <c r="S490" s="550"/>
      <c r="T490" s="55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69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70"/>
      <c r="P491" s="557" t="s">
        <v>70</v>
      </c>
      <c r="Q491" s="558"/>
      <c r="R491" s="558"/>
      <c r="S491" s="558"/>
      <c r="T491" s="558"/>
      <c r="U491" s="558"/>
      <c r="V491" s="559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6"/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70"/>
      <c r="P492" s="557" t="s">
        <v>70</v>
      </c>
      <c r="Q492" s="558"/>
      <c r="R492" s="558"/>
      <c r="S492" s="558"/>
      <c r="T492" s="558"/>
      <c r="U492" s="558"/>
      <c r="V492" s="559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62" t="s">
        <v>744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8"/>
      <c r="AB493" s="538"/>
      <c r="AC493" s="538"/>
    </row>
    <row r="494" spans="1:68" ht="14.25" customHeight="1" x14ac:dyDescent="0.25">
      <c r="A494" s="555" t="s">
        <v>130</v>
      </c>
      <c r="B494" s="556"/>
      <c r="C494" s="556"/>
      <c r="D494" s="556"/>
      <c r="E494" s="556"/>
      <c r="F494" s="556"/>
      <c r="G494" s="556"/>
      <c r="H494" s="556"/>
      <c r="I494" s="556"/>
      <c r="J494" s="556"/>
      <c r="K494" s="556"/>
      <c r="L494" s="556"/>
      <c r="M494" s="556"/>
      <c r="N494" s="556"/>
      <c r="O494" s="556"/>
      <c r="P494" s="556"/>
      <c r="Q494" s="556"/>
      <c r="R494" s="556"/>
      <c r="S494" s="556"/>
      <c r="T494" s="556"/>
      <c r="U494" s="556"/>
      <c r="V494" s="556"/>
      <c r="W494" s="556"/>
      <c r="X494" s="556"/>
      <c r="Y494" s="556"/>
      <c r="Z494" s="556"/>
      <c r="AA494" s="539"/>
      <c r="AB494" s="539"/>
      <c r="AC494" s="539"/>
    </row>
    <row r="495" spans="1:68" ht="27" customHeight="1" x14ac:dyDescent="0.25">
      <c r="A495" s="54" t="s">
        <v>745</v>
      </c>
      <c r="B495" s="54" t="s">
        <v>746</v>
      </c>
      <c r="C495" s="31">
        <v>4301020314</v>
      </c>
      <c r="D495" s="547">
        <v>4640242180090</v>
      </c>
      <c r="E495" s="548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690" t="s">
        <v>747</v>
      </c>
      <c r="Q495" s="550"/>
      <c r="R495" s="550"/>
      <c r="S495" s="550"/>
      <c r="T495" s="55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69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70"/>
      <c r="P496" s="557" t="s">
        <v>70</v>
      </c>
      <c r="Q496" s="558"/>
      <c r="R496" s="558"/>
      <c r="S496" s="558"/>
      <c r="T496" s="558"/>
      <c r="U496" s="558"/>
      <c r="V496" s="559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6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570"/>
      <c r="P497" s="557" t="s">
        <v>70</v>
      </c>
      <c r="Q497" s="558"/>
      <c r="R497" s="558"/>
      <c r="S497" s="558"/>
      <c r="T497" s="558"/>
      <c r="U497" s="558"/>
      <c r="V497" s="559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41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708"/>
      <c r="P498" s="603" t="s">
        <v>749</v>
      </c>
      <c r="Q498" s="604"/>
      <c r="R498" s="604"/>
      <c r="S498" s="604"/>
      <c r="T498" s="604"/>
      <c r="U498" s="604"/>
      <c r="V498" s="605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12933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13085.080000000002</v>
      </c>
      <c r="Z498" s="37"/>
      <c r="AA498" s="546"/>
      <c r="AB498" s="546"/>
      <c r="AC498" s="546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708"/>
      <c r="P499" s="603" t="s">
        <v>750</v>
      </c>
      <c r="Q499" s="604"/>
      <c r="R499" s="604"/>
      <c r="S499" s="604"/>
      <c r="T499" s="604"/>
      <c r="U499" s="604"/>
      <c r="V499" s="605"/>
      <c r="W499" s="37" t="s">
        <v>68</v>
      </c>
      <c r="X499" s="545">
        <f>IFERROR(SUM(BM22:BM495),"0")</f>
        <v>13755.016562348888</v>
      </c>
      <c r="Y499" s="545">
        <f>IFERROR(SUM(BN22:BN495),"0")</f>
        <v>13916.784</v>
      </c>
      <c r="Z499" s="37"/>
      <c r="AA499" s="546"/>
      <c r="AB499" s="546"/>
      <c r="AC499" s="546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708"/>
      <c r="P500" s="603" t="s">
        <v>751</v>
      </c>
      <c r="Q500" s="604"/>
      <c r="R500" s="604"/>
      <c r="S500" s="604"/>
      <c r="T500" s="604"/>
      <c r="U500" s="604"/>
      <c r="V500" s="605"/>
      <c r="W500" s="37" t="s">
        <v>752</v>
      </c>
      <c r="X500" s="38">
        <f>ROUNDUP(SUM(BO22:BO495),0)</f>
        <v>23</v>
      </c>
      <c r="Y500" s="38">
        <f>ROUNDUP(SUM(BP22:BP495),0)</f>
        <v>24</v>
      </c>
      <c r="Z500" s="37"/>
      <c r="AA500" s="546"/>
      <c r="AB500" s="546"/>
      <c r="AC500" s="546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708"/>
      <c r="P501" s="603" t="s">
        <v>753</v>
      </c>
      <c r="Q501" s="604"/>
      <c r="R501" s="604"/>
      <c r="S501" s="604"/>
      <c r="T501" s="604"/>
      <c r="U501" s="604"/>
      <c r="V501" s="605"/>
      <c r="W501" s="37" t="s">
        <v>68</v>
      </c>
      <c r="X501" s="545">
        <f>GrossWeightTotal+PalletQtyTotal*25</f>
        <v>14330.016562348888</v>
      </c>
      <c r="Y501" s="545">
        <f>GrossWeightTotalR+PalletQtyTotalR*25</f>
        <v>14516.784</v>
      </c>
      <c r="Z501" s="37"/>
      <c r="AA501" s="546"/>
      <c r="AB501" s="546"/>
      <c r="AC501" s="546"/>
    </row>
    <row r="502" spans="1:32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708"/>
      <c r="P502" s="603" t="s">
        <v>754</v>
      </c>
      <c r="Q502" s="604"/>
      <c r="R502" s="604"/>
      <c r="S502" s="604"/>
      <c r="T502" s="604"/>
      <c r="U502" s="604"/>
      <c r="V502" s="605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2600.3417257497713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2628</v>
      </c>
      <c r="Z502" s="37"/>
      <c r="AA502" s="546"/>
      <c r="AB502" s="546"/>
      <c r="AC502" s="546"/>
    </row>
    <row r="503" spans="1:32" ht="14.25" customHeight="1" x14ac:dyDescent="0.2">
      <c r="A503" s="556"/>
      <c r="B503" s="556"/>
      <c r="C503" s="556"/>
      <c r="D503" s="556"/>
      <c r="E503" s="556"/>
      <c r="F503" s="556"/>
      <c r="G503" s="556"/>
      <c r="H503" s="556"/>
      <c r="I503" s="556"/>
      <c r="J503" s="556"/>
      <c r="K503" s="556"/>
      <c r="L503" s="556"/>
      <c r="M503" s="556"/>
      <c r="N503" s="556"/>
      <c r="O503" s="708"/>
      <c r="P503" s="603" t="s">
        <v>755</v>
      </c>
      <c r="Q503" s="604"/>
      <c r="R503" s="604"/>
      <c r="S503" s="604"/>
      <c r="T503" s="604"/>
      <c r="U503" s="604"/>
      <c r="V503" s="605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26.662880000000005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67" t="s">
        <v>96</v>
      </c>
      <c r="D505" s="630"/>
      <c r="E505" s="630"/>
      <c r="F505" s="630"/>
      <c r="G505" s="630"/>
      <c r="H505" s="631"/>
      <c r="I505" s="567" t="s">
        <v>245</v>
      </c>
      <c r="J505" s="630"/>
      <c r="K505" s="630"/>
      <c r="L505" s="630"/>
      <c r="M505" s="630"/>
      <c r="N505" s="630"/>
      <c r="O505" s="630"/>
      <c r="P505" s="630"/>
      <c r="Q505" s="630"/>
      <c r="R505" s="630"/>
      <c r="S505" s="631"/>
      <c r="T505" s="567" t="s">
        <v>531</v>
      </c>
      <c r="U505" s="631"/>
      <c r="V505" s="567" t="s">
        <v>587</v>
      </c>
      <c r="W505" s="630"/>
      <c r="X505" s="630"/>
      <c r="Y505" s="631"/>
      <c r="Z505" s="540" t="s">
        <v>643</v>
      </c>
      <c r="AA505" s="567" t="s">
        <v>707</v>
      </c>
      <c r="AB505" s="631"/>
      <c r="AC505" s="52"/>
      <c r="AF505" s="541"/>
    </row>
    <row r="506" spans="1:32" ht="14.25" customHeight="1" thickTop="1" x14ac:dyDescent="0.2">
      <c r="A506" s="739" t="s">
        <v>758</v>
      </c>
      <c r="B506" s="567" t="s">
        <v>62</v>
      </c>
      <c r="C506" s="567" t="s">
        <v>97</v>
      </c>
      <c r="D506" s="567" t="s">
        <v>112</v>
      </c>
      <c r="E506" s="567" t="s">
        <v>167</v>
      </c>
      <c r="F506" s="567" t="s">
        <v>187</v>
      </c>
      <c r="G506" s="567" t="s">
        <v>217</v>
      </c>
      <c r="H506" s="567" t="s">
        <v>96</v>
      </c>
      <c r="I506" s="567" t="s">
        <v>246</v>
      </c>
      <c r="J506" s="567" t="s">
        <v>286</v>
      </c>
      <c r="K506" s="567" t="s">
        <v>346</v>
      </c>
      <c r="L506" s="567" t="s">
        <v>390</v>
      </c>
      <c r="M506" s="567" t="s">
        <v>406</v>
      </c>
      <c r="N506" s="541"/>
      <c r="O506" s="567" t="s">
        <v>420</v>
      </c>
      <c r="P506" s="567" t="s">
        <v>430</v>
      </c>
      <c r="Q506" s="567" t="s">
        <v>437</v>
      </c>
      <c r="R506" s="567" t="s">
        <v>442</v>
      </c>
      <c r="S506" s="567" t="s">
        <v>521</v>
      </c>
      <c r="T506" s="567" t="s">
        <v>532</v>
      </c>
      <c r="U506" s="567" t="s">
        <v>567</v>
      </c>
      <c r="V506" s="567" t="s">
        <v>588</v>
      </c>
      <c r="W506" s="567" t="s">
        <v>620</v>
      </c>
      <c r="X506" s="567" t="s">
        <v>635</v>
      </c>
      <c r="Y506" s="567" t="s">
        <v>639</v>
      </c>
      <c r="Z506" s="567" t="s">
        <v>643</v>
      </c>
      <c r="AA506" s="567" t="s">
        <v>707</v>
      </c>
      <c r="AB506" s="567" t="s">
        <v>744</v>
      </c>
      <c r="AC506" s="52"/>
      <c r="AF506" s="541"/>
    </row>
    <row r="507" spans="1:32" ht="13.5" customHeight="1" thickBot="1" x14ac:dyDescent="0.25">
      <c r="A507" s="740"/>
      <c r="B507" s="568"/>
      <c r="C507" s="568"/>
      <c r="D507" s="568"/>
      <c r="E507" s="568"/>
      <c r="F507" s="568"/>
      <c r="G507" s="568"/>
      <c r="H507" s="568"/>
      <c r="I507" s="568"/>
      <c r="J507" s="568"/>
      <c r="K507" s="568"/>
      <c r="L507" s="568"/>
      <c r="M507" s="568"/>
      <c r="N507" s="541"/>
      <c r="O507" s="568"/>
      <c r="P507" s="568"/>
      <c r="Q507" s="568"/>
      <c r="R507" s="568"/>
      <c r="S507" s="568"/>
      <c r="T507" s="568"/>
      <c r="U507" s="568"/>
      <c r="V507" s="568"/>
      <c r="W507" s="568"/>
      <c r="X507" s="568"/>
      <c r="Y507" s="568"/>
      <c r="Z507" s="568"/>
      <c r="AA507" s="568"/>
      <c r="AB507" s="56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192.4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615.30000000000007</v>
      </c>
      <c r="E508" s="46">
        <f>IFERROR(Y86*1,"0")+IFERROR(Y87*1,"0")+IFERROR(Y88*1,"0")+IFERROR(Y92*1,"0")+IFERROR(Y93*1,"0")+IFERROR(Y94*1,"0")+IFERROR(Y95*1,"0")</f>
        <v>930.60000000000014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1159.2</v>
      </c>
      <c r="G508" s="46">
        <f>IFERROR(Y125*1,"0")+IFERROR(Y126*1,"0")+IFERROR(Y130*1,"0")+IFERROR(Y131*1,"0")+IFERROR(Y135*1,"0")+IFERROR(Y136*1,"0")</f>
        <v>133.6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439.31999999999994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1514.3999999999999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126.2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300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400.8</v>
      </c>
      <c r="S508" s="46">
        <f>IFERROR(Y333*1,"0")+IFERROR(Y334*1,"0")+IFERROR(Y335*1,"0")</f>
        <v>1085.7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4485</v>
      </c>
      <c r="U508" s="46">
        <f>IFERROR(Y366*1,"0")+IFERROR(Y367*1,"0")+IFERROR(Y368*1,"0")+IFERROR(Y372*1,"0")+IFERROR(Y376*1,"0")+IFERROR(Y377*1,"0")+IFERROR(Y381*1,"0")</f>
        <v>0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63.000000000000014</v>
      </c>
      <c r="W508" s="46">
        <f>IFERROR(Y406*1,"0")+IFERROR(Y410*1,"0")+IFERROR(Y411*1,"0")+IFERROR(Y412*1,"0")+IFERROR(Y413*1,"0")</f>
        <v>19.200000000000003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819.36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801</v>
      </c>
      <c r="AB508" s="46">
        <f>IFERROR(Y495*1,"0")</f>
        <v>0</v>
      </c>
      <c r="AC508" s="52"/>
      <c r="AF508" s="541"/>
    </row>
  </sheetData>
  <sheetProtection algorithmName="SHA-512" hashValue="He3XJCJZXuOcUrx4eNku0WcuQQ2iKIEPasCxXjtQFnZIoRu6Bx2UbBpQqpC2EoU+pnWQyXGkVQPem5xG1+6mLw==" saltValue="3JPCBxLNFmR46NhfcptQN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G506:G507"/>
    <mergeCell ref="D450:E450"/>
    <mergeCell ref="D394:E394"/>
    <mergeCell ref="D223:E223"/>
    <mergeCell ref="A498:O503"/>
    <mergeCell ref="P181:T181"/>
    <mergeCell ref="P357:T357"/>
    <mergeCell ref="D29:E29"/>
    <mergeCell ref="P506:P507"/>
    <mergeCell ref="P344:T344"/>
    <mergeCell ref="D452:E452"/>
    <mergeCell ref="A318:Z318"/>
    <mergeCell ref="D252:E252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P228:T228"/>
    <mergeCell ref="D342:E342"/>
    <mergeCell ref="D171:E171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G17:G18"/>
    <mergeCell ref="D159:E159"/>
    <mergeCell ref="P407:V407"/>
    <mergeCell ref="P121:V121"/>
    <mergeCell ref="D80:E80"/>
    <mergeCell ref="P382:V382"/>
    <mergeCell ref="A169:Z169"/>
    <mergeCell ref="P471:V471"/>
    <mergeCell ref="D459:E459"/>
    <mergeCell ref="D288:E288"/>
    <mergeCell ref="P130:T130"/>
    <mergeCell ref="A271:Z271"/>
    <mergeCell ref="D136:E136"/>
    <mergeCell ref="D434:E434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410:T410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A464:Z464"/>
    <mergeCell ref="P316:V316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P261:T261"/>
    <mergeCell ref="D204:E204"/>
    <mergeCell ref="P388:T388"/>
    <mergeCell ref="P161:T161"/>
    <mergeCell ref="P459:T459"/>
    <mergeCell ref="D198:E198"/>
    <mergeCell ref="D440:E440"/>
    <mergeCell ref="D296:E296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P481:T481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P463:V463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A471:O472"/>
    <mergeCell ref="A422:Z422"/>
    <mergeCell ref="A360:Z360"/>
    <mergeCell ref="P366:T366"/>
    <mergeCell ref="P468:T468"/>
    <mergeCell ref="D474:E474"/>
    <mergeCell ref="D287:E287"/>
    <mergeCell ref="P170:T17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437:T437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762</v>
      </c>
      <c r="D6" s="47" t="s">
        <v>763</v>
      </c>
      <c r="E6" s="47"/>
    </row>
    <row r="7" spans="2:8" x14ac:dyDescent="0.2">
      <c r="B7" s="47" t="s">
        <v>764</v>
      </c>
      <c r="C7" s="47" t="s">
        <v>765</v>
      </c>
      <c r="D7" s="47" t="s">
        <v>766</v>
      </c>
      <c r="E7" s="47"/>
    </row>
    <row r="9" spans="2:8" x14ac:dyDescent="0.2">
      <c r="B9" s="47" t="s">
        <v>767</v>
      </c>
      <c r="C9" s="47" t="s">
        <v>762</v>
      </c>
      <c r="D9" s="47"/>
      <c r="E9" s="47"/>
    </row>
    <row r="11" spans="2:8" x14ac:dyDescent="0.2">
      <c r="B11" s="47" t="s">
        <v>767</v>
      </c>
      <c r="C11" s="47" t="s">
        <v>765</v>
      </c>
      <c r="D11" s="47"/>
      <c r="E11" s="47"/>
    </row>
    <row r="13" spans="2:8" x14ac:dyDescent="0.2">
      <c r="B13" s="47" t="s">
        <v>768</v>
      </c>
      <c r="C13" s="47"/>
      <c r="D13" s="47"/>
      <c r="E13" s="47"/>
    </row>
    <row r="14" spans="2:8" x14ac:dyDescent="0.2">
      <c r="B14" s="47" t="s">
        <v>769</v>
      </c>
      <c r="C14" s="47"/>
      <c r="D14" s="47"/>
      <c r="E14" s="47"/>
    </row>
    <row r="15" spans="2:8" x14ac:dyDescent="0.2">
      <c r="B15" s="47" t="s">
        <v>770</v>
      </c>
      <c r="C15" s="47"/>
      <c r="D15" s="47"/>
      <c r="E15" s="47"/>
    </row>
    <row r="16" spans="2:8" x14ac:dyDescent="0.2">
      <c r="B16" s="47" t="s">
        <v>771</v>
      </c>
      <c r="C16" s="47"/>
      <c r="D16" s="47"/>
      <c r="E16" s="47"/>
    </row>
    <row r="17" spans="2:5" x14ac:dyDescent="0.2">
      <c r="B17" s="47" t="s">
        <v>772</v>
      </c>
      <c r="C17" s="47"/>
      <c r="D17" s="47"/>
      <c r="E17" s="47"/>
    </row>
    <row r="18" spans="2:5" x14ac:dyDescent="0.2">
      <c r="B18" s="47" t="s">
        <v>773</v>
      </c>
      <c r="C18" s="47"/>
      <c r="D18" s="47"/>
      <c r="E18" s="47"/>
    </row>
    <row r="19" spans="2:5" x14ac:dyDescent="0.2">
      <c r="B19" s="47" t="s">
        <v>774</v>
      </c>
      <c r="C19" s="47"/>
      <c r="D19" s="47"/>
      <c r="E19" s="47"/>
    </row>
    <row r="20" spans="2:5" x14ac:dyDescent="0.2">
      <c r="B20" s="47" t="s">
        <v>775</v>
      </c>
      <c r="C20" s="47"/>
      <c r="D20" s="47"/>
      <c r="E20" s="47"/>
    </row>
    <row r="21" spans="2:5" x14ac:dyDescent="0.2">
      <c r="B21" s="47" t="s">
        <v>776</v>
      </c>
      <c r="C21" s="47"/>
      <c r="D21" s="47"/>
      <c r="E21" s="47"/>
    </row>
    <row r="22" spans="2:5" x14ac:dyDescent="0.2">
      <c r="B22" s="47" t="s">
        <v>777</v>
      </c>
      <c r="C22" s="47"/>
      <c r="D22" s="47"/>
      <c r="E22" s="47"/>
    </row>
    <row r="23" spans="2:5" x14ac:dyDescent="0.2">
      <c r="B23" s="47" t="s">
        <v>778</v>
      </c>
      <c r="C23" s="47"/>
      <c r="D23" s="47"/>
      <c r="E23" s="47"/>
    </row>
  </sheetData>
  <sheetProtection algorithmName="SHA-512" hashValue="OE4LaNoExftFRZGHNK3JLHNhD1BTqEQv+JqkcLzrrCLMeMuOE81kS7C9XO/mpuKDo2Ycn3O4vr0JQYSdSSLP9w==" saltValue="IKiz1lc5do+PbVtvHKxZ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