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UZ\"/>
    </mc:Choice>
  </mc:AlternateContent>
  <xr:revisionPtr revIDLastSave="0" documentId="13_ncr:1_{FEDD3877-8C79-45F5-A321-1816F36FE0B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заказа'!$X$367:$X$367</definedName>
    <definedName name="GrossWeightTotalR">'Бланк заказа'!$Y$367:$Y$367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заказа'!$X$368:$X$368</definedName>
    <definedName name="PalletQtyTotalR">'Бланк заказа'!$Y$368:$Y$368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заказа'!$B$227:$B$227</definedName>
    <definedName name="ProductId101">'Бланк заказа'!$B$231:$B$231</definedName>
    <definedName name="ProductId102">'Бланк заказа'!$B$232:$B$232</definedName>
    <definedName name="ProductId103">'Бланк заказа'!$B$233:$B$233</definedName>
    <definedName name="ProductId104">'Бланк заказа'!$B$237:$B$237</definedName>
    <definedName name="ProductId105">'Бланк заказа'!$B$238:$B$238</definedName>
    <definedName name="ProductId106">'Бланк заказа'!$B$239:$B$239</definedName>
    <definedName name="ProductId107">'Бланк заказа'!$B$240:$B$240</definedName>
    <definedName name="ProductId108">'Бланк заказа'!$B$244:$B$244</definedName>
    <definedName name="ProductId109">'Бланк заказа'!$B$245:$B$245</definedName>
    <definedName name="ProductId11">'Бланк заказа'!$B$44:$B$44</definedName>
    <definedName name="ProductId110">'Бланк заказа'!$B$246:$B$246</definedName>
    <definedName name="ProductId111">'Бланк заказа'!$B$251:$B$251</definedName>
    <definedName name="ProductId112">'Бланк заказа'!$B$252:$B$252</definedName>
    <definedName name="ProductId113">'Бланк заказа'!$B$258:$B$258</definedName>
    <definedName name="ProductId114">'Бланк заказа'!$B$259:$B$259</definedName>
    <definedName name="ProductId115">'Бланк заказа'!$B$260:$B$260</definedName>
    <definedName name="ProductId116">'Бланк заказа'!$B$261:$B$261</definedName>
    <definedName name="ProductId117">'Бланк заказа'!$B$262:$B$262</definedName>
    <definedName name="ProductId118">'Бланк заказа'!$B$263:$B$263</definedName>
    <definedName name="ProductId119">'Бланк заказа'!$B$267:$B$267</definedName>
    <definedName name="ProductId12">'Бланк заказа'!$B$45:$B$45</definedName>
    <definedName name="ProductId120">'Бланк заказа'!$B$268:$B$268</definedName>
    <definedName name="ProductId121">'Бланк заказа'!$B$272:$B$272</definedName>
    <definedName name="ProductId122">'Бланк заказа'!$B$273:$B$273</definedName>
    <definedName name="ProductId123">'Бланк заказа'!$B$277:$B$277</definedName>
    <definedName name="ProductId124">'Бланк заказа'!$B$282:$B$282</definedName>
    <definedName name="ProductId125">'Бланк заказа'!$B$283:$B$283</definedName>
    <definedName name="ProductId126">'Бланк заказа'!$B$284:$B$284</definedName>
    <definedName name="ProductId127">'Бланк заказа'!$B$285:$B$285</definedName>
    <definedName name="ProductId128">'Бланк заказа'!$B$289:$B$289</definedName>
    <definedName name="ProductId129">'Бланк заказа'!$B$293:$B$293</definedName>
    <definedName name="ProductId13">'Бланк заказа'!$B$46:$B$46</definedName>
    <definedName name="ProductId130">'Бланк заказа'!$B$294:$B$294</definedName>
    <definedName name="ProductId131">'Бланк заказа'!$B$298:$B$298</definedName>
    <definedName name="ProductId132">'Бланк заказа'!$B$304:$B$304</definedName>
    <definedName name="ProductId133">'Бланк заказа'!$B$305:$B$305</definedName>
    <definedName name="ProductId134">'Бланк заказа'!$B$306:$B$306</definedName>
    <definedName name="ProductId135">'Бланк заказа'!$B$307:$B$307</definedName>
    <definedName name="ProductId136">'Бланк заказа'!$B$311:$B$311</definedName>
    <definedName name="ProductId137">'Бланк заказа'!$B$312:$B$312</definedName>
    <definedName name="ProductId138">'Бланк заказа'!$B$317:$B$317</definedName>
    <definedName name="ProductId139">'Бланк заказа'!$B$318:$B$318</definedName>
    <definedName name="ProductId14">'Бланк заказа'!$B$50:$B$50</definedName>
    <definedName name="ProductId140">'Бланк заказа'!$B$322:$B$322</definedName>
    <definedName name="ProductId141">'Бланк заказа'!$B$328:$B$328</definedName>
    <definedName name="ProductId142">'Бланк заказа'!$B$329:$B$329</definedName>
    <definedName name="ProductId143">'Бланк заказа'!$B$330:$B$330</definedName>
    <definedName name="ProductId144">'Бланк заказа'!$B$331:$B$331</definedName>
    <definedName name="ProductId145">'Бланк заказа'!$B$332:$B$332</definedName>
    <definedName name="ProductId146">'Бланк заказа'!$B$333:$B$333</definedName>
    <definedName name="ProductId147">'Бланк заказа'!$B$334:$B$334</definedName>
    <definedName name="ProductId148">'Бланк заказа'!$B$335:$B$335</definedName>
    <definedName name="ProductId149">'Бланк заказа'!$B$336:$B$336</definedName>
    <definedName name="ProductId15">'Бланк заказа'!$B$51:$B$51</definedName>
    <definedName name="ProductId150">'Бланк заказа'!$B$337:$B$337</definedName>
    <definedName name="ProductId151">'Бланк заказа'!$B$341:$B$341</definedName>
    <definedName name="ProductId152">'Бланк заказа'!$B$342:$B$342</definedName>
    <definedName name="ProductId153">'Бланк заказа'!$B$346:$B$346</definedName>
    <definedName name="ProductId154">'Бланк заказа'!$B$347:$B$347</definedName>
    <definedName name="ProductId155">'Бланк заказа'!$B$348:$B$348</definedName>
    <definedName name="ProductId156">'Бланк заказа'!$B$349:$B$349</definedName>
    <definedName name="ProductId157">'Бланк заказа'!$B$350:$B$350</definedName>
    <definedName name="ProductId158">'Бланк заказа'!$B$351:$B$351</definedName>
    <definedName name="ProductId159">'Бланк заказа'!$B$352:$B$352</definedName>
    <definedName name="ProductId16">'Бланк заказа'!$B$52:$B$52</definedName>
    <definedName name="ProductId160">'Бланк заказа'!$B$356:$B$356</definedName>
    <definedName name="ProductId161">'Бланк заказа'!$B$357:$B$357</definedName>
    <definedName name="ProductId162">'Бланк заказа'!$B$363:$B$363</definedName>
    <definedName name="ProductId17">'Бланк заказа'!$B$53:$B$53</definedName>
    <definedName name="ProductId18">'Бланк заказа'!$B$57:$B$57</definedName>
    <definedName name="ProductId19">'Бланк заказа'!$B$58:$B$58</definedName>
    <definedName name="ProductId2">'Бланк заказа'!$B$23:$B$23</definedName>
    <definedName name="ProductId20">'Бланк заказа'!$B$63:$B$63</definedName>
    <definedName name="ProductId21">'Бланк заказа'!$B$64:$B$64</definedName>
    <definedName name="ProductId22">'Бланк заказа'!$B$68:$B$68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заказа'!$B$77:$B$77</definedName>
    <definedName name="ProductId28">'Бланк заказа'!$B$78:$B$78</definedName>
    <definedName name="ProductId29">'Бланк заказа'!$B$79:$B$79</definedName>
    <definedName name="ProductId3">'Бланк заказа'!$B$27:$B$27</definedName>
    <definedName name="ProductId30">'Бланк заказа'!$B$83:$B$83</definedName>
    <definedName name="ProductId31">'Бланк заказа'!$B$84:$B$84</definedName>
    <definedName name="ProductId32">'Бланк заказа'!$B$85:$B$85</definedName>
    <definedName name="ProductId33">'Бланк заказа'!$B$89:$B$89</definedName>
    <definedName name="ProductId34">'Бланк заказа'!$B$90:$B$90</definedName>
    <definedName name="ProductId35">'Бланк заказа'!$B$91:$B$91</definedName>
    <definedName name="ProductId36">'Бланк заказа'!$B$95:$B$95</definedName>
    <definedName name="ProductId37">'Бланк заказа'!$B$100:$B$100</definedName>
    <definedName name="ProductId38">'Бланк заказа'!$B$104:$B$104</definedName>
    <definedName name="ProductId39">'Бланк заказа'!$B$105:$B$105</definedName>
    <definedName name="ProductId4">'Бланк заказа'!$B$33:$B$33</definedName>
    <definedName name="ProductId40">'Бланк заказа'!$B$106:$B$106</definedName>
    <definedName name="ProductId41">'Бланк заказа'!$B$112:$B$112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заказа'!$B$118:$B$118</definedName>
    <definedName name="ProductId48">'Бланк заказа'!$B$119:$B$119</definedName>
    <definedName name="ProductId49">'Бланк заказа'!$B$123:$B$123</definedName>
    <definedName name="ProductId5">'Бланк заказа'!$B$34:$B$34</definedName>
    <definedName name="ProductId50">'Бланк заказа'!$B$124:$B$124</definedName>
    <definedName name="ProductId51">'Бланк заказа'!$B$125:$B$125</definedName>
    <definedName name="ProductId52">'Бланк заказа'!$B$129:$B$129</definedName>
    <definedName name="ProductId53">'Бланк заказа'!$B$134:$B$134</definedName>
    <definedName name="ProductId54">'Бланк заказа'!$B$135:$B$135</definedName>
    <definedName name="ProductId55">'Бланк заказа'!$B$139:$B$139</definedName>
    <definedName name="ProductId56">'Бланк заказа'!$B$140:$B$140</definedName>
    <definedName name="ProductId57">'Бланк заказа'!$B$144:$B$144</definedName>
    <definedName name="ProductId58">'Бланк заказа'!$B$145:$B$145</definedName>
    <definedName name="ProductId59">'Бланк заказа'!$B$146:$B$146</definedName>
    <definedName name="ProductId6">'Бланк заказа'!$B$35:$B$35</definedName>
    <definedName name="ProductId60">'Бланк заказа'!$B$147:$B$147</definedName>
    <definedName name="ProductId61">'Бланк заказа'!$B$151:$B$151</definedName>
    <definedName name="ProductId62">'Бланк заказа'!$B$152:$B$152</definedName>
    <definedName name="ProductId63">'Бланк заказа'!$B$153:$B$153</definedName>
    <definedName name="ProductId64">'Бланк заказа'!$B$154:$B$154</definedName>
    <definedName name="ProductId65">'Бланк заказа'!$B$155:$B$155</definedName>
    <definedName name="ProductId66">'Бланк заказа'!$B$156:$B$156</definedName>
    <definedName name="ProductId67">'Бланк заказа'!$B$157:$B$157</definedName>
    <definedName name="ProductId68">'Бланк заказа'!$B$158:$B$158</definedName>
    <definedName name="ProductId69">'Бланк заказа'!$B$162:$B$162</definedName>
    <definedName name="ProductId7">'Бланк заказа'!$B$36:$B$36</definedName>
    <definedName name="ProductId70">'Бланк заказа'!$B$167:$B$167</definedName>
    <definedName name="ProductId71">'Бланк заказа'!$B$168:$B$168</definedName>
    <definedName name="ProductId72">'Бланк заказа'!$B$169:$B$169</definedName>
    <definedName name="ProductId73">'Бланк заказа'!$B$170:$B$170</definedName>
    <definedName name="ProductId74">'Бланк заказа'!$B$171:$B$171</definedName>
    <definedName name="ProductId75">'Бланк заказа'!$B$172:$B$172</definedName>
    <definedName name="ProductId76">'Бланк заказа'!$B$177:$B$177</definedName>
    <definedName name="ProductId77">'Бланк заказа'!$B$178:$B$178</definedName>
    <definedName name="ProductId78">'Бланк заказа'!$B$179:$B$179</definedName>
    <definedName name="ProductId79">'Бланк заказа'!$B$180:$B$180</definedName>
    <definedName name="ProductId8">'Бланк заказа'!$B$41:$B$41</definedName>
    <definedName name="ProductId80">'Бланк заказа'!$B$181:$B$181</definedName>
    <definedName name="ProductId81">'Бланк заказа'!$B$186:$B$186</definedName>
    <definedName name="ProductId82">'Бланк заказа'!$B$191:$B$191</definedName>
    <definedName name="ProductId83">'Бланк заказа'!$B$196:$B$196</definedName>
    <definedName name="ProductId84">'Бланк заказа'!$B$201:$B$201</definedName>
    <definedName name="ProductId85">'Бланк заказа'!$B$206:$B$206</definedName>
    <definedName name="ProductId86">'Бланк заказа'!$B$207:$B$207</definedName>
    <definedName name="ProductId87">'Бланк заказа'!$B$208:$B$208</definedName>
    <definedName name="ProductId88">'Бланк заказа'!$B$209:$B$209</definedName>
    <definedName name="ProductId89">'Бланк заказа'!$B$210:$B$210</definedName>
    <definedName name="ProductId9">'Бланк заказа'!$B$42:$B$42</definedName>
    <definedName name="ProductId90">'Бланк заказа'!$B$214:$B$214</definedName>
    <definedName name="ProductId91">'Бланк заказа'!$B$215:$B$215</definedName>
    <definedName name="ProductId92">'Бланк заказа'!$B$216:$B$216</definedName>
    <definedName name="ProductId93">'Бланк заказа'!$B$217:$B$217</definedName>
    <definedName name="ProductId94">'Бланк заказа'!$B$218:$B$218</definedName>
    <definedName name="ProductId95">'Бланк заказа'!$B$219:$B$219</definedName>
    <definedName name="ProductId96">'Бланк заказа'!$B$223:$B$223</definedName>
    <definedName name="ProductId97">'Бланк заказа'!$B$224:$B$224</definedName>
    <definedName name="ProductId98">'Бланк заказа'!$B$225:$B$225</definedName>
    <definedName name="ProductId99">'Бланк заказа'!$B$226:$B$226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заказа'!$X$43:$X$43</definedName>
    <definedName name="SalesQty100">'Бланк заказа'!$X$227:$X$227</definedName>
    <definedName name="SalesQty101">'Бланк заказа'!$X$231:$X$231</definedName>
    <definedName name="SalesQty102">'Бланк заказа'!$X$232:$X$232</definedName>
    <definedName name="SalesQty103">'Бланк заказа'!$X$233:$X$233</definedName>
    <definedName name="SalesQty104">'Бланк заказа'!$X$237:$X$237</definedName>
    <definedName name="SalesQty105">'Бланк заказа'!$X$238:$X$238</definedName>
    <definedName name="SalesQty106">'Бланк заказа'!$X$239:$X$239</definedName>
    <definedName name="SalesQty107">'Бланк заказа'!$X$240:$X$240</definedName>
    <definedName name="SalesQty108">'Бланк заказа'!$X$244:$X$244</definedName>
    <definedName name="SalesQty109">'Бланк заказа'!$X$245:$X$245</definedName>
    <definedName name="SalesQty11">'Бланк заказа'!$X$44:$X$44</definedName>
    <definedName name="SalesQty110">'Бланк заказа'!$X$246:$X$246</definedName>
    <definedName name="SalesQty111">'Бланк заказа'!$X$251:$X$251</definedName>
    <definedName name="SalesQty112">'Бланк заказа'!$X$252:$X$252</definedName>
    <definedName name="SalesQty113">'Бланк заказа'!$X$258:$X$258</definedName>
    <definedName name="SalesQty114">'Бланк заказа'!$X$259:$X$259</definedName>
    <definedName name="SalesQty115">'Бланк заказа'!$X$260:$X$260</definedName>
    <definedName name="SalesQty116">'Бланк заказа'!$X$261:$X$261</definedName>
    <definedName name="SalesQty117">'Бланк заказа'!$X$262:$X$262</definedName>
    <definedName name="SalesQty118">'Бланк заказа'!$X$263:$X$263</definedName>
    <definedName name="SalesQty119">'Бланк заказа'!$X$267:$X$267</definedName>
    <definedName name="SalesQty12">'Бланк заказа'!$X$45:$X$45</definedName>
    <definedName name="SalesQty120">'Бланк заказа'!$X$268:$X$268</definedName>
    <definedName name="SalesQty121">'Бланк заказа'!$X$272:$X$272</definedName>
    <definedName name="SalesQty122">'Бланк заказа'!$X$273:$X$273</definedName>
    <definedName name="SalesQty123">'Бланк заказа'!$X$277:$X$277</definedName>
    <definedName name="SalesQty124">'Бланк заказа'!$X$282:$X$282</definedName>
    <definedName name="SalesQty125">'Бланк заказа'!$X$283:$X$283</definedName>
    <definedName name="SalesQty126">'Бланк заказа'!$X$284:$X$284</definedName>
    <definedName name="SalesQty127">'Бланк заказа'!$X$285:$X$285</definedName>
    <definedName name="SalesQty128">'Бланк заказа'!$X$289:$X$289</definedName>
    <definedName name="SalesQty129">'Бланк заказа'!$X$293:$X$293</definedName>
    <definedName name="SalesQty13">'Бланк заказа'!$X$46:$X$46</definedName>
    <definedName name="SalesQty130">'Бланк заказа'!$X$294:$X$294</definedName>
    <definedName name="SalesQty131">'Бланк заказа'!$X$298:$X$298</definedName>
    <definedName name="SalesQty132">'Бланк заказа'!$X$304:$X$304</definedName>
    <definedName name="SalesQty133">'Бланк заказа'!$X$305:$X$305</definedName>
    <definedName name="SalesQty134">'Бланк заказа'!$X$306:$X$306</definedName>
    <definedName name="SalesQty135">'Бланк заказа'!$X$307:$X$307</definedName>
    <definedName name="SalesQty136">'Бланк заказа'!$X$311:$X$311</definedName>
    <definedName name="SalesQty137">'Бланк заказа'!$X$312:$X$312</definedName>
    <definedName name="SalesQty138">'Бланк заказа'!$X$317:$X$317</definedName>
    <definedName name="SalesQty139">'Бланк заказа'!$X$318:$X$318</definedName>
    <definedName name="SalesQty14">'Бланк заказа'!$X$50:$X$50</definedName>
    <definedName name="SalesQty140">'Бланк заказа'!$X$322:$X$322</definedName>
    <definedName name="SalesQty141">'Бланк заказа'!$X$328:$X$328</definedName>
    <definedName name="SalesQty142">'Бланк заказа'!$X$329:$X$329</definedName>
    <definedName name="SalesQty143">'Бланк заказа'!$X$330:$X$330</definedName>
    <definedName name="SalesQty144">'Бланк заказа'!$X$331:$X$331</definedName>
    <definedName name="SalesQty145">'Бланк заказа'!$X$332:$X$332</definedName>
    <definedName name="SalesQty146">'Бланк заказа'!$X$333:$X$333</definedName>
    <definedName name="SalesQty147">'Бланк заказа'!$X$334:$X$334</definedName>
    <definedName name="SalesQty148">'Бланк заказа'!$X$335:$X$335</definedName>
    <definedName name="SalesQty149">'Бланк заказа'!$X$336:$X$336</definedName>
    <definedName name="SalesQty15">'Бланк заказа'!$X$51:$X$51</definedName>
    <definedName name="SalesQty150">'Бланк заказа'!$X$337:$X$337</definedName>
    <definedName name="SalesQty151">'Бланк заказа'!$X$341:$X$341</definedName>
    <definedName name="SalesQty152">'Бланк заказа'!$X$342:$X$342</definedName>
    <definedName name="SalesQty153">'Бланк заказа'!$X$346:$X$346</definedName>
    <definedName name="SalesQty154">'Бланк заказа'!$X$347:$X$347</definedName>
    <definedName name="SalesQty155">'Бланк заказа'!$X$348:$X$348</definedName>
    <definedName name="SalesQty156">'Бланк заказа'!$X$349:$X$349</definedName>
    <definedName name="SalesQty157">'Бланк заказа'!$X$350:$X$350</definedName>
    <definedName name="SalesQty158">'Бланк заказа'!$X$351:$X$351</definedName>
    <definedName name="SalesQty159">'Бланк заказа'!$X$352:$X$352</definedName>
    <definedName name="SalesQty16">'Бланк заказа'!$X$52:$X$52</definedName>
    <definedName name="SalesQty160">'Бланк заказа'!$X$356:$X$356</definedName>
    <definedName name="SalesQty161">'Бланк заказа'!$X$357:$X$357</definedName>
    <definedName name="SalesQty162">'Бланк заказа'!$X$363:$X$363</definedName>
    <definedName name="SalesQty17">'Бланк заказа'!$X$53:$X$53</definedName>
    <definedName name="SalesQty18">'Бланк заказа'!$X$57:$X$57</definedName>
    <definedName name="SalesQty19">'Бланк заказа'!$X$58:$X$58</definedName>
    <definedName name="SalesQty2">'Бланк заказа'!$X$23:$X$23</definedName>
    <definedName name="SalesQty20">'Бланк заказа'!$X$63:$X$63</definedName>
    <definedName name="SalesQty21">'Бланк заказа'!$X$64:$X$64</definedName>
    <definedName name="SalesQty22">'Бланк заказа'!$X$68:$X$68</definedName>
    <definedName name="SalesQty23">'Бланк заказа'!$X$69:$X$69</definedName>
    <definedName name="SalesQty24">'Бланк заказа'!$X$70:$X$70</definedName>
    <definedName name="SalesQty25">'Бланк заказа'!$X$71:$X$71</definedName>
    <definedName name="SalesQty26">'Бланк заказа'!$X$72:$X$72</definedName>
    <definedName name="SalesQty27">'Бланк заказа'!$X$77:$X$77</definedName>
    <definedName name="SalesQty28">'Бланк заказа'!$X$78:$X$78</definedName>
    <definedName name="SalesQty29">'Бланк заказа'!$X$79:$X$79</definedName>
    <definedName name="SalesQty3">'Бланк заказа'!$X$27:$X$27</definedName>
    <definedName name="SalesQty30">'Бланк заказа'!$X$83:$X$83</definedName>
    <definedName name="SalesQty31">'Бланк заказа'!$X$84:$X$84</definedName>
    <definedName name="SalesQty32">'Бланк заказа'!$X$85:$X$85</definedName>
    <definedName name="SalesQty33">'Бланк заказа'!$X$89:$X$89</definedName>
    <definedName name="SalesQty34">'Бланк заказа'!$X$90:$X$90</definedName>
    <definedName name="SalesQty35">'Бланк заказа'!$X$91:$X$91</definedName>
    <definedName name="SalesQty36">'Бланк заказа'!$X$95:$X$95</definedName>
    <definedName name="SalesQty37">'Бланк заказа'!$X$100:$X$100</definedName>
    <definedName name="SalesQty38">'Бланк заказа'!$X$104:$X$104</definedName>
    <definedName name="SalesQty39">'Бланк заказа'!$X$105:$X$105</definedName>
    <definedName name="SalesQty4">'Бланк заказа'!$X$33:$X$33</definedName>
    <definedName name="SalesQty40">'Бланк заказа'!$X$106:$X$106</definedName>
    <definedName name="SalesQty41">'Бланк заказа'!$X$112:$X$112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заказа'!$X$118:$X$118</definedName>
    <definedName name="SalesQty48">'Бланк заказа'!$X$119:$X$119</definedName>
    <definedName name="SalesQty49">'Бланк заказа'!$X$123:$X$123</definedName>
    <definedName name="SalesQty5">'Бланк заказа'!$X$34:$X$34</definedName>
    <definedName name="SalesQty50">'Бланк заказа'!$X$124:$X$124</definedName>
    <definedName name="SalesQty51">'Бланк заказа'!$X$125:$X$125</definedName>
    <definedName name="SalesQty52">'Бланк заказа'!$X$129:$X$129</definedName>
    <definedName name="SalesQty53">'Бланк заказа'!$X$134:$X$134</definedName>
    <definedName name="SalesQty54">'Бланк заказа'!$X$135:$X$135</definedName>
    <definedName name="SalesQty55">'Бланк заказа'!$X$139:$X$139</definedName>
    <definedName name="SalesQty56">'Бланк заказа'!$X$140:$X$140</definedName>
    <definedName name="SalesQty57">'Бланк заказа'!$X$144:$X$144</definedName>
    <definedName name="SalesQty58">'Бланк заказа'!$X$145:$X$145</definedName>
    <definedName name="SalesQty59">'Бланк заказа'!$X$146:$X$146</definedName>
    <definedName name="SalesQty6">'Бланк заказа'!$X$35:$X$35</definedName>
    <definedName name="SalesQty60">'Бланк заказа'!$X$147:$X$147</definedName>
    <definedName name="SalesQty61">'Бланк заказа'!$X$151:$X$151</definedName>
    <definedName name="SalesQty62">'Бланк заказа'!$X$152:$X$152</definedName>
    <definedName name="SalesQty63">'Бланк заказа'!$X$153:$X$153</definedName>
    <definedName name="SalesQty64">'Бланк заказа'!$X$154:$X$154</definedName>
    <definedName name="SalesQty65">'Бланк заказа'!$X$155:$X$155</definedName>
    <definedName name="SalesQty66">'Бланк заказа'!$X$156:$X$156</definedName>
    <definedName name="SalesQty67">'Бланк заказа'!$X$157:$X$157</definedName>
    <definedName name="SalesQty68">'Бланк заказа'!$X$158:$X$158</definedName>
    <definedName name="SalesQty69">'Бланк заказа'!$X$162:$X$162</definedName>
    <definedName name="SalesQty7">'Бланк заказа'!$X$36:$X$36</definedName>
    <definedName name="SalesQty70">'Бланк заказа'!$X$167:$X$167</definedName>
    <definedName name="SalesQty71">'Бланк заказа'!$X$168:$X$168</definedName>
    <definedName name="SalesQty72">'Бланк заказа'!$X$169:$X$169</definedName>
    <definedName name="SalesQty73">'Бланк заказа'!$X$170:$X$170</definedName>
    <definedName name="SalesQty74">'Бланк заказа'!$X$171:$X$171</definedName>
    <definedName name="SalesQty75">'Бланк заказа'!$X$172:$X$172</definedName>
    <definedName name="SalesQty76">'Бланк заказа'!$X$177:$X$177</definedName>
    <definedName name="SalesQty77">'Бланк заказа'!$X$178:$X$178</definedName>
    <definedName name="SalesQty78">'Бланк заказа'!$X$179:$X$179</definedName>
    <definedName name="SalesQty79">'Бланк заказа'!$X$180:$X$180</definedName>
    <definedName name="SalesQty8">'Бланк заказа'!$X$41:$X$41</definedName>
    <definedName name="SalesQty80">'Бланк заказа'!$X$181:$X$181</definedName>
    <definedName name="SalesQty81">'Бланк заказа'!$X$186:$X$186</definedName>
    <definedName name="SalesQty82">'Бланк заказа'!$X$191:$X$191</definedName>
    <definedName name="SalesQty83">'Бланк заказа'!$X$196:$X$196</definedName>
    <definedName name="SalesQty84">'Бланк заказа'!$X$201:$X$201</definedName>
    <definedName name="SalesQty85">'Бланк заказа'!$X$206:$X$206</definedName>
    <definedName name="SalesQty86">'Бланк заказа'!$X$207:$X$207</definedName>
    <definedName name="SalesQty87">'Бланк заказа'!$X$208:$X$208</definedName>
    <definedName name="SalesQty88">'Бланк заказа'!$X$209:$X$209</definedName>
    <definedName name="SalesQty89">'Бланк заказа'!$X$210:$X$210</definedName>
    <definedName name="SalesQty9">'Бланк заказа'!$X$42:$X$42</definedName>
    <definedName name="SalesQty90">'Бланк заказа'!$X$214:$X$214</definedName>
    <definedName name="SalesQty91">'Бланк заказа'!$X$215:$X$215</definedName>
    <definedName name="SalesQty92">'Бланк заказа'!$X$216:$X$216</definedName>
    <definedName name="SalesQty93">'Бланк заказа'!$X$217:$X$217</definedName>
    <definedName name="SalesQty94">'Бланк заказа'!$X$218:$X$218</definedName>
    <definedName name="SalesQty95">'Бланк заказа'!$X$219:$X$219</definedName>
    <definedName name="SalesQty96">'Бланк заказа'!$X$223:$X$223</definedName>
    <definedName name="SalesQty97">'Бланк заказа'!$X$224:$X$224</definedName>
    <definedName name="SalesQty98">'Бланк заказа'!$X$225:$X$225</definedName>
    <definedName name="SalesQty99">'Бланк заказа'!$X$226:$X$226</definedName>
    <definedName name="SalesRequestType">'Бланк заказа'!$V$11</definedName>
    <definedName name="SalesRoundBox1">'Бланк заказа'!$Y$22:$Y$22</definedName>
    <definedName name="SalesRoundBox10">'Бланк заказа'!$Y$43:$Y$43</definedName>
    <definedName name="SalesRoundBox100">'Бланк заказа'!$Y$227:$Y$227</definedName>
    <definedName name="SalesRoundBox101">'Бланк заказа'!$Y$231:$Y$231</definedName>
    <definedName name="SalesRoundBox102">'Бланк заказа'!$Y$232:$Y$232</definedName>
    <definedName name="SalesRoundBox103">'Бланк заказа'!$Y$233:$Y$233</definedName>
    <definedName name="SalesRoundBox104">'Бланк заказа'!$Y$237:$Y$237</definedName>
    <definedName name="SalesRoundBox105">'Бланк заказа'!$Y$238:$Y$238</definedName>
    <definedName name="SalesRoundBox106">'Бланк заказа'!$Y$239:$Y$239</definedName>
    <definedName name="SalesRoundBox107">'Бланк заказа'!$Y$240:$Y$240</definedName>
    <definedName name="SalesRoundBox108">'Бланк заказа'!$Y$244:$Y$244</definedName>
    <definedName name="SalesRoundBox109">'Бланк заказа'!$Y$245:$Y$245</definedName>
    <definedName name="SalesRoundBox11">'Бланк заказа'!$Y$44:$Y$44</definedName>
    <definedName name="SalesRoundBox110">'Бланк заказа'!$Y$246:$Y$246</definedName>
    <definedName name="SalesRoundBox111">'Бланк заказа'!$Y$251:$Y$251</definedName>
    <definedName name="SalesRoundBox112">'Бланк заказа'!$Y$252:$Y$252</definedName>
    <definedName name="SalesRoundBox113">'Бланк заказа'!$Y$258:$Y$258</definedName>
    <definedName name="SalesRoundBox114">'Бланк заказа'!$Y$259:$Y$259</definedName>
    <definedName name="SalesRoundBox115">'Бланк заказа'!$Y$260:$Y$260</definedName>
    <definedName name="SalesRoundBox116">'Бланк заказа'!$Y$261:$Y$261</definedName>
    <definedName name="SalesRoundBox117">'Бланк заказа'!$Y$262:$Y$262</definedName>
    <definedName name="SalesRoundBox118">'Бланк заказа'!$Y$263:$Y$263</definedName>
    <definedName name="SalesRoundBox119">'Бланк заказа'!$Y$267:$Y$267</definedName>
    <definedName name="SalesRoundBox12">'Бланк заказа'!$Y$45:$Y$45</definedName>
    <definedName name="SalesRoundBox120">'Бланк заказа'!$Y$268:$Y$268</definedName>
    <definedName name="SalesRoundBox121">'Бланк заказа'!$Y$272:$Y$272</definedName>
    <definedName name="SalesRoundBox122">'Бланк заказа'!$Y$273:$Y$273</definedName>
    <definedName name="SalesRoundBox123">'Бланк заказа'!$Y$277:$Y$277</definedName>
    <definedName name="SalesRoundBox124">'Бланк заказа'!$Y$282:$Y$282</definedName>
    <definedName name="SalesRoundBox125">'Бланк заказа'!$Y$283:$Y$283</definedName>
    <definedName name="SalesRoundBox126">'Бланк заказа'!$Y$284:$Y$284</definedName>
    <definedName name="SalesRoundBox127">'Бланк заказа'!$Y$285:$Y$285</definedName>
    <definedName name="SalesRoundBox128">'Бланк заказа'!$Y$289:$Y$289</definedName>
    <definedName name="SalesRoundBox129">'Бланк заказа'!$Y$293:$Y$293</definedName>
    <definedName name="SalesRoundBox13">'Бланк заказа'!$Y$46:$Y$46</definedName>
    <definedName name="SalesRoundBox130">'Бланк заказа'!$Y$294:$Y$294</definedName>
    <definedName name="SalesRoundBox131">'Бланк заказа'!$Y$298:$Y$298</definedName>
    <definedName name="SalesRoundBox132">'Бланк заказа'!$Y$304:$Y$304</definedName>
    <definedName name="SalesRoundBox133">'Бланк заказа'!$Y$305:$Y$305</definedName>
    <definedName name="SalesRoundBox134">'Бланк заказа'!$Y$306:$Y$306</definedName>
    <definedName name="SalesRoundBox135">'Бланк заказа'!$Y$307:$Y$307</definedName>
    <definedName name="SalesRoundBox136">'Бланк заказа'!$Y$311:$Y$311</definedName>
    <definedName name="SalesRoundBox137">'Бланк заказа'!$Y$312:$Y$312</definedName>
    <definedName name="SalesRoundBox138">'Бланк заказа'!$Y$317:$Y$317</definedName>
    <definedName name="SalesRoundBox139">'Бланк заказа'!$Y$318:$Y$318</definedName>
    <definedName name="SalesRoundBox14">'Бланк заказа'!$Y$50:$Y$50</definedName>
    <definedName name="SalesRoundBox140">'Бланк заказа'!$Y$322:$Y$322</definedName>
    <definedName name="SalesRoundBox141">'Бланк заказа'!$Y$328:$Y$328</definedName>
    <definedName name="SalesRoundBox142">'Бланк заказа'!$Y$329:$Y$329</definedName>
    <definedName name="SalesRoundBox143">'Бланк заказа'!$Y$330:$Y$330</definedName>
    <definedName name="SalesRoundBox144">'Бланк заказа'!$Y$331:$Y$331</definedName>
    <definedName name="SalesRoundBox145">'Бланк заказа'!$Y$332:$Y$332</definedName>
    <definedName name="SalesRoundBox146">'Бланк заказа'!$Y$333:$Y$333</definedName>
    <definedName name="SalesRoundBox147">'Бланк заказа'!$Y$334:$Y$334</definedName>
    <definedName name="SalesRoundBox148">'Бланк заказа'!$Y$335:$Y$335</definedName>
    <definedName name="SalesRoundBox149">'Бланк заказа'!$Y$336:$Y$336</definedName>
    <definedName name="SalesRoundBox15">'Бланк заказа'!$Y$51:$Y$51</definedName>
    <definedName name="SalesRoundBox150">'Бланк заказа'!$Y$337:$Y$337</definedName>
    <definedName name="SalesRoundBox151">'Бланк заказа'!$Y$341:$Y$341</definedName>
    <definedName name="SalesRoundBox152">'Бланк заказа'!$Y$342:$Y$342</definedName>
    <definedName name="SalesRoundBox153">'Бланк заказа'!$Y$346:$Y$346</definedName>
    <definedName name="SalesRoundBox154">'Бланк заказа'!$Y$347:$Y$347</definedName>
    <definedName name="SalesRoundBox155">'Бланк заказа'!$Y$348:$Y$348</definedName>
    <definedName name="SalesRoundBox156">'Бланк заказа'!$Y$349:$Y$349</definedName>
    <definedName name="SalesRoundBox157">'Бланк заказа'!$Y$350:$Y$350</definedName>
    <definedName name="SalesRoundBox158">'Бланк заказа'!$Y$351:$Y$351</definedName>
    <definedName name="SalesRoundBox159">'Бланк заказа'!$Y$352:$Y$352</definedName>
    <definedName name="SalesRoundBox16">'Бланк заказа'!$Y$52:$Y$52</definedName>
    <definedName name="SalesRoundBox160">'Бланк заказа'!$Y$356:$Y$356</definedName>
    <definedName name="SalesRoundBox161">'Бланк заказа'!$Y$357:$Y$357</definedName>
    <definedName name="SalesRoundBox162">'Бланк заказа'!$Y$363:$Y$363</definedName>
    <definedName name="SalesRoundBox17">'Бланк заказа'!$Y$53:$Y$53</definedName>
    <definedName name="SalesRoundBox18">'Бланк заказа'!$Y$57:$Y$57</definedName>
    <definedName name="SalesRoundBox19">'Бланк заказа'!$Y$58:$Y$58</definedName>
    <definedName name="SalesRoundBox2">'Бланк заказа'!$Y$23:$Y$23</definedName>
    <definedName name="SalesRoundBox20">'Бланк заказа'!$Y$63:$Y$63</definedName>
    <definedName name="SalesRoundBox21">'Бланк заказа'!$Y$64:$Y$64</definedName>
    <definedName name="SalesRoundBox22">'Бланк заказа'!$Y$68:$Y$68</definedName>
    <definedName name="SalesRoundBox23">'Бланк заказа'!$Y$69:$Y$69</definedName>
    <definedName name="SalesRoundBox24">'Бланк заказа'!$Y$70:$Y$70</definedName>
    <definedName name="SalesRoundBox25">'Бланк заказа'!$Y$71:$Y$71</definedName>
    <definedName name="SalesRoundBox26">'Бланк заказа'!$Y$72:$Y$72</definedName>
    <definedName name="SalesRoundBox27">'Бланк заказа'!$Y$77:$Y$77</definedName>
    <definedName name="SalesRoundBox28">'Бланк заказа'!$Y$78:$Y$78</definedName>
    <definedName name="SalesRoundBox29">'Бланк заказа'!$Y$79:$Y$79</definedName>
    <definedName name="SalesRoundBox3">'Бланк заказа'!$Y$27:$Y$27</definedName>
    <definedName name="SalesRoundBox30">'Бланк заказа'!$Y$83:$Y$83</definedName>
    <definedName name="SalesRoundBox31">'Бланк заказа'!$Y$84:$Y$84</definedName>
    <definedName name="SalesRoundBox32">'Бланк заказа'!$Y$85:$Y$85</definedName>
    <definedName name="SalesRoundBox33">'Бланк заказа'!$Y$89:$Y$89</definedName>
    <definedName name="SalesRoundBox34">'Бланк заказа'!$Y$90:$Y$90</definedName>
    <definedName name="SalesRoundBox35">'Бланк заказа'!$Y$91:$Y$91</definedName>
    <definedName name="SalesRoundBox36">'Бланк заказа'!$Y$95:$Y$95</definedName>
    <definedName name="SalesRoundBox37">'Бланк заказа'!$Y$100:$Y$100</definedName>
    <definedName name="SalesRoundBox38">'Бланк заказа'!$Y$104:$Y$104</definedName>
    <definedName name="SalesRoundBox39">'Бланк заказа'!$Y$105:$Y$105</definedName>
    <definedName name="SalesRoundBox4">'Бланк заказа'!$Y$33:$Y$33</definedName>
    <definedName name="SalesRoundBox40">'Бланк заказа'!$Y$106:$Y$106</definedName>
    <definedName name="SalesRoundBox41">'Бланк заказа'!$Y$112:$Y$112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заказа'!$Y$118:$Y$118</definedName>
    <definedName name="SalesRoundBox48">'Бланк заказа'!$Y$119:$Y$119</definedName>
    <definedName name="SalesRoundBox49">'Бланк заказа'!$Y$123:$Y$123</definedName>
    <definedName name="SalesRoundBox5">'Бланк заказа'!$Y$34:$Y$34</definedName>
    <definedName name="SalesRoundBox50">'Бланк заказа'!$Y$124:$Y$124</definedName>
    <definedName name="SalesRoundBox51">'Бланк заказа'!$Y$125:$Y$125</definedName>
    <definedName name="SalesRoundBox52">'Бланк заказа'!$Y$129:$Y$129</definedName>
    <definedName name="SalesRoundBox53">'Бланк заказа'!$Y$134:$Y$134</definedName>
    <definedName name="SalesRoundBox54">'Бланк заказа'!$Y$135:$Y$135</definedName>
    <definedName name="SalesRoundBox55">'Бланк заказа'!$Y$139:$Y$139</definedName>
    <definedName name="SalesRoundBox56">'Бланк заказа'!$Y$140:$Y$140</definedName>
    <definedName name="SalesRoundBox57">'Бланк заказа'!$Y$144:$Y$144</definedName>
    <definedName name="SalesRoundBox58">'Бланк заказа'!$Y$145:$Y$145</definedName>
    <definedName name="SalesRoundBox59">'Бланк заказа'!$Y$146:$Y$146</definedName>
    <definedName name="SalesRoundBox6">'Бланк заказа'!$Y$35:$Y$35</definedName>
    <definedName name="SalesRoundBox60">'Бланк заказа'!$Y$147:$Y$147</definedName>
    <definedName name="SalesRoundBox61">'Бланк заказа'!$Y$151:$Y$151</definedName>
    <definedName name="SalesRoundBox62">'Бланк заказа'!$Y$152:$Y$152</definedName>
    <definedName name="SalesRoundBox63">'Бланк заказа'!$Y$153:$Y$153</definedName>
    <definedName name="SalesRoundBox64">'Бланк заказа'!$Y$154:$Y$154</definedName>
    <definedName name="SalesRoundBox65">'Бланк заказа'!$Y$155:$Y$155</definedName>
    <definedName name="SalesRoundBox66">'Бланк заказа'!$Y$156:$Y$156</definedName>
    <definedName name="SalesRoundBox67">'Бланк заказа'!$Y$157:$Y$157</definedName>
    <definedName name="SalesRoundBox68">'Бланк заказа'!$Y$158:$Y$158</definedName>
    <definedName name="SalesRoundBox69">'Бланк заказа'!$Y$162:$Y$162</definedName>
    <definedName name="SalesRoundBox7">'Бланк заказа'!$Y$36:$Y$36</definedName>
    <definedName name="SalesRoundBox70">'Бланк заказа'!$Y$167:$Y$167</definedName>
    <definedName name="SalesRoundBox71">'Бланк заказа'!$Y$168:$Y$168</definedName>
    <definedName name="SalesRoundBox72">'Бланк заказа'!$Y$169:$Y$169</definedName>
    <definedName name="SalesRoundBox73">'Бланк заказа'!$Y$170:$Y$170</definedName>
    <definedName name="SalesRoundBox74">'Бланк заказа'!$Y$171:$Y$171</definedName>
    <definedName name="SalesRoundBox75">'Бланк заказа'!$Y$172:$Y$172</definedName>
    <definedName name="SalesRoundBox76">'Бланк заказа'!$Y$177:$Y$177</definedName>
    <definedName name="SalesRoundBox77">'Бланк заказа'!$Y$178:$Y$178</definedName>
    <definedName name="SalesRoundBox78">'Бланк заказа'!$Y$179:$Y$179</definedName>
    <definedName name="SalesRoundBox79">'Бланк заказа'!$Y$180:$Y$180</definedName>
    <definedName name="SalesRoundBox8">'Бланк заказа'!$Y$41:$Y$41</definedName>
    <definedName name="SalesRoundBox80">'Бланк заказа'!$Y$181:$Y$181</definedName>
    <definedName name="SalesRoundBox81">'Бланк заказа'!$Y$186:$Y$186</definedName>
    <definedName name="SalesRoundBox82">'Бланк заказа'!$Y$191:$Y$191</definedName>
    <definedName name="SalesRoundBox83">'Бланк заказа'!$Y$196:$Y$196</definedName>
    <definedName name="SalesRoundBox84">'Бланк заказа'!$Y$201:$Y$201</definedName>
    <definedName name="SalesRoundBox85">'Бланк заказа'!$Y$206:$Y$206</definedName>
    <definedName name="SalesRoundBox86">'Бланк заказа'!$Y$207:$Y$207</definedName>
    <definedName name="SalesRoundBox87">'Бланк заказа'!$Y$208:$Y$208</definedName>
    <definedName name="SalesRoundBox88">'Бланк заказа'!$Y$209:$Y$209</definedName>
    <definedName name="SalesRoundBox89">'Бланк заказа'!$Y$210:$Y$210</definedName>
    <definedName name="SalesRoundBox9">'Бланк заказа'!$Y$42:$Y$42</definedName>
    <definedName name="SalesRoundBox90">'Бланк заказа'!$Y$214:$Y$214</definedName>
    <definedName name="SalesRoundBox91">'Бланк заказа'!$Y$215:$Y$215</definedName>
    <definedName name="SalesRoundBox92">'Бланк заказа'!$Y$216:$Y$216</definedName>
    <definedName name="SalesRoundBox93">'Бланк заказа'!$Y$217:$Y$217</definedName>
    <definedName name="SalesRoundBox94">'Бланк заказа'!$Y$218:$Y$218</definedName>
    <definedName name="SalesRoundBox95">'Бланк заказа'!$Y$219:$Y$219</definedName>
    <definedName name="SalesRoundBox96">'Бланк заказа'!$Y$223:$Y$223</definedName>
    <definedName name="SalesRoundBox97">'Бланк заказа'!$Y$224:$Y$224</definedName>
    <definedName name="SalesRoundBox98">'Бланк заказа'!$Y$225:$Y$225</definedName>
    <definedName name="SalesRoundBox99">'Бланк заказа'!$Y$226:$Y$226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заказа'!$W$43:$W$43</definedName>
    <definedName name="UnitOfMeasure100">'Бланк заказа'!$W$227:$W$227</definedName>
    <definedName name="UnitOfMeasure101">'Бланк заказа'!$W$231:$W$231</definedName>
    <definedName name="UnitOfMeasure102">'Бланк заказа'!$W$232:$W$232</definedName>
    <definedName name="UnitOfMeasure103">'Бланк заказа'!$W$233:$W$233</definedName>
    <definedName name="UnitOfMeasure104">'Бланк заказа'!$W$237:$W$237</definedName>
    <definedName name="UnitOfMeasure105">'Бланк заказа'!$W$238:$W$238</definedName>
    <definedName name="UnitOfMeasure106">'Бланк заказа'!$W$239:$W$239</definedName>
    <definedName name="UnitOfMeasure107">'Бланк заказа'!$W$240:$W$240</definedName>
    <definedName name="UnitOfMeasure108">'Бланк заказа'!$W$244:$W$244</definedName>
    <definedName name="UnitOfMeasure109">'Бланк заказа'!$W$245:$W$245</definedName>
    <definedName name="UnitOfMeasure11">'Бланк заказа'!$W$44:$W$44</definedName>
    <definedName name="UnitOfMeasure110">'Бланк заказа'!$W$246:$W$246</definedName>
    <definedName name="UnitOfMeasure111">'Бланк заказа'!$W$251:$W$251</definedName>
    <definedName name="UnitOfMeasure112">'Бланк заказа'!$W$252:$W$252</definedName>
    <definedName name="UnitOfMeasure113">'Бланк заказа'!$W$258:$W$258</definedName>
    <definedName name="UnitOfMeasure114">'Бланк заказа'!$W$259:$W$259</definedName>
    <definedName name="UnitOfMeasure115">'Бланк заказа'!$W$260:$W$260</definedName>
    <definedName name="UnitOfMeasure116">'Бланк заказа'!$W$261:$W$261</definedName>
    <definedName name="UnitOfMeasure117">'Бланк заказа'!$W$262:$W$262</definedName>
    <definedName name="UnitOfMeasure118">'Бланк заказа'!$W$263:$W$263</definedName>
    <definedName name="UnitOfMeasure119">'Бланк заказа'!$W$267:$W$267</definedName>
    <definedName name="UnitOfMeasure12">'Бланк заказа'!$W$45:$W$45</definedName>
    <definedName name="UnitOfMeasure120">'Бланк заказа'!$W$268:$W$268</definedName>
    <definedName name="UnitOfMeasure121">'Бланк заказа'!$W$272:$W$272</definedName>
    <definedName name="UnitOfMeasure122">'Бланк заказа'!$W$273:$W$273</definedName>
    <definedName name="UnitOfMeasure123">'Бланк заказа'!$W$277:$W$277</definedName>
    <definedName name="UnitOfMeasure124">'Бланк заказа'!$W$282:$W$282</definedName>
    <definedName name="UnitOfMeasure125">'Бланк заказа'!$W$283:$W$283</definedName>
    <definedName name="UnitOfMeasure126">'Бланк заказа'!$W$284:$W$284</definedName>
    <definedName name="UnitOfMeasure127">'Бланк заказа'!$W$285:$W$285</definedName>
    <definedName name="UnitOfMeasure128">'Бланк заказа'!$W$289:$W$289</definedName>
    <definedName name="UnitOfMeasure129">'Бланк заказа'!$W$293:$W$293</definedName>
    <definedName name="UnitOfMeasure13">'Бланк заказа'!$W$46:$W$46</definedName>
    <definedName name="UnitOfMeasure130">'Бланк заказа'!$W$294:$W$294</definedName>
    <definedName name="UnitOfMeasure131">'Бланк заказа'!$W$298:$W$298</definedName>
    <definedName name="UnitOfMeasure132">'Бланк заказа'!$W$304:$W$304</definedName>
    <definedName name="UnitOfMeasure133">'Бланк заказа'!$W$305:$W$305</definedName>
    <definedName name="UnitOfMeasure134">'Бланк заказа'!$W$306:$W$306</definedName>
    <definedName name="UnitOfMeasure135">'Бланк заказа'!$W$307:$W$307</definedName>
    <definedName name="UnitOfMeasure136">'Бланк заказа'!$W$311:$W$311</definedName>
    <definedName name="UnitOfMeasure137">'Бланк заказа'!$W$312:$W$312</definedName>
    <definedName name="UnitOfMeasure138">'Бланк заказа'!$W$317:$W$317</definedName>
    <definedName name="UnitOfMeasure139">'Бланк заказа'!$W$318:$W$318</definedName>
    <definedName name="UnitOfMeasure14">'Бланк заказа'!$W$50:$W$50</definedName>
    <definedName name="UnitOfMeasure140">'Бланк заказа'!$W$322:$W$322</definedName>
    <definedName name="UnitOfMeasure141">'Бланк заказа'!$W$328:$W$328</definedName>
    <definedName name="UnitOfMeasure142">'Бланк заказа'!$W$329:$W$329</definedName>
    <definedName name="UnitOfMeasure143">'Бланк заказа'!$W$330:$W$330</definedName>
    <definedName name="UnitOfMeasure144">'Бланк заказа'!$W$331:$W$331</definedName>
    <definedName name="UnitOfMeasure145">'Бланк заказа'!$W$332:$W$332</definedName>
    <definedName name="UnitOfMeasure146">'Бланк заказа'!$W$333:$W$333</definedName>
    <definedName name="UnitOfMeasure147">'Бланк заказа'!$W$334:$W$334</definedName>
    <definedName name="UnitOfMeasure148">'Бланк заказа'!$W$335:$W$335</definedName>
    <definedName name="UnitOfMeasure149">'Бланк заказа'!$W$336:$W$336</definedName>
    <definedName name="UnitOfMeasure15">'Бланк заказа'!$W$51:$W$51</definedName>
    <definedName name="UnitOfMeasure150">'Бланк заказа'!$W$337:$W$337</definedName>
    <definedName name="UnitOfMeasure151">'Бланк заказа'!$W$341:$W$341</definedName>
    <definedName name="UnitOfMeasure152">'Бланк заказа'!$W$342:$W$342</definedName>
    <definedName name="UnitOfMeasure153">'Бланк заказа'!$W$346:$W$346</definedName>
    <definedName name="UnitOfMeasure154">'Бланк заказа'!$W$347:$W$347</definedName>
    <definedName name="UnitOfMeasure155">'Бланк заказа'!$W$348:$W$348</definedName>
    <definedName name="UnitOfMeasure156">'Бланк заказа'!$W$349:$W$349</definedName>
    <definedName name="UnitOfMeasure157">'Бланк заказа'!$W$350:$W$350</definedName>
    <definedName name="UnitOfMeasure158">'Бланк заказа'!$W$351:$W$351</definedName>
    <definedName name="UnitOfMeasure159">'Бланк заказа'!$W$352:$W$352</definedName>
    <definedName name="UnitOfMeasure16">'Бланк заказа'!$W$52:$W$52</definedName>
    <definedName name="UnitOfMeasure160">'Бланк заказа'!$W$356:$W$356</definedName>
    <definedName name="UnitOfMeasure161">'Бланк заказа'!$W$357:$W$357</definedName>
    <definedName name="UnitOfMeasure162">'Бланк заказа'!$W$363:$W$363</definedName>
    <definedName name="UnitOfMeasure17">'Бланк заказа'!$W$53:$W$53</definedName>
    <definedName name="UnitOfMeasure18">'Бланк заказа'!$W$57:$W$57</definedName>
    <definedName name="UnitOfMeasure19">'Бланк заказа'!$W$58:$W$58</definedName>
    <definedName name="UnitOfMeasure2">'Бланк заказа'!$W$23:$W$23</definedName>
    <definedName name="UnitOfMeasure20">'Бланк заказа'!$W$63:$W$63</definedName>
    <definedName name="UnitOfMeasure21">'Бланк заказа'!$W$64:$W$64</definedName>
    <definedName name="UnitOfMeasure22">'Бланк заказа'!$W$68:$W$68</definedName>
    <definedName name="UnitOfMeasure23">'Бланк заказа'!$W$69:$W$69</definedName>
    <definedName name="UnitOfMeasure24">'Бланк заказа'!$W$70:$W$70</definedName>
    <definedName name="UnitOfMeasure25">'Бланк заказа'!$W$71:$W$71</definedName>
    <definedName name="UnitOfMeasure26">'Бланк заказа'!$W$72:$W$72</definedName>
    <definedName name="UnitOfMeasure27">'Бланк заказа'!$W$77:$W$77</definedName>
    <definedName name="UnitOfMeasure28">'Бланк заказа'!$W$78:$W$78</definedName>
    <definedName name="UnitOfMeasure29">'Бланк заказа'!$W$79:$W$79</definedName>
    <definedName name="UnitOfMeasure3">'Бланк заказа'!$W$27:$W$27</definedName>
    <definedName name="UnitOfMeasure30">'Бланк заказа'!$W$83:$W$83</definedName>
    <definedName name="UnitOfMeasure31">'Бланк заказа'!$W$84:$W$84</definedName>
    <definedName name="UnitOfMeasure32">'Бланк заказа'!$W$85:$W$85</definedName>
    <definedName name="UnitOfMeasure33">'Бланк заказа'!$W$89:$W$89</definedName>
    <definedName name="UnitOfMeasure34">'Бланк заказа'!$W$90:$W$90</definedName>
    <definedName name="UnitOfMeasure35">'Бланк заказа'!$W$91:$W$91</definedName>
    <definedName name="UnitOfMeasure36">'Бланк заказа'!$W$95:$W$95</definedName>
    <definedName name="UnitOfMeasure37">'Бланк заказа'!$W$100:$W$100</definedName>
    <definedName name="UnitOfMeasure38">'Бланк заказа'!$W$104:$W$104</definedName>
    <definedName name="UnitOfMeasure39">'Бланк заказа'!$W$105:$W$105</definedName>
    <definedName name="UnitOfMeasure4">'Бланк заказа'!$W$33:$W$33</definedName>
    <definedName name="UnitOfMeasure40">'Бланк заказа'!$W$106:$W$106</definedName>
    <definedName name="UnitOfMeasure41">'Бланк заказа'!$W$112:$W$112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заказа'!$W$118:$W$118</definedName>
    <definedName name="UnitOfMeasure48">'Бланк заказа'!$W$119:$W$119</definedName>
    <definedName name="UnitOfMeasure49">'Бланк заказа'!$W$123:$W$123</definedName>
    <definedName name="UnitOfMeasure5">'Бланк заказа'!$W$34:$W$34</definedName>
    <definedName name="UnitOfMeasure50">'Бланк заказа'!$W$124:$W$124</definedName>
    <definedName name="UnitOfMeasure51">'Бланк заказа'!$W$125:$W$125</definedName>
    <definedName name="UnitOfMeasure52">'Бланк заказа'!$W$129:$W$129</definedName>
    <definedName name="UnitOfMeasure53">'Бланк заказа'!$W$134:$W$134</definedName>
    <definedName name="UnitOfMeasure54">'Бланк заказа'!$W$135:$W$135</definedName>
    <definedName name="UnitOfMeasure55">'Бланк заказа'!$W$139:$W$139</definedName>
    <definedName name="UnitOfMeasure56">'Бланк заказа'!$W$140:$W$140</definedName>
    <definedName name="UnitOfMeasure57">'Бланк заказа'!$W$144:$W$144</definedName>
    <definedName name="UnitOfMeasure58">'Бланк заказа'!$W$145:$W$145</definedName>
    <definedName name="UnitOfMeasure59">'Бланк заказа'!$W$146:$W$146</definedName>
    <definedName name="UnitOfMeasure6">'Бланк заказа'!$W$35:$W$35</definedName>
    <definedName name="UnitOfMeasure60">'Бланк заказа'!$W$147:$W$147</definedName>
    <definedName name="UnitOfMeasure61">'Бланк заказа'!$W$151:$W$151</definedName>
    <definedName name="UnitOfMeasure62">'Бланк заказа'!$W$152:$W$152</definedName>
    <definedName name="UnitOfMeasure63">'Бланк заказа'!$W$153:$W$153</definedName>
    <definedName name="UnitOfMeasure64">'Бланк заказа'!$W$154:$W$154</definedName>
    <definedName name="UnitOfMeasure65">'Бланк заказа'!$W$155:$W$155</definedName>
    <definedName name="UnitOfMeasure66">'Бланк заказа'!$W$156:$W$156</definedName>
    <definedName name="UnitOfMeasure67">'Бланк заказа'!$W$157:$W$157</definedName>
    <definedName name="UnitOfMeasure68">'Бланк заказа'!$W$158:$W$158</definedName>
    <definedName name="UnitOfMeasure69">'Бланк заказа'!$W$162:$W$162</definedName>
    <definedName name="UnitOfMeasure7">'Бланк заказа'!$W$36:$W$36</definedName>
    <definedName name="UnitOfMeasure70">'Бланк заказа'!$W$167:$W$167</definedName>
    <definedName name="UnitOfMeasure71">'Бланк заказа'!$W$168:$W$168</definedName>
    <definedName name="UnitOfMeasure72">'Бланк заказа'!$W$169:$W$169</definedName>
    <definedName name="UnitOfMeasure73">'Бланк заказа'!$W$170:$W$170</definedName>
    <definedName name="UnitOfMeasure74">'Бланк заказа'!$W$171:$W$171</definedName>
    <definedName name="UnitOfMeasure75">'Бланк заказа'!$W$172:$W$172</definedName>
    <definedName name="UnitOfMeasure76">'Бланк заказа'!$W$177:$W$177</definedName>
    <definedName name="UnitOfMeasure77">'Бланк заказа'!$W$178:$W$178</definedName>
    <definedName name="UnitOfMeasure78">'Бланк заказа'!$W$179:$W$179</definedName>
    <definedName name="UnitOfMeasure79">'Бланк заказа'!$W$180:$W$180</definedName>
    <definedName name="UnitOfMeasure8">'Бланк заказа'!$W$41:$W$41</definedName>
    <definedName name="UnitOfMeasure80">'Бланк заказа'!$W$181:$W$181</definedName>
    <definedName name="UnitOfMeasure81">'Бланк заказа'!$W$186:$W$186</definedName>
    <definedName name="UnitOfMeasure82">'Бланк заказа'!$W$191:$W$191</definedName>
    <definedName name="UnitOfMeasure83">'Бланк заказа'!$W$196:$W$196</definedName>
    <definedName name="UnitOfMeasure84">'Бланк заказа'!$W$201:$W$201</definedName>
    <definedName name="UnitOfMeasure85">'Бланк заказа'!$W$206:$W$206</definedName>
    <definedName name="UnitOfMeasure86">'Бланк заказа'!$W$207:$W$207</definedName>
    <definedName name="UnitOfMeasure87">'Бланк заказа'!$W$208:$W$208</definedName>
    <definedName name="UnitOfMeasure88">'Бланк заказа'!$W$209:$W$209</definedName>
    <definedName name="UnitOfMeasure89">'Бланк заказа'!$W$210:$W$210</definedName>
    <definedName name="UnitOfMeasure9">'Бланк заказа'!$W$42:$W$42</definedName>
    <definedName name="UnitOfMeasure90">'Бланк заказа'!$W$214:$W$214</definedName>
    <definedName name="UnitOfMeasure91">'Бланк заказа'!$W$215:$W$215</definedName>
    <definedName name="UnitOfMeasure92">'Бланк заказа'!$W$216:$W$216</definedName>
    <definedName name="UnitOfMeasure93">'Бланк заказа'!$W$217:$W$217</definedName>
    <definedName name="UnitOfMeasure94">'Бланк заказа'!$W$218:$W$218</definedName>
    <definedName name="UnitOfMeasure95">'Бланк заказа'!$W$219:$W$219</definedName>
    <definedName name="UnitOfMeasure96">'Бланк заказа'!$W$223:$W$223</definedName>
    <definedName name="UnitOfMeasure97">'Бланк заказа'!$W$224:$W$224</definedName>
    <definedName name="UnitOfMeasure98">'Бланк заказа'!$W$225:$W$225</definedName>
    <definedName name="UnitOfMeasure99">'Бланк заказа'!$W$226:$W$226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65" i="1" l="1"/>
  <c r="X364" i="1"/>
  <c r="BO363" i="1"/>
  <c r="BM363" i="1"/>
  <c r="Y363" i="1"/>
  <c r="X376" i="1" s="1"/>
  <c r="X359" i="1"/>
  <c r="X358" i="1"/>
  <c r="BP357" i="1"/>
  <c r="BO357" i="1"/>
  <c r="BN357" i="1"/>
  <c r="BM357" i="1"/>
  <c r="Z357" i="1"/>
  <c r="Y357" i="1"/>
  <c r="P357" i="1"/>
  <c r="BO356" i="1"/>
  <c r="BM356" i="1"/>
  <c r="Y356" i="1"/>
  <c r="Y359" i="1" s="1"/>
  <c r="P356" i="1"/>
  <c r="X354" i="1"/>
  <c r="X353" i="1"/>
  <c r="BO352" i="1"/>
  <c r="BM352" i="1"/>
  <c r="Y352" i="1"/>
  <c r="BP352" i="1" s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P341" i="1"/>
  <c r="BO341" i="1"/>
  <c r="BN341" i="1"/>
  <c r="BM341" i="1"/>
  <c r="Z341" i="1"/>
  <c r="Y341" i="1"/>
  <c r="Y343" i="1" s="1"/>
  <c r="P341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Y338" i="1" s="1"/>
  <c r="P328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BP317" i="1"/>
  <c r="BO317" i="1"/>
  <c r="BN317" i="1"/>
  <c r="BM317" i="1"/>
  <c r="Z317" i="1"/>
  <c r="Y317" i="1"/>
  <c r="P317" i="1"/>
  <c r="X314" i="1"/>
  <c r="Y313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X309" i="1"/>
  <c r="X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Y309" i="1" s="1"/>
  <c r="P305" i="1"/>
  <c r="BP304" i="1"/>
  <c r="BO304" i="1"/>
  <c r="BN304" i="1"/>
  <c r="BM304" i="1"/>
  <c r="Z304" i="1"/>
  <c r="Y304" i="1"/>
  <c r="P304" i="1"/>
  <c r="X300" i="1"/>
  <c r="Y299" i="1"/>
  <c r="X299" i="1"/>
  <c r="BP298" i="1"/>
  <c r="BO298" i="1"/>
  <c r="BN298" i="1"/>
  <c r="BM298" i="1"/>
  <c r="Z298" i="1"/>
  <c r="Z299" i="1" s="1"/>
  <c r="Y298" i="1"/>
  <c r="Y300" i="1" s="1"/>
  <c r="P298" i="1"/>
  <c r="X296" i="1"/>
  <c r="Y295" i="1"/>
  <c r="X295" i="1"/>
  <c r="BP294" i="1"/>
  <c r="BO294" i="1"/>
  <c r="BN294" i="1"/>
  <c r="BM294" i="1"/>
  <c r="Z294" i="1"/>
  <c r="Y294" i="1"/>
  <c r="P294" i="1"/>
  <c r="BO293" i="1"/>
  <c r="BN293" i="1"/>
  <c r="BM293" i="1"/>
  <c r="Z293" i="1"/>
  <c r="Z295" i="1" s="1"/>
  <c r="Y293" i="1"/>
  <c r="P293" i="1"/>
  <c r="X291" i="1"/>
  <c r="Y290" i="1"/>
  <c r="X290" i="1"/>
  <c r="BP289" i="1"/>
  <c r="BO289" i="1"/>
  <c r="BN289" i="1"/>
  <c r="BM289" i="1"/>
  <c r="Z289" i="1"/>
  <c r="Z290" i="1" s="1"/>
  <c r="Y289" i="1"/>
  <c r="Y291" i="1" s="1"/>
  <c r="P289" i="1"/>
  <c r="X287" i="1"/>
  <c r="X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T376" i="1" s="1"/>
  <c r="P282" i="1"/>
  <c r="X279" i="1"/>
  <c r="X278" i="1"/>
  <c r="BO277" i="1"/>
  <c r="BM277" i="1"/>
  <c r="Y277" i="1"/>
  <c r="Y279" i="1" s="1"/>
  <c r="P277" i="1"/>
  <c r="X275" i="1"/>
  <c r="X274" i="1"/>
  <c r="BO273" i="1"/>
  <c r="BM273" i="1"/>
  <c r="Y273" i="1"/>
  <c r="Y275" i="1" s="1"/>
  <c r="P273" i="1"/>
  <c r="BP272" i="1"/>
  <c r="BO272" i="1"/>
  <c r="BN272" i="1"/>
  <c r="BM272" i="1"/>
  <c r="Z272" i="1"/>
  <c r="Y272" i="1"/>
  <c r="Y274" i="1" s="1"/>
  <c r="P272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Y269" i="1" s="1"/>
  <c r="P267" i="1"/>
  <c r="X265" i="1"/>
  <c r="X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Y265" i="1" s="1"/>
  <c r="P259" i="1"/>
  <c r="BP258" i="1"/>
  <c r="BO258" i="1"/>
  <c r="BN258" i="1"/>
  <c r="BM258" i="1"/>
  <c r="Z258" i="1"/>
  <c r="Y258" i="1"/>
  <c r="P258" i="1"/>
  <c r="X254" i="1"/>
  <c r="X253" i="1"/>
  <c r="BP252" i="1"/>
  <c r="BO252" i="1"/>
  <c r="BN252" i="1"/>
  <c r="BM252" i="1"/>
  <c r="Z252" i="1"/>
  <c r="Y252" i="1"/>
  <c r="P252" i="1"/>
  <c r="BO251" i="1"/>
  <c r="BM251" i="1"/>
  <c r="Y251" i="1"/>
  <c r="R376" i="1" s="1"/>
  <c r="P251" i="1"/>
  <c r="X248" i="1"/>
  <c r="X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Y248" i="1" s="1"/>
  <c r="P244" i="1"/>
  <c r="X242" i="1"/>
  <c r="X241" i="1"/>
  <c r="BO240" i="1"/>
  <c r="BM240" i="1"/>
  <c r="Y240" i="1"/>
  <c r="BP240" i="1" s="1"/>
  <c r="P240" i="1"/>
  <c r="BP239" i="1"/>
  <c r="BO239" i="1"/>
  <c r="BN239" i="1"/>
  <c r="BM239" i="1"/>
  <c r="Z239" i="1"/>
  <c r="Y239" i="1"/>
  <c r="P239" i="1"/>
  <c r="BO238" i="1"/>
  <c r="BM238" i="1"/>
  <c r="Y238" i="1"/>
  <c r="BP238" i="1" s="1"/>
  <c r="BO237" i="1"/>
  <c r="BM237" i="1"/>
  <c r="Y237" i="1"/>
  <c r="Y242" i="1" s="1"/>
  <c r="X235" i="1"/>
  <c r="X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X229" i="1"/>
  <c r="X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Y221" i="1" s="1"/>
  <c r="P214" i="1"/>
  <c r="X212" i="1"/>
  <c r="X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Q376" i="1" s="1"/>
  <c r="P206" i="1"/>
  <c r="X203" i="1"/>
  <c r="X202" i="1"/>
  <c r="BO201" i="1"/>
  <c r="BM201" i="1"/>
  <c r="Y201" i="1"/>
  <c r="P376" i="1" s="1"/>
  <c r="P201" i="1"/>
  <c r="X198" i="1"/>
  <c r="X197" i="1"/>
  <c r="BO196" i="1"/>
  <c r="BM196" i="1"/>
  <c r="Y196" i="1"/>
  <c r="O376" i="1" s="1"/>
  <c r="P196" i="1"/>
  <c r="X193" i="1"/>
  <c r="X192" i="1"/>
  <c r="BO191" i="1"/>
  <c r="BM191" i="1"/>
  <c r="Y191" i="1"/>
  <c r="M376" i="1" s="1"/>
  <c r="P191" i="1"/>
  <c r="X188" i="1"/>
  <c r="X187" i="1"/>
  <c r="BO186" i="1"/>
  <c r="BM186" i="1"/>
  <c r="Y186" i="1"/>
  <c r="L376" i="1" s="1"/>
  <c r="P186" i="1"/>
  <c r="X183" i="1"/>
  <c r="X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K376" i="1" s="1"/>
  <c r="P177" i="1"/>
  <c r="X174" i="1"/>
  <c r="X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X164" i="1"/>
  <c r="Y163" i="1"/>
  <c r="X163" i="1"/>
  <c r="BP162" i="1"/>
  <c r="BO162" i="1"/>
  <c r="BN162" i="1"/>
  <c r="BM162" i="1"/>
  <c r="Z162" i="1"/>
  <c r="Z163" i="1" s="1"/>
  <c r="Y162" i="1"/>
  <c r="Y164" i="1" s="1"/>
  <c r="P162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BP157" i="1" s="1"/>
  <c r="P157" i="1"/>
  <c r="BP156" i="1"/>
  <c r="BO156" i="1"/>
  <c r="BN156" i="1"/>
  <c r="BM156" i="1"/>
  <c r="Z156" i="1"/>
  <c r="Y156" i="1"/>
  <c r="P156" i="1"/>
  <c r="BO155" i="1"/>
  <c r="BM155" i="1"/>
  <c r="Y155" i="1"/>
  <c r="BP155" i="1" s="1"/>
  <c r="P155" i="1"/>
  <c r="BP154" i="1"/>
  <c r="BO154" i="1"/>
  <c r="BN154" i="1"/>
  <c r="BM154" i="1"/>
  <c r="Z154" i="1"/>
  <c r="Y154" i="1"/>
  <c r="P154" i="1"/>
  <c r="BO153" i="1"/>
  <c r="BM153" i="1"/>
  <c r="Y153" i="1"/>
  <c r="BP153" i="1" s="1"/>
  <c r="P153" i="1"/>
  <c r="BP152" i="1"/>
  <c r="BO152" i="1"/>
  <c r="BN152" i="1"/>
  <c r="BM152" i="1"/>
  <c r="Z152" i="1"/>
  <c r="Y152" i="1"/>
  <c r="P152" i="1"/>
  <c r="BO151" i="1"/>
  <c r="BM151" i="1"/>
  <c r="Y151" i="1"/>
  <c r="Y160" i="1" s="1"/>
  <c r="P151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BO145" i="1"/>
  <c r="BM145" i="1"/>
  <c r="Y145" i="1"/>
  <c r="BP145" i="1" s="1"/>
  <c r="P145" i="1"/>
  <c r="BP144" i="1"/>
  <c r="BO144" i="1"/>
  <c r="BN144" i="1"/>
  <c r="BM144" i="1"/>
  <c r="Z144" i="1"/>
  <c r="Y144" i="1"/>
  <c r="Y148" i="1" s="1"/>
  <c r="P144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Y142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X131" i="1"/>
  <c r="Y130" i="1"/>
  <c r="X130" i="1"/>
  <c r="BP129" i="1"/>
  <c r="BO129" i="1"/>
  <c r="BN129" i="1"/>
  <c r="BM129" i="1"/>
  <c r="Z129" i="1"/>
  <c r="Z130" i="1" s="1"/>
  <c r="Y129" i="1"/>
  <c r="Y131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Y127" i="1" s="1"/>
  <c r="P123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H376" i="1" s="1"/>
  <c r="P112" i="1"/>
  <c r="X108" i="1"/>
  <c r="X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Y107" i="1" s="1"/>
  <c r="P104" i="1"/>
  <c r="X102" i="1"/>
  <c r="X101" i="1"/>
  <c r="BO100" i="1"/>
  <c r="BM100" i="1"/>
  <c r="Y100" i="1"/>
  <c r="G376" i="1" s="1"/>
  <c r="P100" i="1"/>
  <c r="X97" i="1"/>
  <c r="X96" i="1"/>
  <c r="BO95" i="1"/>
  <c r="BM95" i="1"/>
  <c r="Y95" i="1"/>
  <c r="Y96" i="1" s="1"/>
  <c r="P95" i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Y92" i="1" s="1"/>
  <c r="P89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F376" i="1" s="1"/>
  <c r="P77" i="1"/>
  <c r="X74" i="1"/>
  <c r="X73" i="1"/>
  <c r="BO72" i="1"/>
  <c r="BM72" i="1"/>
  <c r="Y72" i="1"/>
  <c r="P72" i="1"/>
  <c r="BP71" i="1"/>
  <c r="BO71" i="1"/>
  <c r="BN71" i="1"/>
  <c r="BM71" i="1"/>
  <c r="Z71" i="1"/>
  <c r="Y71" i="1"/>
  <c r="P71" i="1"/>
  <c r="BO70" i="1"/>
  <c r="BM70" i="1"/>
  <c r="Y70" i="1"/>
  <c r="Y74" i="1" s="1"/>
  <c r="P70" i="1"/>
  <c r="BP69" i="1"/>
  <c r="BO69" i="1"/>
  <c r="BN69" i="1"/>
  <c r="BM69" i="1"/>
  <c r="Z69" i="1"/>
  <c r="Y69" i="1"/>
  <c r="BP68" i="1"/>
  <c r="BO68" i="1"/>
  <c r="BN68" i="1"/>
  <c r="BM68" i="1"/>
  <c r="Z68" i="1"/>
  <c r="Y68" i="1"/>
  <c r="P68" i="1"/>
  <c r="X66" i="1"/>
  <c r="Y65" i="1"/>
  <c r="X65" i="1"/>
  <c r="BP64" i="1"/>
  <c r="BO64" i="1"/>
  <c r="BN64" i="1"/>
  <c r="BM64" i="1"/>
  <c r="Z64" i="1"/>
  <c r="Y64" i="1"/>
  <c r="P64" i="1"/>
  <c r="BO63" i="1"/>
  <c r="BM63" i="1"/>
  <c r="Y63" i="1"/>
  <c r="P63" i="1"/>
  <c r="X60" i="1"/>
  <c r="X59" i="1"/>
  <c r="BO58" i="1"/>
  <c r="BM58" i="1"/>
  <c r="Y58" i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P52" i="1"/>
  <c r="BP51" i="1"/>
  <c r="BO51" i="1"/>
  <c r="BN51" i="1"/>
  <c r="BM51" i="1"/>
  <c r="Z51" i="1"/>
  <c r="Y51" i="1"/>
  <c r="P51" i="1"/>
  <c r="BO50" i="1"/>
  <c r="BM50" i="1"/>
  <c r="Y50" i="1"/>
  <c r="P50" i="1"/>
  <c r="X48" i="1"/>
  <c r="X47" i="1"/>
  <c r="BP46" i="1"/>
  <c r="BO46" i="1"/>
  <c r="BN46" i="1"/>
  <c r="BM46" i="1"/>
  <c r="Z46" i="1"/>
  <c r="Y46" i="1"/>
  <c r="P46" i="1"/>
  <c r="BO45" i="1"/>
  <c r="BM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D376" i="1" s="1"/>
  <c r="P41" i="1"/>
  <c r="X38" i="1"/>
  <c r="X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BO34" i="1"/>
  <c r="BM34" i="1"/>
  <c r="Y34" i="1"/>
  <c r="Y38" i="1" s="1"/>
  <c r="P34" i="1"/>
  <c r="BP33" i="1"/>
  <c r="BO33" i="1"/>
  <c r="BN33" i="1"/>
  <c r="BM33" i="1"/>
  <c r="Z33" i="1"/>
  <c r="Y33" i="1"/>
  <c r="P33" i="1"/>
  <c r="X29" i="1"/>
  <c r="Y28" i="1"/>
  <c r="X28" i="1"/>
  <c r="BP27" i="1"/>
  <c r="BO27" i="1"/>
  <c r="BN27" i="1"/>
  <c r="BM27" i="1"/>
  <c r="Z27" i="1"/>
  <c r="Z28" i="1" s="1"/>
  <c r="Y27" i="1"/>
  <c r="Y29" i="1" s="1"/>
  <c r="P27" i="1"/>
  <c r="X25" i="1"/>
  <c r="X366" i="1" s="1"/>
  <c r="X24" i="1"/>
  <c r="BP23" i="1"/>
  <c r="BO23" i="1"/>
  <c r="BN23" i="1"/>
  <c r="BM23" i="1"/>
  <c r="Z23" i="1"/>
  <c r="Y23" i="1"/>
  <c r="P23" i="1"/>
  <c r="BO22" i="1"/>
  <c r="X368" i="1" s="1"/>
  <c r="BM22" i="1"/>
  <c r="X367" i="1" s="1"/>
  <c r="X369" i="1" s="1"/>
  <c r="Y22" i="1"/>
  <c r="B376" i="1" s="1"/>
  <c r="P22" i="1"/>
  <c r="H10" i="1"/>
  <c r="A9" i="1"/>
  <c r="A10" i="1" s="1"/>
  <c r="D7" i="1"/>
  <c r="Q6" i="1"/>
  <c r="P2" i="1"/>
  <c r="F9" i="1" l="1"/>
  <c r="J9" i="1"/>
  <c r="F10" i="1"/>
  <c r="Z22" i="1"/>
  <c r="Z24" i="1" s="1"/>
  <c r="BN22" i="1"/>
  <c r="BP22" i="1"/>
  <c r="X370" i="1"/>
  <c r="Y25" i="1"/>
  <c r="C376" i="1"/>
  <c r="Z34" i="1"/>
  <c r="Z37" i="1" s="1"/>
  <c r="BN34" i="1"/>
  <c r="BP34" i="1"/>
  <c r="Z36" i="1"/>
  <c r="BN36" i="1"/>
  <c r="Y37" i="1"/>
  <c r="Z41" i="1"/>
  <c r="BN41" i="1"/>
  <c r="BP41" i="1"/>
  <c r="Z43" i="1"/>
  <c r="BN43" i="1"/>
  <c r="Z45" i="1"/>
  <c r="BN45" i="1"/>
  <c r="Y48" i="1"/>
  <c r="Y55" i="1"/>
  <c r="BP50" i="1"/>
  <c r="BN50" i="1"/>
  <c r="Z50" i="1"/>
  <c r="Y54" i="1"/>
  <c r="BP58" i="1"/>
  <c r="BN58" i="1"/>
  <c r="Z58" i="1"/>
  <c r="Z59" i="1" s="1"/>
  <c r="Y60" i="1"/>
  <c r="E376" i="1"/>
  <c r="Y66" i="1"/>
  <c r="BP63" i="1"/>
  <c r="BN63" i="1"/>
  <c r="Z63" i="1"/>
  <c r="Z65" i="1" s="1"/>
  <c r="Y73" i="1"/>
  <c r="BP72" i="1"/>
  <c r="BN72" i="1"/>
  <c r="Z72" i="1"/>
  <c r="H9" i="1"/>
  <c r="Y24" i="1"/>
  <c r="Y47" i="1"/>
  <c r="BP52" i="1"/>
  <c r="BN52" i="1"/>
  <c r="Z52" i="1"/>
  <c r="BP70" i="1"/>
  <c r="BN70" i="1"/>
  <c r="Z70" i="1"/>
  <c r="Z73" i="1" s="1"/>
  <c r="Y81" i="1"/>
  <c r="Y87" i="1"/>
  <c r="Y93" i="1"/>
  <c r="Y97" i="1"/>
  <c r="Y102" i="1"/>
  <c r="Y108" i="1"/>
  <c r="Y120" i="1"/>
  <c r="Y126" i="1"/>
  <c r="Y137" i="1"/>
  <c r="Y141" i="1"/>
  <c r="Y149" i="1"/>
  <c r="Y159" i="1"/>
  <c r="Y174" i="1"/>
  <c r="Y183" i="1"/>
  <c r="Y188" i="1"/>
  <c r="Y193" i="1"/>
  <c r="Y198" i="1"/>
  <c r="Y203" i="1"/>
  <c r="Y212" i="1"/>
  <c r="Y220" i="1"/>
  <c r="BP224" i="1"/>
  <c r="BN224" i="1"/>
  <c r="Z224" i="1"/>
  <c r="Y228" i="1"/>
  <c r="Y234" i="1"/>
  <c r="BP232" i="1"/>
  <c r="BN232" i="1"/>
  <c r="Z232" i="1"/>
  <c r="Z234" i="1" s="1"/>
  <c r="Z77" i="1"/>
  <c r="BN77" i="1"/>
  <c r="BP77" i="1"/>
  <c r="Z79" i="1"/>
  <c r="BN79" i="1"/>
  <c r="Y80" i="1"/>
  <c r="Z83" i="1"/>
  <c r="BN83" i="1"/>
  <c r="BP83" i="1"/>
  <c r="Z85" i="1"/>
  <c r="BN85" i="1"/>
  <c r="Z89" i="1"/>
  <c r="Z92" i="1" s="1"/>
  <c r="BN89" i="1"/>
  <c r="BP89" i="1"/>
  <c r="Z91" i="1"/>
  <c r="BN91" i="1"/>
  <c r="Z95" i="1"/>
  <c r="Z96" i="1" s="1"/>
  <c r="BN95" i="1"/>
  <c r="BP95" i="1"/>
  <c r="Z100" i="1"/>
  <c r="Z101" i="1" s="1"/>
  <c r="BN100" i="1"/>
  <c r="BP100" i="1"/>
  <c r="Y101" i="1"/>
  <c r="Z104" i="1"/>
  <c r="Z107" i="1" s="1"/>
  <c r="BN104" i="1"/>
  <c r="BP104" i="1"/>
  <c r="Z106" i="1"/>
  <c r="BN106" i="1"/>
  <c r="Z112" i="1"/>
  <c r="BN112" i="1"/>
  <c r="BP112" i="1"/>
  <c r="Z114" i="1"/>
  <c r="BN114" i="1"/>
  <c r="Z116" i="1"/>
  <c r="BN116" i="1"/>
  <c r="Z118" i="1"/>
  <c r="BN118" i="1"/>
  <c r="Y121" i="1"/>
  <c r="Z124" i="1"/>
  <c r="Z126" i="1" s="1"/>
  <c r="BN124" i="1"/>
  <c r="I376" i="1"/>
  <c r="Z135" i="1"/>
  <c r="Z136" i="1" s="1"/>
  <c r="BN135" i="1"/>
  <c r="Y136" i="1"/>
  <c r="Z139" i="1"/>
  <c r="Z141" i="1" s="1"/>
  <c r="BN139" i="1"/>
  <c r="BP139" i="1"/>
  <c r="Z145" i="1"/>
  <c r="Z148" i="1" s="1"/>
  <c r="BN145" i="1"/>
  <c r="Z147" i="1"/>
  <c r="BN147" i="1"/>
  <c r="Z151" i="1"/>
  <c r="Z159" i="1" s="1"/>
  <c r="BN151" i="1"/>
  <c r="BP151" i="1"/>
  <c r="Z153" i="1"/>
  <c r="BN153" i="1"/>
  <c r="Z155" i="1"/>
  <c r="BN155" i="1"/>
  <c r="Z157" i="1"/>
  <c r="BN157" i="1"/>
  <c r="J376" i="1"/>
  <c r="Z168" i="1"/>
  <c r="Z173" i="1" s="1"/>
  <c r="BN168" i="1"/>
  <c r="Z170" i="1"/>
  <c r="BN170" i="1"/>
  <c r="Z172" i="1"/>
  <c r="BN172" i="1"/>
  <c r="Y173" i="1"/>
  <c r="Z177" i="1"/>
  <c r="BN177" i="1"/>
  <c r="BP177" i="1"/>
  <c r="Z179" i="1"/>
  <c r="BN179" i="1"/>
  <c r="Z181" i="1"/>
  <c r="BN181" i="1"/>
  <c r="Y182" i="1"/>
  <c r="Z186" i="1"/>
  <c r="Z187" i="1" s="1"/>
  <c r="BN186" i="1"/>
  <c r="BP186" i="1"/>
  <c r="Y187" i="1"/>
  <c r="Z191" i="1"/>
  <c r="Z192" i="1" s="1"/>
  <c r="BN191" i="1"/>
  <c r="BP191" i="1"/>
  <c r="Y192" i="1"/>
  <c r="Z196" i="1"/>
  <c r="Z197" i="1" s="1"/>
  <c r="BN196" i="1"/>
  <c r="BP196" i="1"/>
  <c r="Y197" i="1"/>
  <c r="Z201" i="1"/>
  <c r="Z202" i="1" s="1"/>
  <c r="BN201" i="1"/>
  <c r="BP201" i="1"/>
  <c r="Y202" i="1"/>
  <c r="Z206" i="1"/>
  <c r="BN206" i="1"/>
  <c r="BP206" i="1"/>
  <c r="Z208" i="1"/>
  <c r="BN208" i="1"/>
  <c r="Z210" i="1"/>
  <c r="BN210" i="1"/>
  <c r="Y211" i="1"/>
  <c r="Z214" i="1"/>
  <c r="BN214" i="1"/>
  <c r="BP214" i="1"/>
  <c r="Z216" i="1"/>
  <c r="BN216" i="1"/>
  <c r="BP218" i="1"/>
  <c r="BN218" i="1"/>
  <c r="Z218" i="1"/>
  <c r="Y229" i="1"/>
  <c r="BP226" i="1"/>
  <c r="BN226" i="1"/>
  <c r="Z226" i="1"/>
  <c r="Z228" i="1" s="1"/>
  <c r="Y235" i="1"/>
  <c r="Z237" i="1"/>
  <c r="Z241" i="1" s="1"/>
  <c r="BN237" i="1"/>
  <c r="BP237" i="1"/>
  <c r="Z238" i="1"/>
  <c r="BN238" i="1"/>
  <c r="Z240" i="1"/>
  <c r="BN240" i="1"/>
  <c r="Y241" i="1"/>
  <c r="Z244" i="1"/>
  <c r="Z247" i="1" s="1"/>
  <c r="BN244" i="1"/>
  <c r="BP244" i="1"/>
  <c r="Z246" i="1"/>
  <c r="BN246" i="1"/>
  <c r="Y247" i="1"/>
  <c r="Z251" i="1"/>
  <c r="Z253" i="1" s="1"/>
  <c r="BN251" i="1"/>
  <c r="BP251" i="1"/>
  <c r="Y254" i="1"/>
  <c r="S376" i="1"/>
  <c r="Z259" i="1"/>
  <c r="BN259" i="1"/>
  <c r="BP259" i="1"/>
  <c r="Z261" i="1"/>
  <c r="Z264" i="1" s="1"/>
  <c r="BN261" i="1"/>
  <c r="Z263" i="1"/>
  <c r="BN263" i="1"/>
  <c r="Y264" i="1"/>
  <c r="Z267" i="1"/>
  <c r="Z269" i="1" s="1"/>
  <c r="BN267" i="1"/>
  <c r="BP267" i="1"/>
  <c r="Y270" i="1"/>
  <c r="Z273" i="1"/>
  <c r="Z274" i="1" s="1"/>
  <c r="BN273" i="1"/>
  <c r="BP273" i="1"/>
  <c r="Z277" i="1"/>
  <c r="Z278" i="1" s="1"/>
  <c r="BN277" i="1"/>
  <c r="BP277" i="1"/>
  <c r="Y278" i="1"/>
  <c r="Z282" i="1"/>
  <c r="Z286" i="1" s="1"/>
  <c r="BN282" i="1"/>
  <c r="BP282" i="1"/>
  <c r="Z284" i="1"/>
  <c r="BN284" i="1"/>
  <c r="Y287" i="1"/>
  <c r="Y296" i="1"/>
  <c r="BP293" i="1"/>
  <c r="Y308" i="1"/>
  <c r="BP307" i="1"/>
  <c r="BN307" i="1"/>
  <c r="Z307" i="1"/>
  <c r="Y314" i="1"/>
  <c r="BP311" i="1"/>
  <c r="BN311" i="1"/>
  <c r="Z311" i="1"/>
  <c r="Z313" i="1" s="1"/>
  <c r="V376" i="1"/>
  <c r="BP330" i="1"/>
  <c r="BN330" i="1"/>
  <c r="Z330" i="1"/>
  <c r="BP334" i="1"/>
  <c r="BN334" i="1"/>
  <c r="Z334" i="1"/>
  <c r="BP342" i="1"/>
  <c r="BN342" i="1"/>
  <c r="Z342" i="1"/>
  <c r="Z343" i="1" s="1"/>
  <c r="Y344" i="1"/>
  <c r="Y353" i="1"/>
  <c r="BP346" i="1"/>
  <c r="BN346" i="1"/>
  <c r="Z346" i="1"/>
  <c r="Y354" i="1"/>
  <c r="BP350" i="1"/>
  <c r="BN350" i="1"/>
  <c r="Z350" i="1"/>
  <c r="Y253" i="1"/>
  <c r="Y286" i="1"/>
  <c r="BP305" i="1"/>
  <c r="BN305" i="1"/>
  <c r="Z305" i="1"/>
  <c r="Z308" i="1" s="1"/>
  <c r="BP318" i="1"/>
  <c r="BN318" i="1"/>
  <c r="Z318" i="1"/>
  <c r="Z319" i="1" s="1"/>
  <c r="Y320" i="1"/>
  <c r="Y323" i="1"/>
  <c r="BP322" i="1"/>
  <c r="BN322" i="1"/>
  <c r="Z322" i="1"/>
  <c r="Z323" i="1" s="1"/>
  <c r="Y324" i="1"/>
  <c r="Y339" i="1"/>
  <c r="BP328" i="1"/>
  <c r="BN328" i="1"/>
  <c r="Z328" i="1"/>
  <c r="Z338" i="1" s="1"/>
  <c r="W376" i="1"/>
  <c r="BP332" i="1"/>
  <c r="BN332" i="1"/>
  <c r="Z332" i="1"/>
  <c r="BP336" i="1"/>
  <c r="BN336" i="1"/>
  <c r="Z336" i="1"/>
  <c r="BP348" i="1"/>
  <c r="BN348" i="1"/>
  <c r="Z348" i="1"/>
  <c r="Y358" i="1"/>
  <c r="Y365" i="1"/>
  <c r="U376" i="1"/>
  <c r="Y319" i="1"/>
  <c r="Z352" i="1"/>
  <c r="BN352" i="1"/>
  <c r="Z356" i="1"/>
  <c r="Z358" i="1" s="1"/>
  <c r="BN356" i="1"/>
  <c r="BP356" i="1"/>
  <c r="Z363" i="1"/>
  <c r="Z364" i="1" s="1"/>
  <c r="BN363" i="1"/>
  <c r="BP363" i="1"/>
  <c r="Y364" i="1"/>
  <c r="Z353" i="1" l="1"/>
  <c r="Y370" i="1"/>
  <c r="Z54" i="1"/>
  <c r="Y367" i="1"/>
  <c r="Z220" i="1"/>
  <c r="Z211" i="1"/>
  <c r="Z182" i="1"/>
  <c r="Z120" i="1"/>
  <c r="Z86" i="1"/>
  <c r="Z80" i="1"/>
  <c r="Z47" i="1"/>
  <c r="Y366" i="1"/>
  <c r="Y368" i="1"/>
  <c r="Z371" i="1"/>
  <c r="Y369" i="1" l="1"/>
</calcChain>
</file>

<file path=xl/sharedStrings.xml><?xml version="1.0" encoding="utf-8"?>
<sst xmlns="http://schemas.openxmlformats.org/spreadsheetml/2006/main" count="1556" uniqueCount="574">
  <si>
    <t xml:space="preserve">  БЛАНК ЗАКАЗА </t>
  </si>
  <si>
    <t>КИ</t>
  </si>
  <si>
    <t>на отгрузку продукции с ООО Трейд-Сервис с</t>
  </si>
  <si>
    <t>02.06.2025</t>
  </si>
  <si>
    <t>бланк создан</t>
  </si>
  <si>
    <t>28.05.2025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</si>
  <si>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</si>
  <si>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</si>
  <si>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</si>
  <si>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</si>
  <si>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</si>
  <si>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</si>
  <si>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</si>
  <si>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</si>
  <si>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MOS PROD TORG, ООО, 100011, Яшнободский район, Ташкент г, JARQOґRGґON KOґCHASI, 22A-UY</t>
  </si>
  <si>
    <t>День недели</t>
  </si>
  <si>
    <t>Наименование клиента</t>
  </si>
  <si>
    <t>ОБЩЕСТВО С ОГРАНИЧЕННОЙ ОТВЕТСТВЕННОСТЬЮ "MOS PROD TORG"</t>
  </si>
  <si>
    <t>Адрес сдачи груза:</t>
  </si>
  <si>
    <t>100011, Яшнободский район, Ташкент г, JARQOґRGґON KOґCHASI, 22A-UYUZB</t>
  </si>
  <si>
    <t>Время загрузки</t>
  </si>
  <si>
    <t>Дата доставки</t>
  </si>
  <si>
    <t>Время доставки</t>
  </si>
  <si>
    <t>КОД Аксапты Клиента</t>
  </si>
  <si>
    <t>592056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</si>
  <si>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</si>
  <si>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</si>
  <si>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</si>
  <si>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</si>
  <si>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</si>
  <si>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</si>
  <si>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Инкотермс</t>
  </si>
  <si>
    <t>EXW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</si>
  <si>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</si>
  <si>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</si>
  <si>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</si>
  <si>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</si>
  <si>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</si>
  <si>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</si>
  <si>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</si>
  <si>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</si>
  <si>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</si>
  <si>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</si>
  <si>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</si>
  <si>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</si>
  <si>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</si>
  <si>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</si>
  <si>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</si>
  <si>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</si>
  <si>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</si>
  <si>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</si>
  <si>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</si>
  <si>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</si>
  <si>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</si>
  <si>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</si>
  <si>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</si>
  <si>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</si>
  <si>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</si>
  <si>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</si>
  <si>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</si>
  <si>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</si>
  <si>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</si>
  <si>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</si>
  <si>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</si>
  <si>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</si>
  <si>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</si>
  <si>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</si>
  <si>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SU003821</t>
  </si>
  <si>
    <t>P004874</t>
  </si>
  <si>
    <t>14</t>
  </si>
  <si>
    <t>СК2</t>
  </si>
  <si>
    <t>кг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</si>
  <si>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</si>
  <si>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</si>
  <si>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</si>
  <si>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</si>
  <si>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</si>
  <si>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</si>
  <si>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</si>
  <si>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</si>
  <si>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</si>
  <si>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</si>
  <si>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</si>
  <si>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</si>
  <si>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</si>
  <si>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</si>
  <si>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</si>
  <si>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</si>
  <si>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</si>
  <si>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</si>
  <si>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</si>
  <si>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</si>
  <si>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</si>
  <si>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</si>
  <si>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</si>
  <si>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</si>
  <si>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</si>
  <si>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</si>
  <si>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</si>
  <si>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</si>
  <si>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</si>
  <si>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</si>
  <si>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</si>
  <si>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</si>
  <si>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</si>
  <si>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</si>
  <si>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</si>
  <si>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</si>
  <si>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</si>
  <si>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</si>
  <si>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</si>
  <si>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</si>
  <si>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</si>
  <si>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</si>
  <si>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</si>
  <si>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</si>
  <si>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</si>
  <si>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</si>
  <si>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</si>
  <si>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</si>
  <si>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</si>
  <si>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</si>
  <si>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</si>
  <si>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</si>
  <si>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</si>
  <si>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</si>
  <si>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</si>
  <si>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</si>
  <si>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</si>
  <si>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</si>
  <si>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</si>
  <si>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</si>
  <si>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</si>
  <si>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</si>
  <si>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</si>
  <si>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</si>
  <si>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</si>
  <si>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</si>
  <si>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</si>
  <si>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</si>
  <si>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</si>
  <si>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</si>
  <si>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</si>
  <si>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</si>
  <si>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SU001523</t>
  </si>
  <si>
    <t>P003328</t>
  </si>
  <si>
    <t>ЕАЭС N RU Д-RU.РА03.В.39392/23</t>
  </si>
  <si>
    <t>P003986</t>
  </si>
  <si>
    <t>Сосиски «Молокуши (Вязанка Молочные)» Весовой п/а мгс ТМ «Вязанка»</t>
  </si>
  <si>
    <t>SU001718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</si>
  <si>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</si>
  <si>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</si>
  <si>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</si>
  <si>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</si>
  <si>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</si>
  <si>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</si>
  <si>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</si>
  <si>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</si>
  <si>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</si>
  <si>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</si>
  <si>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</si>
  <si>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</si>
  <si>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</si>
  <si>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</si>
  <si>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</si>
  <si>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</si>
  <si>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</si>
  <si>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</si>
  <si>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</si>
  <si>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18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</si>
  <si>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</si>
  <si>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</si>
  <si>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</si>
  <si>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</si>
  <si>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</si>
  <si>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</si>
  <si>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</si>
  <si>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</si>
  <si>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</si>
  <si>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SU002367</t>
  </si>
  <si>
    <t>P002644</t>
  </si>
  <si>
    <t>ЕАЭС N RU Д-RU.РА01.В.81742/25, ЕАЭС N RU Д-RU.РА10.В.09810/24</t>
  </si>
  <si>
    <t>SU002312</t>
  </si>
  <si>
    <t>P003913</t>
  </si>
  <si>
    <t>ЕАЭС N RU Д-RU.РА09.В.81376/23</t>
  </si>
  <si>
    <t>Копченые колбасы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</si>
  <si>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</si>
  <si>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</si>
  <si>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</si>
  <si>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</si>
  <si>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</si>
  <si>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</si>
  <si>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</si>
  <si>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</si>
  <si>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</si>
  <si>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</si>
  <si>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</si>
  <si>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</si>
  <si>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</si>
  <si>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</si>
  <si>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</si>
  <si>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</si>
  <si>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</si>
  <si>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</si>
  <si>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</si>
  <si>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</si>
  <si>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</si>
  <si>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</si>
  <si>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</si>
  <si>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</si>
  <si>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</si>
  <si>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</si>
  <si>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</si>
  <si>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</si>
  <si>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</si>
  <si>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</si>
  <si>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</si>
  <si>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</si>
  <si>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</si>
  <si>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</si>
  <si>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</si>
  <si>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</si>
  <si>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</si>
  <si>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</si>
  <si>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</si>
  <si>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</si>
  <si>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</si>
  <si>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</si>
  <si>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</si>
  <si>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</si>
  <si>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</si>
  <si>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</si>
  <si>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</si>
  <si>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</si>
  <si>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</si>
  <si>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</si>
  <si>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</si>
  <si>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</si>
  <si>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</si>
  <si>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</si>
  <si>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</si>
  <si>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</si>
  <si>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</si>
  <si>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</si>
  <si>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</si>
  <si>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</si>
  <si>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</si>
  <si>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</si>
  <si>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</si>
  <si>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</si>
  <si>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</si>
  <si>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</si>
  <si>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</si>
  <si>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</si>
  <si>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</si>
  <si>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</si>
  <si>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</si>
  <si>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</si>
  <si>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</si>
  <si>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</si>
  <si>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</si>
  <si>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</si>
  <si>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</si>
  <si>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</si>
  <si>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</si>
  <si>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</si>
  <si>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</si>
  <si>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</si>
  <si>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</si>
  <si>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</si>
  <si>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</si>
  <si>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SU002844</t>
  </si>
  <si>
    <t>P003265</t>
  </si>
  <si>
    <t>ЕАЭС N RU Д-RU.РА01.В.99184/23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</si>
  <si>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</si>
  <si>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</si>
  <si>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</si>
  <si>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</si>
  <si>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</si>
  <si>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</si>
  <si>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</si>
  <si>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</si>
  <si>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</si>
  <si>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</si>
  <si>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</si>
  <si>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</si>
  <si>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</si>
  <si>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</si>
  <si>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</si>
  <si>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</si>
  <si>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</si>
  <si>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</si>
  <si>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</si>
  <si>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</si>
  <si>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</si>
  <si>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</si>
  <si>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</si>
  <si>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</si>
  <si>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</si>
  <si>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</si>
  <si>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</si>
  <si>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</si>
  <si>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</si>
  <si>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</si>
  <si>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</si>
  <si>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</si>
  <si>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</si>
  <si>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</si>
  <si>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</si>
  <si>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</si>
  <si>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</si>
  <si>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</si>
  <si>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Сочинка по-баварски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</si>
  <si>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</si>
  <si>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</si>
  <si>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</si>
  <si>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</si>
  <si>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</si>
  <si>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</si>
  <si>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</si>
  <si>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</si>
  <si>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</si>
  <si>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</si>
  <si>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</si>
  <si>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</si>
  <si>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</si>
  <si>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</si>
  <si>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</si>
  <si>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</si>
  <si>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</si>
  <si>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</si>
  <si>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</si>
  <si>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</si>
  <si>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</si>
  <si>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</si>
  <si>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</si>
  <si>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</si>
  <si>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</si>
  <si>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</si>
  <si>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</si>
  <si>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</si>
  <si>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</si>
  <si>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</si>
  <si>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</si>
  <si>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</si>
  <si>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</si>
  <si>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</si>
  <si>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</si>
  <si>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</si>
  <si>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</si>
  <si>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</si>
  <si>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</si>
  <si>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</si>
  <si>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</si>
  <si>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</si>
  <si>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</si>
  <si>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</si>
  <si>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</si>
  <si>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</si>
  <si>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</si>
  <si>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</si>
  <si>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</si>
  <si>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</si>
  <si>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</si>
  <si>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</si>
  <si>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</si>
  <si>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</si>
  <si>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</si>
  <si>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</si>
  <si>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</si>
  <si>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</si>
  <si>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</si>
  <si>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</si>
  <si>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</si>
  <si>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</si>
  <si>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</si>
  <si>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</si>
  <si>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</si>
  <si>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</si>
  <si>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</si>
  <si>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</si>
  <si>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</si>
  <si>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</si>
  <si>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</si>
  <si>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</si>
  <si>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</si>
  <si>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</si>
  <si>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</si>
  <si>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</si>
  <si>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</si>
  <si>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</si>
  <si>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</si>
  <si>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</si>
  <si>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</si>
  <si>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</si>
  <si>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</si>
  <si>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</si>
  <si>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</si>
  <si>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</si>
  <si>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</si>
  <si>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</si>
  <si>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</si>
  <si>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</si>
  <si>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</si>
  <si>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</si>
  <si>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</si>
  <si>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</si>
  <si>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</si>
  <si>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</si>
  <si>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</si>
  <si>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</si>
  <si>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</si>
  <si>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</si>
  <si>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</si>
  <si>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</si>
  <si>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</si>
  <si>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</si>
  <si>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</si>
  <si>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</si>
  <si>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</si>
  <si>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</si>
  <si>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</si>
  <si>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</si>
  <si>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</si>
  <si>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</si>
  <si>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</si>
  <si>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</si>
  <si>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</si>
  <si>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</si>
  <si>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</si>
  <si>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</si>
  <si>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</si>
  <si>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</si>
  <si>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</si>
  <si>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</si>
  <si>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</si>
  <si>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</si>
  <si>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</si>
  <si>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</si>
  <si>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</si>
  <si>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</si>
  <si>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</si>
  <si>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</si>
  <si>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</si>
  <si>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</si>
  <si>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</si>
  <si>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</si>
  <si>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</si>
  <si>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</si>
  <si>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</si>
  <si>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</si>
  <si>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</si>
  <si>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</si>
  <si>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</si>
  <si>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</si>
  <si>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</si>
  <si>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</si>
  <si>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</si>
  <si>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</si>
  <si>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</si>
  <si>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</si>
  <si>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</si>
  <si>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</si>
  <si>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</si>
  <si>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</si>
  <si>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</si>
  <si>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</si>
  <si>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</si>
  <si>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</si>
  <si>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</si>
  <si>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</si>
  <si>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</si>
  <si>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</si>
  <si>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SU002606</t>
  </si>
  <si>
    <t>P004521</t>
  </si>
  <si>
    <t>ЕАЭС N RU Д-RU.РА02.В.66890/23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</si>
  <si>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</si>
  <si>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</si>
  <si>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</si>
  <si>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</si>
  <si>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</si>
  <si>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</si>
  <si>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</si>
  <si>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</si>
  <si>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</si>
  <si>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</si>
  <si>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</si>
  <si>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</si>
  <si>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</si>
  <si>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</si>
  <si>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</si>
  <si>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</si>
  <si>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Дугушка</t>
  </si>
  <si>
    <t>SU002011</t>
  </si>
  <si>
    <t>P004028</t>
  </si>
  <si>
    <t>ЕАЭС N RU Д-RU.РА02.В.51456/25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</si>
  <si>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</si>
  <si>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</si>
  <si>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</si>
  <si>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</si>
  <si>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</si>
  <si>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</si>
  <si>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</si>
  <si>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</si>
  <si>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</si>
  <si>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</si>
  <si>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</si>
  <si>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</si>
  <si>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SU002632</t>
  </si>
  <si>
    <t>P004043</t>
  </si>
  <si>
    <t>P004689</t>
  </si>
  <si>
    <t>SU002635</t>
  </si>
  <si>
    <t>P004690</t>
  </si>
  <si>
    <t>ЕАЭС N RU Д-RU.РА02.В.51764/24</t>
  </si>
  <si>
    <t>SU002631</t>
  </si>
  <si>
    <t>P004048</t>
  </si>
  <si>
    <t>P004688</t>
  </si>
  <si>
    <t>SU002035</t>
  </si>
  <si>
    <t>P004460</t>
  </si>
  <si>
    <t>ЕАЭС N RU Д-RU.РА04.В.71599/24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</si>
  <si>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</si>
  <si>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</si>
  <si>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</si>
  <si>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</si>
  <si>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</si>
  <si>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</si>
  <si>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</si>
  <si>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</si>
  <si>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</si>
  <si>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</si>
  <si>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</si>
  <si>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</si>
  <si>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</si>
  <si>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</si>
  <si>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</si>
  <si>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</si>
  <si>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</si>
  <si>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</si>
  <si>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</si>
  <si>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</si>
  <si>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</si>
  <si>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</si>
  <si>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</si>
  <si>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</si>
  <si>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Зареченские продукты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</si>
  <si>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</si>
  <si>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</si>
  <si>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</si>
  <si>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</si>
  <si>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</si>
  <si>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</si>
  <si>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</si>
  <si>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</si>
  <si>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</si>
  <si>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</si>
  <si>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</si>
  <si>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</si>
  <si>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</si>
  <si>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</si>
  <si>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</si>
  <si>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</si>
  <si>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</si>
  <si>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592056_1</t>
  </si>
  <si>
    <t>1</t>
  </si>
  <si>
    <t>CFR</t>
  </si>
  <si>
    <t>CIF</t>
  </si>
  <si>
    <t>CIP</t>
  </si>
  <si>
    <t>CPT</t>
  </si>
  <si>
    <t>DAP</t>
  </si>
  <si>
    <t>DAT</t>
  </si>
  <si>
    <t>DDP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</si>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</sst>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35" fillId="0" borderId="0" xfId="0" applyFont="1" applyProtection="1"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3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80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251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1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5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0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0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97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9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78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3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533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67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9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2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5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36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47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89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49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50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8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4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9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5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6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76"/>
  <sheetViews>
    <sheetView showGridLines="0" tabSelected="1" topLeftCell="A355" zoomScaleNormal="100" zoomScaleSheetLayoutView="100" workbookViewId="0">
      <selection activeCell="Y372" sqref="Y372"/>
    </sheetView>
  </sheetViews>
  <sheetFormatPr defaultColWidth="9.140625" defaultRowHeight="12.75" x14ac:dyDescent="0.2"/>
  <cols>
    <col min="1" max="1" width="9.140625" style="3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95" customWidth="1"/>
    <col min="19" max="19" width="6.140625" style="3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95" customWidth="1"/>
    <col min="25" max="25" width="11" style="395" customWidth="1"/>
    <col min="26" max="26" width="10" style="395" customWidth="1"/>
    <col min="27" max="27" width="11.5703125" style="395" customWidth="1"/>
    <col min="28" max="28" width="10.42578125" style="395" customWidth="1"/>
    <col min="29" max="29" width="30" style="395" customWidth="1"/>
    <col min="30" max="30" width="11.42578125" style="53" bestFit="1" customWidth="1"/>
    <col min="31" max="31" width="9.140625" style="53" customWidth="1"/>
    <col min="32" max="32" width="8.85546875" style="53" customWidth="1"/>
    <col min="33" max="33" width="13.5703125" style="395" customWidth="1"/>
    <col min="34" max="34" width="9.140625" style="395" customWidth="1"/>
    <col min="35" max="16384" width="9.140625" style="395"/>
  </cols>
  <sheetData>
    <row r="1" spans="1:32" s="23" customFormat="1" ht="45" customHeight="1" x14ac:dyDescent="0.2">
      <c r="A1" s="42"/>
      <c r="B1" s="42"/>
      <c r="C1" s="42"/>
      <c r="D1" s="461" t="s">
        <v>0</v>
      </c>
      <c r="E1" s="428"/>
      <c r="F1" s="428"/>
      <c r="G1" s="12" t="s">
        <v>1</v>
      </c>
      <c r="H1" s="461" t="s">
        <v>2</v>
      </c>
      <c r="I1" s="428"/>
      <c r="J1" s="428"/>
      <c r="K1" s="428"/>
      <c r="L1" s="428"/>
      <c r="M1" s="428"/>
      <c r="N1" s="428"/>
      <c r="O1" s="428"/>
      <c r="P1" s="428"/>
      <c r="Q1" s="428"/>
      <c r="R1" s="427" t="s">
        <v>3</v>
      </c>
      <c r="S1" s="428"/>
      <c r="T1" s="428"/>
      <c r="U1" s="13"/>
      <c r="V1" s="13"/>
      <c r="W1" s="13"/>
      <c r="X1" s="13"/>
      <c r="Y1" s="13"/>
      <c r="Z1" s="13"/>
      <c r="AA1" s="13"/>
      <c r="AB1" s="54"/>
      <c r="AC1" s="54"/>
      <c r="AD1" s="54"/>
      <c r="AE1" s="54"/>
      <c r="AF1" s="54"/>
    </row>
    <row r="2" spans="1:32" s="23" customFormat="1" ht="16.5" customHeight="1" x14ac:dyDescent="0.2">
      <c r="A2" s="30" t="s">
        <v>4</v>
      </c>
      <c r="B2" s="31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15"/>
      <c r="R2" s="415"/>
      <c r="S2" s="415"/>
      <c r="T2" s="415"/>
      <c r="U2" s="415"/>
      <c r="V2" s="415"/>
      <c r="W2" s="415"/>
      <c r="X2" s="16"/>
      <c r="Y2" s="16"/>
      <c r="Z2" s="16"/>
      <c r="AA2" s="16"/>
      <c r="AB2" s="52"/>
      <c r="AC2" s="52"/>
      <c r="AD2" s="52"/>
      <c r="AE2" s="52"/>
    </row>
    <row r="3" spans="1:32" s="23" customFormat="1" ht="11.25" customHeight="1" x14ac:dyDescent="0.2">
      <c r="A3" s="28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15"/>
      <c r="Q3" s="415"/>
      <c r="R3" s="415"/>
      <c r="S3" s="415"/>
      <c r="T3" s="415"/>
      <c r="U3" s="415"/>
      <c r="V3" s="415"/>
      <c r="W3" s="415"/>
      <c r="X3" s="16"/>
      <c r="Y3" s="16"/>
      <c r="Z3" s="16"/>
      <c r="AA3" s="16"/>
      <c r="AB3" s="52"/>
      <c r="AC3" s="52"/>
      <c r="AD3" s="52"/>
      <c r="AE3" s="52"/>
    </row>
    <row r="4" spans="1:32" s="2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2"/>
      <c r="AC4" s="52"/>
      <c r="AD4" s="52"/>
      <c r="AE4" s="52"/>
    </row>
    <row r="5" spans="1:32" s="23" customFormat="1" ht="23.45" customHeight="1" x14ac:dyDescent="0.2">
      <c r="A5" s="496" t="s">
        <v>8</v>
      </c>
      <c r="B5" s="497"/>
      <c r="C5" s="498"/>
      <c r="D5" s="464"/>
      <c r="E5" s="465"/>
      <c r="F5" s="628" t="s">
        <v>9</v>
      </c>
      <c r="G5" s="498"/>
      <c r="H5" s="464"/>
      <c r="I5" s="584"/>
      <c r="J5" s="584"/>
      <c r="K5" s="584"/>
      <c r="L5" s="584"/>
      <c r="M5" s="465"/>
      <c r="N5" s="59"/>
      <c r="P5" s="25" t="s">
        <v>10</v>
      </c>
      <c r="Q5" s="639">
        <v>45812</v>
      </c>
      <c r="R5" s="495"/>
      <c r="T5" s="529" t="s">
        <v>11</v>
      </c>
      <c r="U5" s="530"/>
      <c r="V5" s="531" t="s">
        <v>12</v>
      </c>
      <c r="W5" s="495"/>
      <c r="AB5" s="52"/>
      <c r="AC5" s="52"/>
      <c r="AD5" s="52"/>
      <c r="AE5" s="52"/>
    </row>
    <row r="6" spans="1:32" s="23" customFormat="1" ht="24" customHeight="1" x14ac:dyDescent="0.2">
      <c r="A6" s="496" t="s">
        <v>13</v>
      </c>
      <c r="B6" s="497"/>
      <c r="C6" s="498"/>
      <c r="D6" s="586" t="s">
        <v>14</v>
      </c>
      <c r="E6" s="587"/>
      <c r="F6" s="587"/>
      <c r="G6" s="587"/>
      <c r="H6" s="587"/>
      <c r="I6" s="587"/>
      <c r="J6" s="587"/>
      <c r="K6" s="587"/>
      <c r="L6" s="587"/>
      <c r="M6" s="495"/>
      <c r="N6" s="60"/>
      <c r="P6" s="25" t="s">
        <v>15</v>
      </c>
      <c r="Q6" s="643" t="str">
        <f>IF(Q5=0," ",CHOOSE(WEEKDAY(Q5,2),"Понедельник","Вторник","Среда","Четверг","Пятница","Суббота","Воскресенье"))</f>
        <v>Среда</v>
      </c>
      <c r="R6" s="417"/>
      <c r="T6" s="536" t="s">
        <v>16</v>
      </c>
      <c r="U6" s="530"/>
      <c r="V6" s="575" t="s">
        <v>17</v>
      </c>
      <c r="W6" s="437"/>
      <c r="AB6" s="52"/>
      <c r="AC6" s="52"/>
      <c r="AD6" s="52"/>
      <c r="AE6" s="52"/>
    </row>
    <row r="7" spans="1:32" s="23" customFormat="1" ht="21.75" hidden="1" customHeight="1" x14ac:dyDescent="0.2">
      <c r="A7" s="56"/>
      <c r="B7" s="56"/>
      <c r="C7" s="56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1"/>
      <c r="P7" s="25"/>
      <c r="Q7" s="43"/>
      <c r="R7" s="43"/>
      <c r="T7" s="415"/>
      <c r="U7" s="530"/>
      <c r="V7" s="576"/>
      <c r="W7" s="577"/>
      <c r="AB7" s="52"/>
      <c r="AC7" s="52"/>
      <c r="AD7" s="52"/>
      <c r="AE7" s="52"/>
    </row>
    <row r="8" spans="1:32" s="23" customFormat="1" ht="25.5" customHeight="1" x14ac:dyDescent="0.2">
      <c r="A8" s="651" t="s">
        <v>18</v>
      </c>
      <c r="B8" s="412"/>
      <c r="C8" s="413"/>
      <c r="D8" s="452" t="s">
        <v>19</v>
      </c>
      <c r="E8" s="453"/>
      <c r="F8" s="453"/>
      <c r="G8" s="453"/>
      <c r="H8" s="453"/>
      <c r="I8" s="453"/>
      <c r="J8" s="453"/>
      <c r="K8" s="453"/>
      <c r="L8" s="453"/>
      <c r="M8" s="454"/>
      <c r="N8" s="62"/>
      <c r="P8" s="25" t="s">
        <v>20</v>
      </c>
      <c r="Q8" s="503">
        <v>0.41666666666666669</v>
      </c>
      <c r="R8" s="449"/>
      <c r="T8" s="415"/>
      <c r="U8" s="530"/>
      <c r="V8" s="576"/>
      <c r="W8" s="577"/>
      <c r="AB8" s="52"/>
      <c r="AC8" s="52"/>
      <c r="AD8" s="52"/>
      <c r="AE8" s="52"/>
    </row>
    <row r="9" spans="1:32" s="23" customFormat="1" ht="39.950000000000003" customHeight="1" x14ac:dyDescent="0.2">
      <c r="A9" s="5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5"/>
      <c r="C9" s="415"/>
      <c r="D9" s="509"/>
      <c r="E9" s="419"/>
      <c r="F9" s="5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5"/>
      <c r="H9" s="418" t="str">
        <f>IF(AND($A$9="Тип доверенности/получателя при получении в адресе перегруза:",$D$9="Разовая доверенность"),"Введите ФИО","")</f>
        <v/>
      </c>
      <c r="I9" s="419"/>
      <c r="J9" s="4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9"/>
      <c r="L9" s="419"/>
      <c r="M9" s="419"/>
      <c r="N9" s="399"/>
      <c r="P9" s="27" t="s">
        <v>21</v>
      </c>
      <c r="Q9" s="490"/>
      <c r="R9" s="491"/>
      <c r="T9" s="415"/>
      <c r="U9" s="530"/>
      <c r="V9" s="578"/>
      <c r="W9" s="579"/>
      <c r="X9" s="44"/>
      <c r="Y9" s="44"/>
      <c r="Z9" s="44"/>
      <c r="AA9" s="44"/>
      <c r="AB9" s="52"/>
      <c r="AC9" s="52"/>
      <c r="AD9" s="52"/>
      <c r="AE9" s="52"/>
    </row>
    <row r="10" spans="1:32" s="23" customFormat="1" ht="26.45" customHeight="1" x14ac:dyDescent="0.2">
      <c r="A10" s="5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5"/>
      <c r="C10" s="415"/>
      <c r="D10" s="509"/>
      <c r="E10" s="419"/>
      <c r="F10" s="5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5"/>
      <c r="H10" s="569" t="str">
        <f>IFERROR(VLOOKUP($D$10,Proxy,2,FALSE),"")</f>
        <v/>
      </c>
      <c r="I10" s="415"/>
      <c r="J10" s="415"/>
      <c r="K10" s="415"/>
      <c r="L10" s="415"/>
      <c r="M10" s="415"/>
      <c r="N10" s="398"/>
      <c r="P10" s="27" t="s">
        <v>22</v>
      </c>
      <c r="Q10" s="537"/>
      <c r="R10" s="538"/>
      <c r="U10" s="25" t="s">
        <v>23</v>
      </c>
      <c r="V10" s="436" t="s">
        <v>24</v>
      </c>
      <c r="W10" s="437"/>
      <c r="X10" s="45"/>
      <c r="Y10" s="45"/>
      <c r="Z10" s="45"/>
      <c r="AA10" s="45"/>
      <c r="AB10" s="52"/>
      <c r="AC10" s="52"/>
      <c r="AD10" s="52"/>
      <c r="AE10" s="52"/>
    </row>
    <row r="11" spans="1:32" s="23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494"/>
      <c r="R11" s="495"/>
      <c r="U11" s="25" t="s">
        <v>27</v>
      </c>
      <c r="V11" s="603" t="s">
        <v>28</v>
      </c>
      <c r="W11" s="491"/>
      <c r="X11" s="46"/>
      <c r="Y11" s="46"/>
      <c r="Z11" s="46"/>
      <c r="AA11" s="46"/>
      <c r="AB11" s="52"/>
      <c r="AC11" s="52"/>
      <c r="AD11" s="52"/>
      <c r="AE11" s="52"/>
    </row>
    <row r="12" spans="1:32" s="23" customFormat="1" ht="18.600000000000001" customHeight="1" x14ac:dyDescent="0.2">
      <c r="A12" s="528" t="s">
        <v>29</v>
      </c>
      <c r="B12" s="497"/>
      <c r="C12" s="497"/>
      <c r="D12" s="497"/>
      <c r="E12" s="497"/>
      <c r="F12" s="497"/>
      <c r="G12" s="497"/>
      <c r="H12" s="497"/>
      <c r="I12" s="497"/>
      <c r="J12" s="497"/>
      <c r="K12" s="497"/>
      <c r="L12" s="497"/>
      <c r="M12" s="498"/>
      <c r="N12" s="63"/>
      <c r="P12" s="25" t="s">
        <v>30</v>
      </c>
      <c r="Q12" s="503"/>
      <c r="R12" s="449"/>
      <c r="S12" s="24"/>
      <c r="U12" s="25" t="s">
        <v>31</v>
      </c>
      <c r="V12" s="603" t="s">
        <v>32</v>
      </c>
      <c r="W12" s="491"/>
      <c r="AB12" s="52"/>
      <c r="AC12" s="52"/>
      <c r="AD12" s="52"/>
      <c r="AE12" s="52"/>
    </row>
    <row r="13" spans="1:32" s="23" customFormat="1" ht="23.25" customHeight="1" x14ac:dyDescent="0.2">
      <c r="A13" s="528" t="s">
        <v>33</v>
      </c>
      <c r="B13" s="497"/>
      <c r="C13" s="497"/>
      <c r="D13" s="497"/>
      <c r="E13" s="497"/>
      <c r="F13" s="497"/>
      <c r="G13" s="497"/>
      <c r="H13" s="497"/>
      <c r="I13" s="497"/>
      <c r="J13" s="497"/>
      <c r="K13" s="497"/>
      <c r="L13" s="497"/>
      <c r="M13" s="498"/>
      <c r="N13" s="63"/>
      <c r="O13" s="27"/>
      <c r="P13" s="27" t="s">
        <v>34</v>
      </c>
      <c r="Q13" s="603"/>
      <c r="R13" s="491"/>
      <c r="S13" s="24"/>
      <c r="X13" s="50"/>
      <c r="Y13" s="50"/>
      <c r="Z13" s="50"/>
      <c r="AA13" s="50"/>
      <c r="AB13" s="52"/>
      <c r="AC13" s="52"/>
      <c r="AD13" s="52"/>
      <c r="AE13" s="52"/>
    </row>
    <row r="14" spans="1:32" s="23" customFormat="1" ht="18.600000000000001" customHeight="1" x14ac:dyDescent="0.2">
      <c r="A14" s="528" t="s">
        <v>35</v>
      </c>
      <c r="B14" s="497"/>
      <c r="C14" s="497"/>
      <c r="D14" s="497"/>
      <c r="E14" s="497"/>
      <c r="F14" s="497"/>
      <c r="G14" s="497"/>
      <c r="H14" s="497"/>
      <c r="I14" s="497"/>
      <c r="J14" s="497"/>
      <c r="K14" s="497"/>
      <c r="L14" s="497"/>
      <c r="M14" s="498"/>
      <c r="N14" s="63"/>
      <c r="X14" s="51"/>
      <c r="Y14" s="51"/>
      <c r="Z14" s="51"/>
      <c r="AA14" s="51"/>
      <c r="AB14" s="52"/>
      <c r="AC14" s="52"/>
      <c r="AD14" s="52"/>
      <c r="AE14" s="52"/>
    </row>
    <row r="15" spans="1:32" s="23" customFormat="1" ht="22.5" customHeight="1" x14ac:dyDescent="0.2">
      <c r="A15" s="550" t="s">
        <v>36</v>
      </c>
      <c r="B15" s="497"/>
      <c r="C15" s="497"/>
      <c r="D15" s="497"/>
      <c r="E15" s="497"/>
      <c r="F15" s="497"/>
      <c r="G15" s="497"/>
      <c r="H15" s="497"/>
      <c r="I15" s="497"/>
      <c r="J15" s="497"/>
      <c r="K15" s="497"/>
      <c r="L15" s="497"/>
      <c r="M15" s="498"/>
      <c r="N15" s="64"/>
      <c r="P15" s="518" t="s">
        <v>37</v>
      </c>
      <c r="Q15" s="428"/>
      <c r="R15" s="428"/>
      <c r="S15" s="428"/>
      <c r="T15" s="428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19"/>
      <c r="Q16" s="519"/>
      <c r="R16" s="519"/>
      <c r="S16" s="519"/>
      <c r="T16" s="51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3" t="s">
        <v>38</v>
      </c>
      <c r="B17" s="433" t="s">
        <v>39</v>
      </c>
      <c r="C17" s="508" t="s">
        <v>40</v>
      </c>
      <c r="D17" s="433" t="s">
        <v>41</v>
      </c>
      <c r="E17" s="477"/>
      <c r="F17" s="433" t="s">
        <v>42</v>
      </c>
      <c r="G17" s="433" t="s">
        <v>43</v>
      </c>
      <c r="H17" s="433" t="s">
        <v>44</v>
      </c>
      <c r="I17" s="433" t="s">
        <v>45</v>
      </c>
      <c r="J17" s="433" t="s">
        <v>46</v>
      </c>
      <c r="K17" s="433" t="s">
        <v>47</v>
      </c>
      <c r="L17" s="433" t="s">
        <v>48</v>
      </c>
      <c r="M17" s="433" t="s">
        <v>49</v>
      </c>
      <c r="N17" s="433" t="s">
        <v>50</v>
      </c>
      <c r="O17" s="433" t="s">
        <v>51</v>
      </c>
      <c r="P17" s="433" t="s">
        <v>52</v>
      </c>
      <c r="Q17" s="476"/>
      <c r="R17" s="476"/>
      <c r="S17" s="476"/>
      <c r="T17" s="477"/>
      <c r="U17" s="648" t="s">
        <v>53</v>
      </c>
      <c r="V17" s="498"/>
      <c r="W17" s="433" t="s">
        <v>54</v>
      </c>
      <c r="X17" s="433" t="s">
        <v>55</v>
      </c>
      <c r="Y17" s="649" t="s">
        <v>56</v>
      </c>
      <c r="Z17" s="582" t="s">
        <v>57</v>
      </c>
      <c r="AA17" s="570" t="s">
        <v>58</v>
      </c>
      <c r="AB17" s="570" t="s">
        <v>59</v>
      </c>
      <c r="AC17" s="570" t="s">
        <v>60</v>
      </c>
      <c r="AD17" s="570" t="s">
        <v>61</v>
      </c>
      <c r="AE17" s="623"/>
      <c r="AF17" s="624"/>
      <c r="AG17" s="67"/>
      <c r="BD17" s="66" t="s">
        <v>62</v>
      </c>
    </row>
    <row r="18" spans="1:68" ht="14.25" customHeight="1" x14ac:dyDescent="0.2">
      <c r="A18" s="434"/>
      <c r="B18" s="434"/>
      <c r="C18" s="434"/>
      <c r="D18" s="478"/>
      <c r="E18" s="480"/>
      <c r="F18" s="434"/>
      <c r="G18" s="434"/>
      <c r="H18" s="434"/>
      <c r="I18" s="434"/>
      <c r="J18" s="434"/>
      <c r="K18" s="434"/>
      <c r="L18" s="434"/>
      <c r="M18" s="434"/>
      <c r="N18" s="434"/>
      <c r="O18" s="434"/>
      <c r="P18" s="478"/>
      <c r="Q18" s="479"/>
      <c r="R18" s="479"/>
      <c r="S18" s="479"/>
      <c r="T18" s="480"/>
      <c r="U18" s="68" t="s">
        <v>63</v>
      </c>
      <c r="V18" s="68" t="s">
        <v>64</v>
      </c>
      <c r="W18" s="434"/>
      <c r="X18" s="434"/>
      <c r="Y18" s="650"/>
      <c r="Z18" s="583"/>
      <c r="AA18" s="571"/>
      <c r="AB18" s="571"/>
      <c r="AC18" s="571"/>
      <c r="AD18" s="625"/>
      <c r="AE18" s="626"/>
      <c r="AF18" s="627"/>
      <c r="AG18" s="67"/>
      <c r="BD18" s="66"/>
    </row>
    <row r="19" spans="1:68" ht="27.75" customHeight="1" x14ac:dyDescent="0.2">
      <c r="A19" s="439" t="s">
        <v>65</v>
      </c>
      <c r="B19" s="440"/>
      <c r="C19" s="440"/>
      <c r="D19" s="440"/>
      <c r="E19" s="440"/>
      <c r="F19" s="440"/>
      <c r="G19" s="440"/>
      <c r="H19" s="440"/>
      <c r="I19" s="440"/>
      <c r="J19" s="440"/>
      <c r="K19" s="440"/>
      <c r="L19" s="440"/>
      <c r="M19" s="440"/>
      <c r="N19" s="440"/>
      <c r="O19" s="440"/>
      <c r="P19" s="440"/>
      <c r="Q19" s="440"/>
      <c r="R19" s="440"/>
      <c r="S19" s="440"/>
      <c r="T19" s="440"/>
      <c r="U19" s="440"/>
      <c r="V19" s="440"/>
      <c r="W19" s="440"/>
      <c r="X19" s="440"/>
      <c r="Y19" s="440"/>
      <c r="Z19" s="440"/>
      <c r="AA19" s="49"/>
      <c r="AB19" s="49"/>
      <c r="AC19" s="49"/>
    </row>
    <row r="20" spans="1:68" ht="16.5" customHeight="1" x14ac:dyDescent="0.25">
      <c r="A20" s="463" t="s">
        <v>65</v>
      </c>
      <c r="B20" s="415"/>
      <c r="C20" s="415"/>
      <c r="D20" s="415"/>
      <c r="E20" s="415"/>
      <c r="F20" s="415"/>
      <c r="G20" s="415"/>
      <c r="H20" s="415"/>
      <c r="I20" s="415"/>
      <c r="J20" s="415"/>
      <c r="K20" s="415"/>
      <c r="L20" s="415"/>
      <c r="M20" s="415"/>
      <c r="N20" s="415"/>
      <c r="O20" s="415"/>
      <c r="P20" s="415"/>
      <c r="Q20" s="415"/>
      <c r="R20" s="415"/>
      <c r="S20" s="415"/>
      <c r="T20" s="415"/>
      <c r="U20" s="415"/>
      <c r="V20" s="415"/>
      <c r="W20" s="415"/>
      <c r="X20" s="415"/>
      <c r="Y20" s="415"/>
      <c r="Z20" s="415"/>
      <c r="AA20" s="396"/>
      <c r="AB20" s="396"/>
      <c r="AC20" s="396"/>
    </row>
    <row r="21" spans="1:68" ht="14.25" customHeight="1" x14ac:dyDescent="0.25">
      <c r="A21" s="414" t="s">
        <v>66</v>
      </c>
      <c r="B21" s="415"/>
      <c r="C21" s="415"/>
      <c r="D21" s="415"/>
      <c r="E21" s="415"/>
      <c r="F21" s="415"/>
      <c r="G21" s="415"/>
      <c r="H21" s="415"/>
      <c r="I21" s="415"/>
      <c r="J21" s="415"/>
      <c r="K21" s="415"/>
      <c r="L21" s="415"/>
      <c r="M21" s="415"/>
      <c r="N21" s="415"/>
      <c r="O21" s="415"/>
      <c r="P21" s="415"/>
      <c r="Q21" s="415"/>
      <c r="R21" s="415"/>
      <c r="S21" s="415"/>
      <c r="T21" s="415"/>
      <c r="U21" s="415"/>
      <c r="V21" s="415"/>
      <c r="W21" s="415"/>
      <c r="X21" s="415"/>
      <c r="Y21" s="415"/>
      <c r="Z21" s="415"/>
      <c r="AA21" s="397"/>
      <c r="AB21" s="397"/>
      <c r="AC21" s="397"/>
    </row>
    <row r="22" spans="1:68" ht="27" customHeight="1" x14ac:dyDescent="0.25">
      <c r="A22" s="55" t="s">
        <v>67</v>
      </c>
      <c r="B22" s="55" t="s">
        <v>68</v>
      </c>
      <c r="C22" s="32">
        <v>4301051907</v>
      </c>
      <c r="D22" s="416">
        <v>4680115886230</v>
      </c>
      <c r="E22" s="417"/>
      <c r="F22" s="400">
        <v>0.3</v>
      </c>
      <c r="G22" s="33">
        <v>6</v>
      </c>
      <c r="H22" s="400">
        <v>1.8</v>
      </c>
      <c r="I22" s="400">
        <v>2.0459999999999998</v>
      </c>
      <c r="J22" s="33">
        <v>182</v>
      </c>
      <c r="K22" s="33" t="s">
        <v>69</v>
      </c>
      <c r="L22" s="33"/>
      <c r="M22" s="34" t="s">
        <v>70</v>
      </c>
      <c r="N22" s="34"/>
      <c r="O22" s="33">
        <v>40</v>
      </c>
      <c r="P22" s="58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2" s="406"/>
      <c r="R22" s="406"/>
      <c r="S22" s="406"/>
      <c r="T22" s="407"/>
      <c r="U22" s="35"/>
      <c r="V22" s="35"/>
      <c r="W22" s="36" t="s">
        <v>71</v>
      </c>
      <c r="X22" s="401">
        <v>0</v>
      </c>
      <c r="Y22" s="402">
        <f>IFERROR(IF(X22="",0,CEILING((X22/$H22),1)*$H22),"")</f>
        <v>0</v>
      </c>
      <c r="Z22" s="37" t="str">
        <f>IFERROR(IF(Y22=0,"",ROUNDUP(Y22/H22,0)*0.00651),"")</f>
        <v/>
      </c>
      <c r="AA22" s="57"/>
      <c r="AB22" s="58"/>
      <c r="AC22" s="70" t="s">
        <v>72</v>
      </c>
      <c r="AG22" s="65"/>
      <c r="AJ22" s="69"/>
      <c r="AK22" s="69">
        <v>0</v>
      </c>
      <c r="BB22" s="71" t="s">
        <v>1</v>
      </c>
      <c r="BM22" s="65">
        <f>IFERROR(X22*I22/H22,"0")</f>
        <v>0</v>
      </c>
      <c r="BN22" s="65">
        <f>IFERROR(Y22*I22/H22,"0")</f>
        <v>0</v>
      </c>
      <c r="BO22" s="65">
        <f>IFERROR(1/J22*(X22/H22),"0")</f>
        <v>0</v>
      </c>
      <c r="BP22" s="65">
        <f>IFERROR(1/J22*(Y22/H22),"0")</f>
        <v>0</v>
      </c>
    </row>
    <row r="23" spans="1:68" ht="27" customHeight="1" x14ac:dyDescent="0.25">
      <c r="A23" s="55" t="s">
        <v>73</v>
      </c>
      <c r="B23" s="55" t="s">
        <v>74</v>
      </c>
      <c r="C23" s="32">
        <v>4301051909</v>
      </c>
      <c r="D23" s="416">
        <v>4680115886247</v>
      </c>
      <c r="E23" s="417"/>
      <c r="F23" s="400">
        <v>0.3</v>
      </c>
      <c r="G23" s="33">
        <v>6</v>
      </c>
      <c r="H23" s="400">
        <v>1.8</v>
      </c>
      <c r="I23" s="400">
        <v>2.0459999999999998</v>
      </c>
      <c r="J23" s="33">
        <v>182</v>
      </c>
      <c r="K23" s="33" t="s">
        <v>69</v>
      </c>
      <c r="L23" s="33"/>
      <c r="M23" s="34" t="s">
        <v>70</v>
      </c>
      <c r="N23" s="34"/>
      <c r="O23" s="33">
        <v>40</v>
      </c>
      <c r="P23" s="5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3" s="406"/>
      <c r="R23" s="406"/>
      <c r="S23" s="406"/>
      <c r="T23" s="407"/>
      <c r="U23" s="35"/>
      <c r="V23" s="35"/>
      <c r="W23" s="36" t="s">
        <v>71</v>
      </c>
      <c r="X23" s="401">
        <v>0</v>
      </c>
      <c r="Y23" s="402">
        <f>IFERROR(IF(X23="",0,CEILING((X23/$H23),1)*$H23),"")</f>
        <v>0</v>
      </c>
      <c r="Z23" s="37" t="str">
        <f>IFERROR(IF(Y23=0,"",ROUNDUP(Y23/H23,0)*0.00651),"")</f>
        <v/>
      </c>
      <c r="AA23" s="57"/>
      <c r="AB23" s="58"/>
      <c r="AC23" s="72" t="s">
        <v>75</v>
      </c>
      <c r="AG23" s="65"/>
      <c r="AJ23" s="69"/>
      <c r="AK23" s="69">
        <v>0</v>
      </c>
      <c r="BB23" s="73" t="s">
        <v>1</v>
      </c>
      <c r="BM23" s="65">
        <f>IFERROR(X23*I23/H23,"0")</f>
        <v>0</v>
      </c>
      <c r="BN23" s="65">
        <f>IFERROR(Y23*I23/H23,"0")</f>
        <v>0</v>
      </c>
      <c r="BO23" s="65">
        <f>IFERROR(1/J23*(X23/H23),"0")</f>
        <v>0</v>
      </c>
      <c r="BP23" s="65">
        <f>IFERROR(1/J23*(Y23/H23),"0")</f>
        <v>0</v>
      </c>
    </row>
    <row r="24" spans="1:68" x14ac:dyDescent="0.2">
      <c r="A24" s="425"/>
      <c r="B24" s="415"/>
      <c r="C24" s="415"/>
      <c r="D24" s="415"/>
      <c r="E24" s="415"/>
      <c r="F24" s="415"/>
      <c r="G24" s="415"/>
      <c r="H24" s="415"/>
      <c r="I24" s="415"/>
      <c r="J24" s="415"/>
      <c r="K24" s="415"/>
      <c r="L24" s="415"/>
      <c r="M24" s="415"/>
      <c r="N24" s="415"/>
      <c r="O24" s="426"/>
      <c r="P24" s="411" t="s">
        <v>76</v>
      </c>
      <c r="Q24" s="412"/>
      <c r="R24" s="412"/>
      <c r="S24" s="412"/>
      <c r="T24" s="412"/>
      <c r="U24" s="412"/>
      <c r="V24" s="413"/>
      <c r="W24" s="38" t="s">
        <v>77</v>
      </c>
      <c r="X24" s="403">
        <f>IFERROR(X22/H22,"0")+IFERROR(X23/H23,"0")</f>
        <v>0</v>
      </c>
      <c r="Y24" s="403">
        <f>IFERROR(Y22/H22,"0")+IFERROR(Y23/H23,"0")</f>
        <v>0</v>
      </c>
      <c r="Z24" s="403">
        <f>IFERROR(IF(Z22="",0,Z22),"0")+IFERROR(IF(Z23="",0,Z23),"0")</f>
        <v>0</v>
      </c>
      <c r="AA24" s="404"/>
      <c r="AB24" s="404"/>
      <c r="AC24" s="404"/>
    </row>
    <row r="25" spans="1:68" x14ac:dyDescent="0.2">
      <c r="A25" s="415"/>
      <c r="B25" s="415"/>
      <c r="C25" s="415"/>
      <c r="D25" s="415"/>
      <c r="E25" s="415"/>
      <c r="F25" s="415"/>
      <c r="G25" s="415"/>
      <c r="H25" s="415"/>
      <c r="I25" s="415"/>
      <c r="J25" s="415"/>
      <c r="K25" s="415"/>
      <c r="L25" s="415"/>
      <c r="M25" s="415"/>
      <c r="N25" s="415"/>
      <c r="O25" s="426"/>
      <c r="P25" s="411" t="s">
        <v>76</v>
      </c>
      <c r="Q25" s="412"/>
      <c r="R25" s="412"/>
      <c r="S25" s="412"/>
      <c r="T25" s="412"/>
      <c r="U25" s="412"/>
      <c r="V25" s="413"/>
      <c r="W25" s="38" t="s">
        <v>71</v>
      </c>
      <c r="X25" s="403">
        <f>IFERROR(SUM(X22:X23),"0")</f>
        <v>0</v>
      </c>
      <c r="Y25" s="403">
        <f>IFERROR(SUM(Y22:Y23),"0")</f>
        <v>0</v>
      </c>
      <c r="Z25" s="38"/>
      <c r="AA25" s="404"/>
      <c r="AB25" s="404"/>
      <c r="AC25" s="404"/>
    </row>
    <row r="26" spans="1:68" ht="14.25" customHeight="1" x14ac:dyDescent="0.25">
      <c r="A26" s="414" t="s">
        <v>78</v>
      </c>
      <c r="B26" s="415"/>
      <c r="C26" s="415"/>
      <c r="D26" s="415"/>
      <c r="E26" s="415"/>
      <c r="F26" s="415"/>
      <c r="G26" s="415"/>
      <c r="H26" s="415"/>
      <c r="I26" s="415"/>
      <c r="J26" s="415"/>
      <c r="K26" s="415"/>
      <c r="L26" s="415"/>
      <c r="M26" s="415"/>
      <c r="N26" s="415"/>
      <c r="O26" s="415"/>
      <c r="P26" s="415"/>
      <c r="Q26" s="415"/>
      <c r="R26" s="415"/>
      <c r="S26" s="415"/>
      <c r="T26" s="415"/>
      <c r="U26" s="415"/>
      <c r="V26" s="415"/>
      <c r="W26" s="415"/>
      <c r="X26" s="415"/>
      <c r="Y26" s="415"/>
      <c r="Z26" s="415"/>
      <c r="AA26" s="397"/>
      <c r="AB26" s="397"/>
      <c r="AC26" s="397"/>
    </row>
    <row r="27" spans="1:68" ht="27" customHeight="1" x14ac:dyDescent="0.25">
      <c r="A27" s="55" t="s">
        <v>79</v>
      </c>
      <c r="B27" s="55" t="s">
        <v>80</v>
      </c>
      <c r="C27" s="32">
        <v>4301032013</v>
      </c>
      <c r="D27" s="416">
        <v>4607091388503</v>
      </c>
      <c r="E27" s="417"/>
      <c r="F27" s="400">
        <v>0.05</v>
      </c>
      <c r="G27" s="33">
        <v>12</v>
      </c>
      <c r="H27" s="400">
        <v>0.6</v>
      </c>
      <c r="I27" s="400">
        <v>0.82199999999999995</v>
      </c>
      <c r="J27" s="33">
        <v>182</v>
      </c>
      <c r="K27" s="33" t="s">
        <v>69</v>
      </c>
      <c r="L27" s="33"/>
      <c r="M27" s="34" t="s">
        <v>81</v>
      </c>
      <c r="N27" s="34"/>
      <c r="O27" s="33">
        <v>120</v>
      </c>
      <c r="P27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7" s="406"/>
      <c r="R27" s="406"/>
      <c r="S27" s="406"/>
      <c r="T27" s="407"/>
      <c r="U27" s="35"/>
      <c r="V27" s="35"/>
      <c r="W27" s="36" t="s">
        <v>71</v>
      </c>
      <c r="X27" s="401">
        <v>0</v>
      </c>
      <c r="Y27" s="402">
        <f>IFERROR(IF(X27="",0,CEILING((X27/$H27),1)*$H27),"")</f>
        <v>0</v>
      </c>
      <c r="Z27" s="37" t="str">
        <f>IFERROR(IF(Y27=0,"",ROUNDUP(Y27/H27,0)*0.00651),"")</f>
        <v/>
      </c>
      <c r="AA27" s="57"/>
      <c r="AB27" s="58"/>
      <c r="AC27" s="74" t="s">
        <v>82</v>
      </c>
      <c r="AG27" s="65"/>
      <c r="AJ27" s="69"/>
      <c r="AK27" s="69">
        <v>0</v>
      </c>
      <c r="BB27" s="75" t="s">
        <v>83</v>
      </c>
      <c r="BM27" s="65">
        <f>IFERROR(X27*I27/H27,"0")</f>
        <v>0</v>
      </c>
      <c r="BN27" s="65">
        <f>IFERROR(Y27*I27/H27,"0")</f>
        <v>0</v>
      </c>
      <c r="BO27" s="65">
        <f>IFERROR(1/J27*(X27/H27),"0")</f>
        <v>0</v>
      </c>
      <c r="BP27" s="65">
        <f>IFERROR(1/J27*(Y27/H27),"0")</f>
        <v>0</v>
      </c>
    </row>
    <row r="28" spans="1:68" x14ac:dyDescent="0.2">
      <c r="A28" s="425"/>
      <c r="B28" s="415"/>
      <c r="C28" s="415"/>
      <c r="D28" s="415"/>
      <c r="E28" s="415"/>
      <c r="F28" s="415"/>
      <c r="G28" s="415"/>
      <c r="H28" s="415"/>
      <c r="I28" s="415"/>
      <c r="J28" s="415"/>
      <c r="K28" s="415"/>
      <c r="L28" s="415"/>
      <c r="M28" s="415"/>
      <c r="N28" s="415"/>
      <c r="O28" s="426"/>
      <c r="P28" s="411" t="s">
        <v>76</v>
      </c>
      <c r="Q28" s="412"/>
      <c r="R28" s="412"/>
      <c r="S28" s="412"/>
      <c r="T28" s="412"/>
      <c r="U28" s="412"/>
      <c r="V28" s="413"/>
      <c r="W28" s="38" t="s">
        <v>77</v>
      </c>
      <c r="X28" s="403">
        <f>IFERROR(X27/H27,"0")</f>
        <v>0</v>
      </c>
      <c r="Y28" s="403">
        <f>IFERROR(Y27/H27,"0")</f>
        <v>0</v>
      </c>
      <c r="Z28" s="403">
        <f>IFERROR(IF(Z27="",0,Z27),"0")</f>
        <v>0</v>
      </c>
      <c r="AA28" s="404"/>
      <c r="AB28" s="404"/>
      <c r="AC28" s="404"/>
    </row>
    <row r="29" spans="1:68" x14ac:dyDescent="0.2">
      <c r="A29" s="415"/>
      <c r="B29" s="415"/>
      <c r="C29" s="415"/>
      <c r="D29" s="415"/>
      <c r="E29" s="415"/>
      <c r="F29" s="415"/>
      <c r="G29" s="415"/>
      <c r="H29" s="415"/>
      <c r="I29" s="415"/>
      <c r="J29" s="415"/>
      <c r="K29" s="415"/>
      <c r="L29" s="415"/>
      <c r="M29" s="415"/>
      <c r="N29" s="415"/>
      <c r="O29" s="426"/>
      <c r="P29" s="411" t="s">
        <v>76</v>
      </c>
      <c r="Q29" s="412"/>
      <c r="R29" s="412"/>
      <c r="S29" s="412"/>
      <c r="T29" s="412"/>
      <c r="U29" s="412"/>
      <c r="V29" s="413"/>
      <c r="W29" s="38" t="s">
        <v>71</v>
      </c>
      <c r="X29" s="403">
        <f>IFERROR(SUM(X27:X27),"0")</f>
        <v>0</v>
      </c>
      <c r="Y29" s="403">
        <f>IFERROR(SUM(Y27:Y27),"0")</f>
        <v>0</v>
      </c>
      <c r="Z29" s="38"/>
      <c r="AA29" s="404"/>
      <c r="AB29" s="404"/>
      <c r="AC29" s="404"/>
    </row>
    <row r="30" spans="1:68" ht="27.75" customHeight="1" x14ac:dyDescent="0.2">
      <c r="A30" s="439" t="s">
        <v>84</v>
      </c>
      <c r="B30" s="440"/>
      <c r="C30" s="440"/>
      <c r="D30" s="440"/>
      <c r="E30" s="440"/>
      <c r="F30" s="440"/>
      <c r="G30" s="440"/>
      <c r="H30" s="440"/>
      <c r="I30" s="440"/>
      <c r="J30" s="440"/>
      <c r="K30" s="440"/>
      <c r="L30" s="440"/>
      <c r="M30" s="440"/>
      <c r="N30" s="440"/>
      <c r="O30" s="440"/>
      <c r="P30" s="440"/>
      <c r="Q30" s="440"/>
      <c r="R30" s="440"/>
      <c r="S30" s="440"/>
      <c r="T30" s="440"/>
      <c r="U30" s="440"/>
      <c r="V30" s="440"/>
      <c r="W30" s="440"/>
      <c r="X30" s="440"/>
      <c r="Y30" s="440"/>
      <c r="Z30" s="440"/>
      <c r="AA30" s="49"/>
      <c r="AB30" s="49"/>
      <c r="AC30" s="49"/>
    </row>
    <row r="31" spans="1:68" ht="16.5" customHeight="1" x14ac:dyDescent="0.25">
      <c r="A31" s="463" t="s">
        <v>85</v>
      </c>
      <c r="B31" s="415"/>
      <c r="C31" s="415"/>
      <c r="D31" s="415"/>
      <c r="E31" s="415"/>
      <c r="F31" s="415"/>
      <c r="G31" s="415"/>
      <c r="H31" s="415"/>
      <c r="I31" s="415"/>
      <c r="J31" s="415"/>
      <c r="K31" s="415"/>
      <c r="L31" s="415"/>
      <c r="M31" s="415"/>
      <c r="N31" s="415"/>
      <c r="O31" s="415"/>
      <c r="P31" s="415"/>
      <c r="Q31" s="415"/>
      <c r="R31" s="415"/>
      <c r="S31" s="415"/>
      <c r="T31" s="415"/>
      <c r="U31" s="415"/>
      <c r="V31" s="415"/>
      <c r="W31" s="415"/>
      <c r="X31" s="415"/>
      <c r="Y31" s="415"/>
      <c r="Z31" s="415"/>
      <c r="AA31" s="396"/>
      <c r="AB31" s="396"/>
      <c r="AC31" s="396"/>
    </row>
    <row r="32" spans="1:68" ht="14.25" customHeight="1" x14ac:dyDescent="0.25">
      <c r="A32" s="414" t="s">
        <v>86</v>
      </c>
      <c r="B32" s="415"/>
      <c r="C32" s="415"/>
      <c r="D32" s="415"/>
      <c r="E32" s="415"/>
      <c r="F32" s="415"/>
      <c r="G32" s="415"/>
      <c r="H32" s="415"/>
      <c r="I32" s="415"/>
      <c r="J32" s="415"/>
      <c r="K32" s="415"/>
      <c r="L32" s="415"/>
      <c r="M32" s="415"/>
      <c r="N32" s="415"/>
      <c r="O32" s="415"/>
      <c r="P32" s="415"/>
      <c r="Q32" s="415"/>
      <c r="R32" s="415"/>
      <c r="S32" s="415"/>
      <c r="T32" s="415"/>
      <c r="U32" s="415"/>
      <c r="V32" s="415"/>
      <c r="W32" s="415"/>
      <c r="X32" s="415"/>
      <c r="Y32" s="415"/>
      <c r="Z32" s="415"/>
      <c r="AA32" s="397"/>
      <c r="AB32" s="397"/>
      <c r="AC32" s="397"/>
    </row>
    <row r="33" spans="1:68" ht="16.5" customHeight="1" x14ac:dyDescent="0.25">
      <c r="A33" s="55" t="s">
        <v>87</v>
      </c>
      <c r="B33" s="55" t="s">
        <v>88</v>
      </c>
      <c r="C33" s="32">
        <v>4301011380</v>
      </c>
      <c r="D33" s="416">
        <v>4607091385670</v>
      </c>
      <c r="E33" s="417"/>
      <c r="F33" s="400">
        <v>1.35</v>
      </c>
      <c r="G33" s="33">
        <v>8</v>
      </c>
      <c r="H33" s="400">
        <v>10.8</v>
      </c>
      <c r="I33" s="400">
        <v>11.234999999999999</v>
      </c>
      <c r="J33" s="33">
        <v>64</v>
      </c>
      <c r="K33" s="33" t="s">
        <v>89</v>
      </c>
      <c r="L33" s="33"/>
      <c r="M33" s="34" t="s">
        <v>90</v>
      </c>
      <c r="N33" s="34"/>
      <c r="O33" s="33">
        <v>50</v>
      </c>
      <c r="P33" s="59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3" s="406"/>
      <c r="R33" s="406"/>
      <c r="S33" s="406"/>
      <c r="T33" s="407"/>
      <c r="U33" s="35"/>
      <c r="V33" s="35"/>
      <c r="W33" s="36" t="s">
        <v>71</v>
      </c>
      <c r="X33" s="401">
        <v>0</v>
      </c>
      <c r="Y33" s="402">
        <f>IFERROR(IF(X33="",0,CEILING((X33/$H33),1)*$H33),"")</f>
        <v>0</v>
      </c>
      <c r="Z33" s="37" t="str">
        <f>IFERROR(IF(Y33=0,"",ROUNDUP(Y33/H33,0)*0.01898),"")</f>
        <v/>
      </c>
      <c r="AA33" s="57"/>
      <c r="AB33" s="58"/>
      <c r="AC33" s="76" t="s">
        <v>91</v>
      </c>
      <c r="AG33" s="65"/>
      <c r="AJ33" s="69"/>
      <c r="AK33" s="69">
        <v>0</v>
      </c>
      <c r="BB33" s="77" t="s">
        <v>1</v>
      </c>
      <c r="BM33" s="65">
        <f>IFERROR(X33*I33/H33,"0")</f>
        <v>0</v>
      </c>
      <c r="BN33" s="65">
        <f>IFERROR(Y33*I33/H33,"0")</f>
        <v>0</v>
      </c>
      <c r="BO33" s="65">
        <f>IFERROR(1/J33*(X33/H33),"0")</f>
        <v>0</v>
      </c>
      <c r="BP33" s="65">
        <f>IFERROR(1/J33*(Y33/H33),"0")</f>
        <v>0</v>
      </c>
    </row>
    <row r="34" spans="1:68" ht="27" customHeight="1" x14ac:dyDescent="0.25">
      <c r="A34" s="55" t="s">
        <v>92</v>
      </c>
      <c r="B34" s="55" t="s">
        <v>93</v>
      </c>
      <c r="C34" s="32">
        <v>4301011382</v>
      </c>
      <c r="D34" s="416">
        <v>4607091385687</v>
      </c>
      <c r="E34" s="417"/>
      <c r="F34" s="400">
        <v>0.4</v>
      </c>
      <c r="G34" s="33">
        <v>10</v>
      </c>
      <c r="H34" s="400">
        <v>4</v>
      </c>
      <c r="I34" s="400">
        <v>4.21</v>
      </c>
      <c r="J34" s="33">
        <v>132</v>
      </c>
      <c r="K34" s="33" t="s">
        <v>94</v>
      </c>
      <c r="L34" s="33"/>
      <c r="M34" s="34" t="s">
        <v>95</v>
      </c>
      <c r="N34" s="34"/>
      <c r="O34" s="33">
        <v>50</v>
      </c>
      <c r="P34" s="60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4" s="406"/>
      <c r="R34" s="406"/>
      <c r="S34" s="406"/>
      <c r="T34" s="407"/>
      <c r="U34" s="35"/>
      <c r="V34" s="35"/>
      <c r="W34" s="36" t="s">
        <v>71</v>
      </c>
      <c r="X34" s="401">
        <v>0</v>
      </c>
      <c r="Y34" s="402">
        <f>IFERROR(IF(X34="",0,CEILING((X34/$H34),1)*$H34),"")</f>
        <v>0</v>
      </c>
      <c r="Z34" s="37" t="str">
        <f>IFERROR(IF(Y34=0,"",ROUNDUP(Y34/H34,0)*0.00902),"")</f>
        <v/>
      </c>
      <c r="AA34" s="57"/>
      <c r="AB34" s="58"/>
      <c r="AC34" s="78" t="s">
        <v>91</v>
      </c>
      <c r="AG34" s="65"/>
      <c r="AJ34" s="69"/>
      <c r="AK34" s="69">
        <v>0</v>
      </c>
      <c r="BB34" s="79" t="s">
        <v>1</v>
      </c>
      <c r="BM34" s="65">
        <f>IFERROR(X34*I34/H34,"0")</f>
        <v>0</v>
      </c>
      <c r="BN34" s="65">
        <f>IFERROR(Y34*I34/H34,"0")</f>
        <v>0</v>
      </c>
      <c r="BO34" s="65">
        <f>IFERROR(1/J34*(X34/H34),"0")</f>
        <v>0</v>
      </c>
      <c r="BP34" s="65">
        <f>IFERROR(1/J34*(Y34/H34),"0")</f>
        <v>0</v>
      </c>
    </row>
    <row r="35" spans="1:68" ht="27" customHeight="1" x14ac:dyDescent="0.25">
      <c r="A35" s="55" t="s">
        <v>96</v>
      </c>
      <c r="B35" s="55" t="s">
        <v>97</v>
      </c>
      <c r="C35" s="32">
        <v>4301011565</v>
      </c>
      <c r="D35" s="416">
        <v>4680115882539</v>
      </c>
      <c r="E35" s="417"/>
      <c r="F35" s="400">
        <v>0.37</v>
      </c>
      <c r="G35" s="33">
        <v>10</v>
      </c>
      <c r="H35" s="400">
        <v>3.7</v>
      </c>
      <c r="I35" s="400">
        <v>3.91</v>
      </c>
      <c r="J35" s="33">
        <v>132</v>
      </c>
      <c r="K35" s="33" t="s">
        <v>94</v>
      </c>
      <c r="L35" s="33"/>
      <c r="M35" s="34" t="s">
        <v>95</v>
      </c>
      <c r="N35" s="34"/>
      <c r="O35" s="33">
        <v>50</v>
      </c>
      <c r="P35" s="59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5" s="406"/>
      <c r="R35" s="406"/>
      <c r="S35" s="406"/>
      <c r="T35" s="407"/>
      <c r="U35" s="35"/>
      <c r="V35" s="35"/>
      <c r="W35" s="36" t="s">
        <v>71</v>
      </c>
      <c r="X35" s="401">
        <v>0</v>
      </c>
      <c r="Y35" s="402">
        <f>IFERROR(IF(X35="",0,CEILING((X35/$H35),1)*$H35),"")</f>
        <v>0</v>
      </c>
      <c r="Z35" s="37" t="str">
        <f>IFERROR(IF(Y35=0,"",ROUNDUP(Y35/H35,0)*0.00902),"")</f>
        <v/>
      </c>
      <c r="AA35" s="57"/>
      <c r="AB35" s="58"/>
      <c r="AC35" s="80" t="s">
        <v>91</v>
      </c>
      <c r="AG35" s="65"/>
      <c r="AJ35" s="69"/>
      <c r="AK35" s="69">
        <v>0</v>
      </c>
      <c r="BB35" s="81" t="s">
        <v>1</v>
      </c>
      <c r="BM35" s="65">
        <f>IFERROR(X35*I35/H35,"0")</f>
        <v>0</v>
      </c>
      <c r="BN35" s="65">
        <f>IFERROR(Y35*I35/H35,"0")</f>
        <v>0</v>
      </c>
      <c r="BO35" s="65">
        <f>IFERROR(1/J35*(X35/H35),"0")</f>
        <v>0</v>
      </c>
      <c r="BP35" s="65">
        <f>IFERROR(1/J35*(Y35/H35),"0")</f>
        <v>0</v>
      </c>
    </row>
    <row r="36" spans="1:68" ht="27" customHeight="1" x14ac:dyDescent="0.25">
      <c r="A36" s="55" t="s">
        <v>98</v>
      </c>
      <c r="B36" s="55" t="s">
        <v>99</v>
      </c>
      <c r="C36" s="32">
        <v>4301011624</v>
      </c>
      <c r="D36" s="416">
        <v>4680115883949</v>
      </c>
      <c r="E36" s="417"/>
      <c r="F36" s="400">
        <v>0.37</v>
      </c>
      <c r="G36" s="33">
        <v>10</v>
      </c>
      <c r="H36" s="400">
        <v>3.7</v>
      </c>
      <c r="I36" s="400">
        <v>3.91</v>
      </c>
      <c r="J36" s="33">
        <v>132</v>
      </c>
      <c r="K36" s="33" t="s">
        <v>94</v>
      </c>
      <c r="L36" s="33"/>
      <c r="M36" s="34" t="s">
        <v>90</v>
      </c>
      <c r="N36" s="34"/>
      <c r="O36" s="33">
        <v>50</v>
      </c>
      <c r="P36" s="61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6" s="406"/>
      <c r="R36" s="406"/>
      <c r="S36" s="406"/>
      <c r="T36" s="407"/>
      <c r="U36" s="35"/>
      <c r="V36" s="35"/>
      <c r="W36" s="36" t="s">
        <v>71</v>
      </c>
      <c r="X36" s="401">
        <v>0</v>
      </c>
      <c r="Y36" s="402">
        <f>IFERROR(IF(X36="",0,CEILING((X36/$H36),1)*$H36),"")</f>
        <v>0</v>
      </c>
      <c r="Z36" s="37" t="str">
        <f>IFERROR(IF(Y36=0,"",ROUNDUP(Y36/H36,0)*0.00902),"")</f>
        <v/>
      </c>
      <c r="AA36" s="57"/>
      <c r="AB36" s="58"/>
      <c r="AC36" s="82" t="s">
        <v>100</v>
      </c>
      <c r="AG36" s="65"/>
      <c r="AJ36" s="69"/>
      <c r="AK36" s="69">
        <v>0</v>
      </c>
      <c r="BB36" s="83" t="s">
        <v>1</v>
      </c>
      <c r="BM36" s="65">
        <f>IFERROR(X36*I36/H36,"0")</f>
        <v>0</v>
      </c>
      <c r="BN36" s="65">
        <f>IFERROR(Y36*I36/H36,"0")</f>
        <v>0</v>
      </c>
      <c r="BO36" s="65">
        <f>IFERROR(1/J36*(X36/H36),"0")</f>
        <v>0</v>
      </c>
      <c r="BP36" s="65">
        <f>IFERROR(1/J36*(Y36/H36),"0")</f>
        <v>0</v>
      </c>
    </row>
    <row r="37" spans="1:68" x14ac:dyDescent="0.2">
      <c r="A37" s="425"/>
      <c r="B37" s="415"/>
      <c r="C37" s="415"/>
      <c r="D37" s="415"/>
      <c r="E37" s="415"/>
      <c r="F37" s="415"/>
      <c r="G37" s="415"/>
      <c r="H37" s="415"/>
      <c r="I37" s="415"/>
      <c r="J37" s="415"/>
      <c r="K37" s="415"/>
      <c r="L37" s="415"/>
      <c r="M37" s="415"/>
      <c r="N37" s="415"/>
      <c r="O37" s="426"/>
      <c r="P37" s="411" t="s">
        <v>76</v>
      </c>
      <c r="Q37" s="412"/>
      <c r="R37" s="412"/>
      <c r="S37" s="412"/>
      <c r="T37" s="412"/>
      <c r="U37" s="412"/>
      <c r="V37" s="413"/>
      <c r="W37" s="38" t="s">
        <v>77</v>
      </c>
      <c r="X37" s="403">
        <f>IFERROR(X33/H33,"0")+IFERROR(X34/H34,"0")+IFERROR(X35/H35,"0")+IFERROR(X36/H36,"0")</f>
        <v>0</v>
      </c>
      <c r="Y37" s="403">
        <f>IFERROR(Y33/H33,"0")+IFERROR(Y34/H34,"0")+IFERROR(Y35/H35,"0")+IFERROR(Y36/H36,"0")</f>
        <v>0</v>
      </c>
      <c r="Z37" s="403">
        <f>IFERROR(IF(Z33="",0,Z33),"0")+IFERROR(IF(Z34="",0,Z34),"0")+IFERROR(IF(Z35="",0,Z35),"0")+IFERROR(IF(Z36="",0,Z36),"0")</f>
        <v>0</v>
      </c>
      <c r="AA37" s="404"/>
      <c r="AB37" s="404"/>
      <c r="AC37" s="404"/>
    </row>
    <row r="38" spans="1:68" x14ac:dyDescent="0.2">
      <c r="A38" s="415"/>
      <c r="B38" s="415"/>
      <c r="C38" s="415"/>
      <c r="D38" s="415"/>
      <c r="E38" s="415"/>
      <c r="F38" s="415"/>
      <c r="G38" s="415"/>
      <c r="H38" s="415"/>
      <c r="I38" s="415"/>
      <c r="J38" s="415"/>
      <c r="K38" s="415"/>
      <c r="L38" s="415"/>
      <c r="M38" s="415"/>
      <c r="N38" s="415"/>
      <c r="O38" s="426"/>
      <c r="P38" s="411" t="s">
        <v>76</v>
      </c>
      <c r="Q38" s="412"/>
      <c r="R38" s="412"/>
      <c r="S38" s="412"/>
      <c r="T38" s="412"/>
      <c r="U38" s="412"/>
      <c r="V38" s="413"/>
      <c r="W38" s="38" t="s">
        <v>71</v>
      </c>
      <c r="X38" s="403">
        <f>IFERROR(SUM(X33:X36),"0")</f>
        <v>0</v>
      </c>
      <c r="Y38" s="403">
        <f>IFERROR(SUM(Y33:Y36),"0")</f>
        <v>0</v>
      </c>
      <c r="Z38" s="38"/>
      <c r="AA38" s="404"/>
      <c r="AB38" s="404"/>
      <c r="AC38" s="404"/>
    </row>
    <row r="39" spans="1:68" ht="16.5" customHeight="1" x14ac:dyDescent="0.25">
      <c r="A39" s="463" t="s">
        <v>101</v>
      </c>
      <c r="B39" s="415"/>
      <c r="C39" s="415"/>
      <c r="D39" s="415"/>
      <c r="E39" s="415"/>
      <c r="F39" s="415"/>
      <c r="G39" s="415"/>
      <c r="H39" s="415"/>
      <c r="I39" s="415"/>
      <c r="J39" s="415"/>
      <c r="K39" s="415"/>
      <c r="L39" s="415"/>
      <c r="M39" s="415"/>
      <c r="N39" s="415"/>
      <c r="O39" s="415"/>
      <c r="P39" s="415"/>
      <c r="Q39" s="415"/>
      <c r="R39" s="415"/>
      <c r="S39" s="415"/>
      <c r="T39" s="415"/>
      <c r="U39" s="415"/>
      <c r="V39" s="415"/>
      <c r="W39" s="415"/>
      <c r="X39" s="415"/>
      <c r="Y39" s="415"/>
      <c r="Z39" s="415"/>
      <c r="AA39" s="396"/>
      <c r="AB39" s="396"/>
      <c r="AC39" s="396"/>
    </row>
    <row r="40" spans="1:68" ht="14.25" customHeight="1" x14ac:dyDescent="0.25">
      <c r="A40" s="414" t="s">
        <v>86</v>
      </c>
      <c r="B40" s="415"/>
      <c r="C40" s="415"/>
      <c r="D40" s="415"/>
      <c r="E40" s="415"/>
      <c r="F40" s="415"/>
      <c r="G40" s="415"/>
      <c r="H40" s="415"/>
      <c r="I40" s="415"/>
      <c r="J40" s="415"/>
      <c r="K40" s="415"/>
      <c r="L40" s="415"/>
      <c r="M40" s="415"/>
      <c r="N40" s="415"/>
      <c r="O40" s="415"/>
      <c r="P40" s="415"/>
      <c r="Q40" s="415"/>
      <c r="R40" s="415"/>
      <c r="S40" s="415"/>
      <c r="T40" s="415"/>
      <c r="U40" s="415"/>
      <c r="V40" s="415"/>
      <c r="W40" s="415"/>
      <c r="X40" s="415"/>
      <c r="Y40" s="415"/>
      <c r="Z40" s="415"/>
      <c r="AA40" s="397"/>
      <c r="AB40" s="397"/>
      <c r="AC40" s="397"/>
    </row>
    <row r="41" spans="1:68" ht="27" customHeight="1" x14ac:dyDescent="0.25">
      <c r="A41" s="55" t="s">
        <v>102</v>
      </c>
      <c r="B41" s="55" t="s">
        <v>103</v>
      </c>
      <c r="C41" s="32">
        <v>4301012030</v>
      </c>
      <c r="D41" s="416">
        <v>4680115885882</v>
      </c>
      <c r="E41" s="417"/>
      <c r="F41" s="400">
        <v>1.4</v>
      </c>
      <c r="G41" s="33">
        <v>8</v>
      </c>
      <c r="H41" s="400">
        <v>11.2</v>
      </c>
      <c r="I41" s="400">
        <v>11.635</v>
      </c>
      <c r="J41" s="33">
        <v>64</v>
      </c>
      <c r="K41" s="33" t="s">
        <v>89</v>
      </c>
      <c r="L41" s="33"/>
      <c r="M41" s="34" t="s">
        <v>95</v>
      </c>
      <c r="N41" s="34"/>
      <c r="O41" s="33">
        <v>50</v>
      </c>
      <c r="P41" s="6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1" s="406"/>
      <c r="R41" s="406"/>
      <c r="S41" s="406"/>
      <c r="T41" s="407"/>
      <c r="U41" s="35"/>
      <c r="V41" s="35"/>
      <c r="W41" s="36" t="s">
        <v>71</v>
      </c>
      <c r="X41" s="401">
        <v>0</v>
      </c>
      <c r="Y41" s="402">
        <f t="shared" ref="Y41:Y46" si="0">IFERROR(IF(X41="",0,CEILING((X41/$H41),1)*$H41),"")</f>
        <v>0</v>
      </c>
      <c r="Z41" s="37" t="str">
        <f>IFERROR(IF(Y41=0,"",ROUNDUP(Y41/H41,0)*0.01898),"")</f>
        <v/>
      </c>
      <c r="AA41" s="57"/>
      <c r="AB41" s="58"/>
      <c r="AC41" s="84" t="s">
        <v>104</v>
      </c>
      <c r="AG41" s="65"/>
      <c r="AJ41" s="69"/>
      <c r="AK41" s="69">
        <v>0</v>
      </c>
      <c r="BB41" s="85" t="s">
        <v>1</v>
      </c>
      <c r="BM41" s="65">
        <f t="shared" ref="BM41:BM46" si="1">IFERROR(X41*I41/H41,"0")</f>
        <v>0</v>
      </c>
      <c r="BN41" s="65">
        <f t="shared" ref="BN41:BN46" si="2">IFERROR(Y41*I41/H41,"0")</f>
        <v>0</v>
      </c>
      <c r="BO41" s="65">
        <f t="shared" ref="BO41:BO46" si="3">IFERROR(1/J41*(X41/H41),"0")</f>
        <v>0</v>
      </c>
      <c r="BP41" s="65">
        <f t="shared" ref="BP41:BP46" si="4">IFERROR(1/J41*(Y41/H41),"0")</f>
        <v>0</v>
      </c>
    </row>
    <row r="42" spans="1:68" ht="27" customHeight="1" x14ac:dyDescent="0.25">
      <c r="A42" s="55" t="s">
        <v>105</v>
      </c>
      <c r="B42" s="55" t="s">
        <v>106</v>
      </c>
      <c r="C42" s="32">
        <v>4301011816</v>
      </c>
      <c r="D42" s="416">
        <v>4680115881426</v>
      </c>
      <c r="E42" s="417"/>
      <c r="F42" s="400">
        <v>1.35</v>
      </c>
      <c r="G42" s="33">
        <v>8</v>
      </c>
      <c r="H42" s="400">
        <v>10.8</v>
      </c>
      <c r="I42" s="400">
        <v>11.234999999999999</v>
      </c>
      <c r="J42" s="33">
        <v>64</v>
      </c>
      <c r="K42" s="33" t="s">
        <v>89</v>
      </c>
      <c r="L42" s="33"/>
      <c r="M42" s="34" t="s">
        <v>90</v>
      </c>
      <c r="N42" s="34"/>
      <c r="O42" s="33">
        <v>50</v>
      </c>
      <c r="P42" s="46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2" s="406"/>
      <c r="R42" s="406"/>
      <c r="S42" s="406"/>
      <c r="T42" s="407"/>
      <c r="U42" s="35"/>
      <c r="V42" s="35"/>
      <c r="W42" s="36" t="s">
        <v>71</v>
      </c>
      <c r="X42" s="401">
        <v>100</v>
      </c>
      <c r="Y42" s="402">
        <f t="shared" si="0"/>
        <v>108</v>
      </c>
      <c r="Z42" s="37">
        <f>IFERROR(IF(Y42=0,"",ROUNDUP(Y42/H42,0)*0.01898),"")</f>
        <v>0.1898</v>
      </c>
      <c r="AA42" s="57"/>
      <c r="AB42" s="58"/>
      <c r="AC42" s="86" t="s">
        <v>107</v>
      </c>
      <c r="AG42" s="65"/>
      <c r="AJ42" s="69"/>
      <c r="AK42" s="69">
        <v>0</v>
      </c>
      <c r="BB42" s="87" t="s">
        <v>1</v>
      </c>
      <c r="BM42" s="65">
        <f t="shared" si="1"/>
        <v>104.02777777777777</v>
      </c>
      <c r="BN42" s="65">
        <f t="shared" si="2"/>
        <v>112.34999999999998</v>
      </c>
      <c r="BO42" s="65">
        <f t="shared" si="3"/>
        <v>0.14467592592592593</v>
      </c>
      <c r="BP42" s="65">
        <f t="shared" si="4"/>
        <v>0.15625</v>
      </c>
    </row>
    <row r="43" spans="1:68" ht="27" customHeight="1" x14ac:dyDescent="0.25">
      <c r="A43" s="55" t="s">
        <v>108</v>
      </c>
      <c r="B43" s="55" t="s">
        <v>109</v>
      </c>
      <c r="C43" s="32">
        <v>4301011386</v>
      </c>
      <c r="D43" s="416">
        <v>4680115880283</v>
      </c>
      <c r="E43" s="417"/>
      <c r="F43" s="400">
        <v>0.6</v>
      </c>
      <c r="G43" s="33">
        <v>8</v>
      </c>
      <c r="H43" s="400">
        <v>4.8</v>
      </c>
      <c r="I43" s="400">
        <v>5.01</v>
      </c>
      <c r="J43" s="33">
        <v>132</v>
      </c>
      <c r="K43" s="33" t="s">
        <v>94</v>
      </c>
      <c r="L43" s="33"/>
      <c r="M43" s="34" t="s">
        <v>90</v>
      </c>
      <c r="N43" s="34"/>
      <c r="O43" s="33">
        <v>45</v>
      </c>
      <c r="P43" s="52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3" s="406"/>
      <c r="R43" s="406"/>
      <c r="S43" s="406"/>
      <c r="T43" s="407"/>
      <c r="U43" s="35"/>
      <c r="V43" s="35"/>
      <c r="W43" s="36" t="s">
        <v>71</v>
      </c>
      <c r="X43" s="401">
        <v>0</v>
      </c>
      <c r="Y43" s="402">
        <f t="shared" si="0"/>
        <v>0</v>
      </c>
      <c r="Z43" s="37" t="str">
        <f>IFERROR(IF(Y43=0,"",ROUNDUP(Y43/H43,0)*0.00902),"")</f>
        <v/>
      </c>
      <c r="AA43" s="57"/>
      <c r="AB43" s="58"/>
      <c r="AC43" s="88" t="s">
        <v>110</v>
      </c>
      <c r="AG43" s="65"/>
      <c r="AJ43" s="69"/>
      <c r="AK43" s="69">
        <v>0</v>
      </c>
      <c r="BB43" s="89" t="s">
        <v>1</v>
      </c>
      <c r="BM43" s="65">
        <f t="shared" si="1"/>
        <v>0</v>
      </c>
      <c r="BN43" s="65">
        <f t="shared" si="2"/>
        <v>0</v>
      </c>
      <c r="BO43" s="65">
        <f t="shared" si="3"/>
        <v>0</v>
      </c>
      <c r="BP43" s="65">
        <f t="shared" si="4"/>
        <v>0</v>
      </c>
    </row>
    <row r="44" spans="1:68" ht="16.5" customHeight="1" x14ac:dyDescent="0.25">
      <c r="A44" s="55" t="s">
        <v>111</v>
      </c>
      <c r="B44" s="55" t="s">
        <v>112</v>
      </c>
      <c r="C44" s="32">
        <v>4301011806</v>
      </c>
      <c r="D44" s="416">
        <v>4680115881525</v>
      </c>
      <c r="E44" s="417"/>
      <c r="F44" s="400">
        <v>0.4</v>
      </c>
      <c r="G44" s="33">
        <v>10</v>
      </c>
      <c r="H44" s="400">
        <v>4</v>
      </c>
      <c r="I44" s="400">
        <v>4.21</v>
      </c>
      <c r="J44" s="33">
        <v>132</v>
      </c>
      <c r="K44" s="33" t="s">
        <v>94</v>
      </c>
      <c r="L44" s="33"/>
      <c r="M44" s="34" t="s">
        <v>90</v>
      </c>
      <c r="N44" s="34"/>
      <c r="O44" s="33">
        <v>50</v>
      </c>
      <c r="P44" s="45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44" s="406"/>
      <c r="R44" s="406"/>
      <c r="S44" s="406"/>
      <c r="T44" s="407"/>
      <c r="U44" s="35"/>
      <c r="V44" s="35"/>
      <c r="W44" s="36" t="s">
        <v>71</v>
      </c>
      <c r="X44" s="401">
        <v>0</v>
      </c>
      <c r="Y44" s="402">
        <f t="shared" si="0"/>
        <v>0</v>
      </c>
      <c r="Z44" s="37" t="str">
        <f>IFERROR(IF(Y44=0,"",ROUNDUP(Y44/H44,0)*0.00902),"")</f>
        <v/>
      </c>
      <c r="AA44" s="57"/>
      <c r="AB44" s="58"/>
      <c r="AC44" s="90" t="s">
        <v>107</v>
      </c>
      <c r="AG44" s="65"/>
      <c r="AJ44" s="69"/>
      <c r="AK44" s="69">
        <v>0</v>
      </c>
      <c r="BB44" s="91" t="s">
        <v>1</v>
      </c>
      <c r="BM44" s="65">
        <f t="shared" si="1"/>
        <v>0</v>
      </c>
      <c r="BN44" s="65">
        <f t="shared" si="2"/>
        <v>0</v>
      </c>
      <c r="BO44" s="65">
        <f t="shared" si="3"/>
        <v>0</v>
      </c>
      <c r="BP44" s="65">
        <f t="shared" si="4"/>
        <v>0</v>
      </c>
    </row>
    <row r="45" spans="1:68" ht="27" customHeight="1" x14ac:dyDescent="0.25">
      <c r="A45" s="55" t="s">
        <v>113</v>
      </c>
      <c r="B45" s="55" t="s">
        <v>114</v>
      </c>
      <c r="C45" s="32">
        <v>4301011589</v>
      </c>
      <c r="D45" s="416">
        <v>4680115885899</v>
      </c>
      <c r="E45" s="417"/>
      <c r="F45" s="400">
        <v>0.35</v>
      </c>
      <c r="G45" s="33">
        <v>6</v>
      </c>
      <c r="H45" s="400">
        <v>2.1</v>
      </c>
      <c r="I45" s="400">
        <v>2.2799999999999998</v>
      </c>
      <c r="J45" s="33">
        <v>182</v>
      </c>
      <c r="K45" s="33" t="s">
        <v>69</v>
      </c>
      <c r="L45" s="33"/>
      <c r="M45" s="34" t="s">
        <v>115</v>
      </c>
      <c r="N45" s="34"/>
      <c r="O45" s="33">
        <v>50</v>
      </c>
      <c r="P45" s="57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45" s="406"/>
      <c r="R45" s="406"/>
      <c r="S45" s="406"/>
      <c r="T45" s="407"/>
      <c r="U45" s="35"/>
      <c r="V45" s="35"/>
      <c r="W45" s="36" t="s">
        <v>71</v>
      </c>
      <c r="X45" s="401">
        <v>0</v>
      </c>
      <c r="Y45" s="402">
        <f t="shared" si="0"/>
        <v>0</v>
      </c>
      <c r="Z45" s="37" t="str">
        <f>IFERROR(IF(Y45=0,"",ROUNDUP(Y45/H45,0)*0.00651),"")</f>
        <v/>
      </c>
      <c r="AA45" s="57"/>
      <c r="AB45" s="58"/>
      <c r="AC45" s="92" t="s">
        <v>116</v>
      </c>
      <c r="AG45" s="65"/>
      <c r="AJ45" s="69"/>
      <c r="AK45" s="69">
        <v>0</v>
      </c>
      <c r="BB45" s="93" t="s">
        <v>1</v>
      </c>
      <c r="BM45" s="65">
        <f t="shared" si="1"/>
        <v>0</v>
      </c>
      <c r="BN45" s="65">
        <f t="shared" si="2"/>
        <v>0</v>
      </c>
      <c r="BO45" s="65">
        <f t="shared" si="3"/>
        <v>0</v>
      </c>
      <c r="BP45" s="65">
        <f t="shared" si="4"/>
        <v>0</v>
      </c>
    </row>
    <row r="46" spans="1:68" ht="27" customHeight="1" x14ac:dyDescent="0.25">
      <c r="A46" s="55" t="s">
        <v>117</v>
      </c>
      <c r="B46" s="55" t="s">
        <v>118</v>
      </c>
      <c r="C46" s="32">
        <v>4301011801</v>
      </c>
      <c r="D46" s="416">
        <v>4680115881419</v>
      </c>
      <c r="E46" s="417"/>
      <c r="F46" s="400">
        <v>0.45</v>
      </c>
      <c r="G46" s="33">
        <v>10</v>
      </c>
      <c r="H46" s="400">
        <v>4.5</v>
      </c>
      <c r="I46" s="400">
        <v>4.71</v>
      </c>
      <c r="J46" s="33">
        <v>132</v>
      </c>
      <c r="K46" s="33" t="s">
        <v>94</v>
      </c>
      <c r="L46" s="33"/>
      <c r="M46" s="34" t="s">
        <v>90</v>
      </c>
      <c r="N46" s="34"/>
      <c r="O46" s="33">
        <v>50</v>
      </c>
      <c r="P46" s="5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46" s="406"/>
      <c r="R46" s="406"/>
      <c r="S46" s="406"/>
      <c r="T46" s="407"/>
      <c r="U46" s="35"/>
      <c r="V46" s="35"/>
      <c r="W46" s="36" t="s">
        <v>71</v>
      </c>
      <c r="X46" s="401">
        <v>0</v>
      </c>
      <c r="Y46" s="402">
        <f t="shared" si="0"/>
        <v>0</v>
      </c>
      <c r="Z46" s="37" t="str">
        <f>IFERROR(IF(Y46=0,"",ROUNDUP(Y46/H46,0)*0.00902),"")</f>
        <v/>
      </c>
      <c r="AA46" s="57"/>
      <c r="AB46" s="58"/>
      <c r="AC46" s="94" t="s">
        <v>119</v>
      </c>
      <c r="AG46" s="65"/>
      <c r="AJ46" s="69"/>
      <c r="AK46" s="69">
        <v>0</v>
      </c>
      <c r="BB46" s="95" t="s">
        <v>1</v>
      </c>
      <c r="BM46" s="65">
        <f t="shared" si="1"/>
        <v>0</v>
      </c>
      <c r="BN46" s="65">
        <f t="shared" si="2"/>
        <v>0</v>
      </c>
      <c r="BO46" s="65">
        <f t="shared" si="3"/>
        <v>0</v>
      </c>
      <c r="BP46" s="65">
        <f t="shared" si="4"/>
        <v>0</v>
      </c>
    </row>
    <row r="47" spans="1:68" x14ac:dyDescent="0.2">
      <c r="A47" s="425"/>
      <c r="B47" s="415"/>
      <c r="C47" s="415"/>
      <c r="D47" s="415"/>
      <c r="E47" s="415"/>
      <c r="F47" s="415"/>
      <c r="G47" s="415"/>
      <c r="H47" s="415"/>
      <c r="I47" s="415"/>
      <c r="J47" s="415"/>
      <c r="K47" s="415"/>
      <c r="L47" s="415"/>
      <c r="M47" s="415"/>
      <c r="N47" s="415"/>
      <c r="O47" s="426"/>
      <c r="P47" s="411" t="s">
        <v>76</v>
      </c>
      <c r="Q47" s="412"/>
      <c r="R47" s="412"/>
      <c r="S47" s="412"/>
      <c r="T47" s="412"/>
      <c r="U47" s="412"/>
      <c r="V47" s="413"/>
      <c r="W47" s="38" t="s">
        <v>77</v>
      </c>
      <c r="X47" s="403">
        <f>IFERROR(X41/H41,"0")+IFERROR(X42/H42,"0")+IFERROR(X43/H43,"0")+IFERROR(X44/H44,"0")+IFERROR(X45/H45,"0")+IFERROR(X46/H46,"0")</f>
        <v>9.2592592592592595</v>
      </c>
      <c r="Y47" s="403">
        <f>IFERROR(Y41/H41,"0")+IFERROR(Y42/H42,"0")+IFERROR(Y43/H43,"0")+IFERROR(Y44/H44,"0")+IFERROR(Y45/H45,"0")+IFERROR(Y46/H46,"0")</f>
        <v>10</v>
      </c>
      <c r="Z47" s="403">
        <f>IFERROR(IF(Z41="",0,Z41),"0")+IFERROR(IF(Z42="",0,Z42),"0")+IFERROR(IF(Z43="",0,Z43),"0")+IFERROR(IF(Z44="",0,Z44),"0")+IFERROR(IF(Z45="",0,Z45),"0")+IFERROR(IF(Z46="",0,Z46),"0")</f>
        <v>0.1898</v>
      </c>
      <c r="AA47" s="404"/>
      <c r="AB47" s="404"/>
      <c r="AC47" s="404"/>
    </row>
    <row r="48" spans="1:68" x14ac:dyDescent="0.2">
      <c r="A48" s="415"/>
      <c r="B48" s="415"/>
      <c r="C48" s="415"/>
      <c r="D48" s="415"/>
      <c r="E48" s="415"/>
      <c r="F48" s="415"/>
      <c r="G48" s="415"/>
      <c r="H48" s="415"/>
      <c r="I48" s="415"/>
      <c r="J48" s="415"/>
      <c r="K48" s="415"/>
      <c r="L48" s="415"/>
      <c r="M48" s="415"/>
      <c r="N48" s="415"/>
      <c r="O48" s="426"/>
      <c r="P48" s="411" t="s">
        <v>76</v>
      </c>
      <c r="Q48" s="412"/>
      <c r="R48" s="412"/>
      <c r="S48" s="412"/>
      <c r="T48" s="412"/>
      <c r="U48" s="412"/>
      <c r="V48" s="413"/>
      <c r="W48" s="38" t="s">
        <v>71</v>
      </c>
      <c r="X48" s="403">
        <f>IFERROR(SUM(X41:X46),"0")</f>
        <v>100</v>
      </c>
      <c r="Y48" s="403">
        <f>IFERROR(SUM(Y41:Y46),"0")</f>
        <v>108</v>
      </c>
      <c r="Z48" s="38"/>
      <c r="AA48" s="404"/>
      <c r="AB48" s="404"/>
      <c r="AC48" s="404"/>
    </row>
    <row r="49" spans="1:68" ht="14.25" customHeight="1" x14ac:dyDescent="0.25">
      <c r="A49" s="414" t="s">
        <v>120</v>
      </c>
      <c r="B49" s="415"/>
      <c r="C49" s="415"/>
      <c r="D49" s="415"/>
      <c r="E49" s="415"/>
      <c r="F49" s="415"/>
      <c r="G49" s="415"/>
      <c r="H49" s="415"/>
      <c r="I49" s="415"/>
      <c r="J49" s="415"/>
      <c r="K49" s="415"/>
      <c r="L49" s="415"/>
      <c r="M49" s="415"/>
      <c r="N49" s="415"/>
      <c r="O49" s="415"/>
      <c r="P49" s="415"/>
      <c r="Q49" s="415"/>
      <c r="R49" s="415"/>
      <c r="S49" s="415"/>
      <c r="T49" s="415"/>
      <c r="U49" s="415"/>
      <c r="V49" s="415"/>
      <c r="W49" s="415"/>
      <c r="X49" s="415"/>
      <c r="Y49" s="415"/>
      <c r="Z49" s="415"/>
      <c r="AA49" s="397"/>
      <c r="AB49" s="397"/>
      <c r="AC49" s="397"/>
    </row>
    <row r="50" spans="1:68" ht="16.5" customHeight="1" x14ac:dyDescent="0.25">
      <c r="A50" s="55" t="s">
        <v>121</v>
      </c>
      <c r="B50" s="55" t="s">
        <v>122</v>
      </c>
      <c r="C50" s="32">
        <v>4301020298</v>
      </c>
      <c r="D50" s="416">
        <v>4680115881440</v>
      </c>
      <c r="E50" s="417"/>
      <c r="F50" s="400">
        <v>1.35</v>
      </c>
      <c r="G50" s="33">
        <v>8</v>
      </c>
      <c r="H50" s="400">
        <v>10.8</v>
      </c>
      <c r="I50" s="400">
        <v>11.234999999999999</v>
      </c>
      <c r="J50" s="33">
        <v>64</v>
      </c>
      <c r="K50" s="33" t="s">
        <v>89</v>
      </c>
      <c r="L50" s="33"/>
      <c r="M50" s="34" t="s">
        <v>90</v>
      </c>
      <c r="N50" s="34"/>
      <c r="O50" s="33">
        <v>50</v>
      </c>
      <c r="P50" s="48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0" s="406"/>
      <c r="R50" s="406"/>
      <c r="S50" s="406"/>
      <c r="T50" s="407"/>
      <c r="U50" s="35"/>
      <c r="V50" s="35"/>
      <c r="W50" s="36" t="s">
        <v>71</v>
      </c>
      <c r="X50" s="401">
        <v>0</v>
      </c>
      <c r="Y50" s="402">
        <f>IFERROR(IF(X50="",0,CEILING((X50/$H50),1)*$H50),"")</f>
        <v>0</v>
      </c>
      <c r="Z50" s="37" t="str">
        <f>IFERROR(IF(Y50=0,"",ROUNDUP(Y50/H50,0)*0.01898),"")</f>
        <v/>
      </c>
      <c r="AA50" s="57"/>
      <c r="AB50" s="58"/>
      <c r="AC50" s="96" t="s">
        <v>123</v>
      </c>
      <c r="AG50" s="65"/>
      <c r="AJ50" s="69"/>
      <c r="AK50" s="69">
        <v>0</v>
      </c>
      <c r="BB50" s="97" t="s">
        <v>1</v>
      </c>
      <c r="BM50" s="65">
        <f>IFERROR(X50*I50/H50,"0")</f>
        <v>0</v>
      </c>
      <c r="BN50" s="65">
        <f>IFERROR(Y50*I50/H50,"0")</f>
        <v>0</v>
      </c>
      <c r="BO50" s="65">
        <f>IFERROR(1/J50*(X50/H50),"0")</f>
        <v>0</v>
      </c>
      <c r="BP50" s="65">
        <f>IFERROR(1/J50*(Y50/H50),"0")</f>
        <v>0</v>
      </c>
    </row>
    <row r="51" spans="1:68" ht="27" customHeight="1" x14ac:dyDescent="0.25">
      <c r="A51" s="55" t="s">
        <v>124</v>
      </c>
      <c r="B51" s="55" t="s">
        <v>125</v>
      </c>
      <c r="C51" s="32">
        <v>4301020228</v>
      </c>
      <c r="D51" s="416">
        <v>4680115882751</v>
      </c>
      <c r="E51" s="417"/>
      <c r="F51" s="400">
        <v>0.45</v>
      </c>
      <c r="G51" s="33">
        <v>10</v>
      </c>
      <c r="H51" s="400">
        <v>4.5</v>
      </c>
      <c r="I51" s="400">
        <v>4.71</v>
      </c>
      <c r="J51" s="33">
        <v>132</v>
      </c>
      <c r="K51" s="33" t="s">
        <v>94</v>
      </c>
      <c r="L51" s="33"/>
      <c r="M51" s="34" t="s">
        <v>90</v>
      </c>
      <c r="N51" s="34"/>
      <c r="O51" s="33">
        <v>90</v>
      </c>
      <c r="P51" s="54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1" s="406"/>
      <c r="R51" s="406"/>
      <c r="S51" s="406"/>
      <c r="T51" s="407"/>
      <c r="U51" s="35"/>
      <c r="V51" s="35"/>
      <c r="W51" s="36" t="s">
        <v>71</v>
      </c>
      <c r="X51" s="401">
        <v>0</v>
      </c>
      <c r="Y51" s="402">
        <f>IFERROR(IF(X51="",0,CEILING((X51/$H51),1)*$H51),"")</f>
        <v>0</v>
      </c>
      <c r="Z51" s="37" t="str">
        <f>IFERROR(IF(Y51=0,"",ROUNDUP(Y51/H51,0)*0.00902),"")</f>
        <v/>
      </c>
      <c r="AA51" s="57"/>
      <c r="AB51" s="58"/>
      <c r="AC51" s="98" t="s">
        <v>126</v>
      </c>
      <c r="AG51" s="65"/>
      <c r="AJ51" s="69"/>
      <c r="AK51" s="69">
        <v>0</v>
      </c>
      <c r="BB51" s="99" t="s">
        <v>1</v>
      </c>
      <c r="BM51" s="65">
        <f>IFERROR(X51*I51/H51,"0")</f>
        <v>0</v>
      </c>
      <c r="BN51" s="65">
        <f>IFERROR(Y51*I51/H51,"0")</f>
        <v>0</v>
      </c>
      <c r="BO51" s="65">
        <f>IFERROR(1/J51*(X51/H51),"0")</f>
        <v>0</v>
      </c>
      <c r="BP51" s="65">
        <f>IFERROR(1/J51*(Y51/H51),"0")</f>
        <v>0</v>
      </c>
    </row>
    <row r="52" spans="1:68" ht="16.5" customHeight="1" x14ac:dyDescent="0.25">
      <c r="A52" s="55" t="s">
        <v>127</v>
      </c>
      <c r="B52" s="55" t="s">
        <v>128</v>
      </c>
      <c r="C52" s="32">
        <v>4301020358</v>
      </c>
      <c r="D52" s="416">
        <v>4680115885950</v>
      </c>
      <c r="E52" s="417"/>
      <c r="F52" s="400">
        <v>0.37</v>
      </c>
      <c r="G52" s="33">
        <v>6</v>
      </c>
      <c r="H52" s="400">
        <v>2.2200000000000002</v>
      </c>
      <c r="I52" s="400">
        <v>2.4</v>
      </c>
      <c r="J52" s="33">
        <v>182</v>
      </c>
      <c r="K52" s="33" t="s">
        <v>69</v>
      </c>
      <c r="L52" s="33"/>
      <c r="M52" s="34" t="s">
        <v>95</v>
      </c>
      <c r="N52" s="34"/>
      <c r="O52" s="33">
        <v>50</v>
      </c>
      <c r="P52" s="48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2" s="406"/>
      <c r="R52" s="406"/>
      <c r="S52" s="406"/>
      <c r="T52" s="407"/>
      <c r="U52" s="35"/>
      <c r="V52" s="35"/>
      <c r="W52" s="36" t="s">
        <v>71</v>
      </c>
      <c r="X52" s="401">
        <v>0</v>
      </c>
      <c r="Y52" s="402">
        <f>IFERROR(IF(X52="",0,CEILING((X52/$H52),1)*$H52),"")</f>
        <v>0</v>
      </c>
      <c r="Z52" s="37" t="str">
        <f>IFERROR(IF(Y52=0,"",ROUNDUP(Y52/H52,0)*0.00651),"")</f>
        <v/>
      </c>
      <c r="AA52" s="57"/>
      <c r="AB52" s="58"/>
      <c r="AC52" s="100" t="s">
        <v>123</v>
      </c>
      <c r="AG52" s="65"/>
      <c r="AJ52" s="69"/>
      <c r="AK52" s="69">
        <v>0</v>
      </c>
      <c r="BB52" s="101" t="s">
        <v>1</v>
      </c>
      <c r="BM52" s="65">
        <f>IFERROR(X52*I52/H52,"0")</f>
        <v>0</v>
      </c>
      <c r="BN52" s="65">
        <f>IFERROR(Y52*I52/H52,"0")</f>
        <v>0</v>
      </c>
      <c r="BO52" s="65">
        <f>IFERROR(1/J52*(X52/H52),"0")</f>
        <v>0</v>
      </c>
      <c r="BP52" s="65">
        <f>IFERROR(1/J52*(Y52/H52),"0")</f>
        <v>0</v>
      </c>
    </row>
    <row r="53" spans="1:68" ht="27" customHeight="1" x14ac:dyDescent="0.25">
      <c r="A53" s="55" t="s">
        <v>129</v>
      </c>
      <c r="B53" s="55" t="s">
        <v>130</v>
      </c>
      <c r="C53" s="32">
        <v>4301020296</v>
      </c>
      <c r="D53" s="416">
        <v>4680115881433</v>
      </c>
      <c r="E53" s="417"/>
      <c r="F53" s="400">
        <v>0.45</v>
      </c>
      <c r="G53" s="33">
        <v>6</v>
      </c>
      <c r="H53" s="400">
        <v>2.7</v>
      </c>
      <c r="I53" s="400">
        <v>2.88</v>
      </c>
      <c r="J53" s="33">
        <v>182</v>
      </c>
      <c r="K53" s="33" t="s">
        <v>69</v>
      </c>
      <c r="L53" s="33"/>
      <c r="M53" s="34" t="s">
        <v>90</v>
      </c>
      <c r="N53" s="34"/>
      <c r="O53" s="33">
        <v>50</v>
      </c>
      <c r="P53" s="51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53" s="406"/>
      <c r="R53" s="406"/>
      <c r="S53" s="406"/>
      <c r="T53" s="407"/>
      <c r="U53" s="35"/>
      <c r="V53" s="35"/>
      <c r="W53" s="36" t="s">
        <v>71</v>
      </c>
      <c r="X53" s="401">
        <v>0</v>
      </c>
      <c r="Y53" s="402">
        <f>IFERROR(IF(X53="",0,CEILING((X53/$H53),1)*$H53),"")</f>
        <v>0</v>
      </c>
      <c r="Z53" s="37" t="str">
        <f>IFERROR(IF(Y53=0,"",ROUNDUP(Y53/H53,0)*0.00651),"")</f>
        <v/>
      </c>
      <c r="AA53" s="57"/>
      <c r="AB53" s="58"/>
      <c r="AC53" s="102" t="s">
        <v>123</v>
      </c>
      <c r="AG53" s="65"/>
      <c r="AJ53" s="69"/>
      <c r="AK53" s="69">
        <v>0</v>
      </c>
      <c r="BB53" s="103" t="s">
        <v>1</v>
      </c>
      <c r="BM53" s="65">
        <f>IFERROR(X53*I53/H53,"0")</f>
        <v>0</v>
      </c>
      <c r="BN53" s="65">
        <f>IFERROR(Y53*I53/H53,"0")</f>
        <v>0</v>
      </c>
      <c r="BO53" s="65">
        <f>IFERROR(1/J53*(X53/H53),"0")</f>
        <v>0</v>
      </c>
      <c r="BP53" s="65">
        <f>IFERROR(1/J53*(Y53/H53),"0")</f>
        <v>0</v>
      </c>
    </row>
    <row r="54" spans="1:68" x14ac:dyDescent="0.2">
      <c r="A54" s="425"/>
      <c r="B54" s="415"/>
      <c r="C54" s="415"/>
      <c r="D54" s="415"/>
      <c r="E54" s="415"/>
      <c r="F54" s="415"/>
      <c r="G54" s="415"/>
      <c r="H54" s="415"/>
      <c r="I54" s="415"/>
      <c r="J54" s="415"/>
      <c r="K54" s="415"/>
      <c r="L54" s="415"/>
      <c r="M54" s="415"/>
      <c r="N54" s="415"/>
      <c r="O54" s="426"/>
      <c r="P54" s="411" t="s">
        <v>76</v>
      </c>
      <c r="Q54" s="412"/>
      <c r="R54" s="412"/>
      <c r="S54" s="412"/>
      <c r="T54" s="412"/>
      <c r="U54" s="412"/>
      <c r="V54" s="413"/>
      <c r="W54" s="38" t="s">
        <v>77</v>
      </c>
      <c r="X54" s="403">
        <f>IFERROR(X50/H50,"0")+IFERROR(X51/H51,"0")+IFERROR(X52/H52,"0")+IFERROR(X53/H53,"0")</f>
        <v>0</v>
      </c>
      <c r="Y54" s="403">
        <f>IFERROR(Y50/H50,"0")+IFERROR(Y51/H51,"0")+IFERROR(Y52/H52,"0")+IFERROR(Y53/H53,"0")</f>
        <v>0</v>
      </c>
      <c r="Z54" s="403">
        <f>IFERROR(IF(Z50="",0,Z50),"0")+IFERROR(IF(Z51="",0,Z51),"0")+IFERROR(IF(Z52="",0,Z52),"0")+IFERROR(IF(Z53="",0,Z53),"0")</f>
        <v>0</v>
      </c>
      <c r="AA54" s="404"/>
      <c r="AB54" s="404"/>
      <c r="AC54" s="404"/>
    </row>
    <row r="55" spans="1:68" x14ac:dyDescent="0.2">
      <c r="A55" s="415"/>
      <c r="B55" s="415"/>
      <c r="C55" s="415"/>
      <c r="D55" s="415"/>
      <c r="E55" s="415"/>
      <c r="F55" s="415"/>
      <c r="G55" s="415"/>
      <c r="H55" s="415"/>
      <c r="I55" s="415"/>
      <c r="J55" s="415"/>
      <c r="K55" s="415"/>
      <c r="L55" s="415"/>
      <c r="M55" s="415"/>
      <c r="N55" s="415"/>
      <c r="O55" s="426"/>
      <c r="P55" s="411" t="s">
        <v>76</v>
      </c>
      <c r="Q55" s="412"/>
      <c r="R55" s="412"/>
      <c r="S55" s="412"/>
      <c r="T55" s="412"/>
      <c r="U55" s="412"/>
      <c r="V55" s="413"/>
      <c r="W55" s="38" t="s">
        <v>71</v>
      </c>
      <c r="X55" s="403">
        <f>IFERROR(SUM(X50:X53),"0")</f>
        <v>0</v>
      </c>
      <c r="Y55" s="403">
        <f>IFERROR(SUM(Y50:Y53),"0")</f>
        <v>0</v>
      </c>
      <c r="Z55" s="38"/>
      <c r="AA55" s="404"/>
      <c r="AB55" s="404"/>
      <c r="AC55" s="404"/>
    </row>
    <row r="56" spans="1:68" ht="14.25" customHeight="1" x14ac:dyDescent="0.25">
      <c r="A56" s="414" t="s">
        <v>131</v>
      </c>
      <c r="B56" s="415"/>
      <c r="C56" s="415"/>
      <c r="D56" s="415"/>
      <c r="E56" s="415"/>
      <c r="F56" s="415"/>
      <c r="G56" s="415"/>
      <c r="H56" s="415"/>
      <c r="I56" s="415"/>
      <c r="J56" s="415"/>
      <c r="K56" s="415"/>
      <c r="L56" s="415"/>
      <c r="M56" s="415"/>
      <c r="N56" s="415"/>
      <c r="O56" s="415"/>
      <c r="P56" s="415"/>
      <c r="Q56" s="415"/>
      <c r="R56" s="415"/>
      <c r="S56" s="415"/>
      <c r="T56" s="415"/>
      <c r="U56" s="415"/>
      <c r="V56" s="415"/>
      <c r="W56" s="415"/>
      <c r="X56" s="415"/>
      <c r="Y56" s="415"/>
      <c r="Z56" s="415"/>
      <c r="AA56" s="397"/>
      <c r="AB56" s="397"/>
      <c r="AC56" s="397"/>
    </row>
    <row r="57" spans="1:68" ht="27" customHeight="1" x14ac:dyDescent="0.25">
      <c r="A57" s="55" t="s">
        <v>132</v>
      </c>
      <c r="B57" s="55" t="s">
        <v>133</v>
      </c>
      <c r="C57" s="32">
        <v>4301060455</v>
      </c>
      <c r="D57" s="416">
        <v>4680115881532</v>
      </c>
      <c r="E57" s="417"/>
      <c r="F57" s="400">
        <v>1.3</v>
      </c>
      <c r="G57" s="33">
        <v>6</v>
      </c>
      <c r="H57" s="400">
        <v>7.8</v>
      </c>
      <c r="I57" s="400">
        <v>8.2349999999999994</v>
      </c>
      <c r="J57" s="33">
        <v>64</v>
      </c>
      <c r="K57" s="33" t="s">
        <v>89</v>
      </c>
      <c r="L57" s="33"/>
      <c r="M57" s="34" t="s">
        <v>115</v>
      </c>
      <c r="N57" s="34"/>
      <c r="O57" s="33">
        <v>30</v>
      </c>
      <c r="P57" s="6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57" s="406"/>
      <c r="R57" s="406"/>
      <c r="S57" s="406"/>
      <c r="T57" s="407"/>
      <c r="U57" s="35"/>
      <c r="V57" s="35"/>
      <c r="W57" s="36" t="s">
        <v>71</v>
      </c>
      <c r="X57" s="401">
        <v>0</v>
      </c>
      <c r="Y57" s="402">
        <f>IFERROR(IF(X57="",0,CEILING((X57/$H57),1)*$H57),"")</f>
        <v>0</v>
      </c>
      <c r="Z57" s="37" t="str">
        <f>IFERROR(IF(Y57=0,"",ROUNDUP(Y57/H57,0)*0.01898),"")</f>
        <v/>
      </c>
      <c r="AA57" s="57"/>
      <c r="AB57" s="58"/>
      <c r="AC57" s="104" t="s">
        <v>134</v>
      </c>
      <c r="AG57" s="65"/>
      <c r="AJ57" s="69"/>
      <c r="AK57" s="69">
        <v>0</v>
      </c>
      <c r="BB57" s="105" t="s">
        <v>1</v>
      </c>
      <c r="BM57" s="65">
        <f>IFERROR(X57*I57/H57,"0")</f>
        <v>0</v>
      </c>
      <c r="BN57" s="65">
        <f>IFERROR(Y57*I57/H57,"0")</f>
        <v>0</v>
      </c>
      <c r="BO57" s="65">
        <f>IFERROR(1/J57*(X57/H57),"0")</f>
        <v>0</v>
      </c>
      <c r="BP57" s="65">
        <f>IFERROR(1/J57*(Y57/H57),"0")</f>
        <v>0</v>
      </c>
    </row>
    <row r="58" spans="1:68" ht="27" customHeight="1" x14ac:dyDescent="0.25">
      <c r="A58" s="55" t="s">
        <v>135</v>
      </c>
      <c r="B58" s="55" t="s">
        <v>136</v>
      </c>
      <c r="C58" s="32">
        <v>4301060351</v>
      </c>
      <c r="D58" s="416">
        <v>4680115881464</v>
      </c>
      <c r="E58" s="417"/>
      <c r="F58" s="400">
        <v>0.4</v>
      </c>
      <c r="G58" s="33">
        <v>6</v>
      </c>
      <c r="H58" s="400">
        <v>2.4</v>
      </c>
      <c r="I58" s="400">
        <v>2.61</v>
      </c>
      <c r="J58" s="33">
        <v>132</v>
      </c>
      <c r="K58" s="33" t="s">
        <v>94</v>
      </c>
      <c r="L58" s="33"/>
      <c r="M58" s="34" t="s">
        <v>95</v>
      </c>
      <c r="N58" s="34"/>
      <c r="O58" s="33">
        <v>30</v>
      </c>
      <c r="P58" s="65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58" s="406"/>
      <c r="R58" s="406"/>
      <c r="S58" s="406"/>
      <c r="T58" s="407"/>
      <c r="U58" s="35"/>
      <c r="V58" s="35"/>
      <c r="W58" s="36" t="s">
        <v>71</v>
      </c>
      <c r="X58" s="401">
        <v>0</v>
      </c>
      <c r="Y58" s="402">
        <f>IFERROR(IF(X58="",0,CEILING((X58/$H58),1)*$H58),"")</f>
        <v>0</v>
      </c>
      <c r="Z58" s="37" t="str">
        <f>IFERROR(IF(Y58=0,"",ROUNDUP(Y58/H58,0)*0.00902),"")</f>
        <v/>
      </c>
      <c r="AA58" s="57"/>
      <c r="AB58" s="58"/>
      <c r="AC58" s="106" t="s">
        <v>137</v>
      </c>
      <c r="AG58" s="65"/>
      <c r="AJ58" s="69"/>
      <c r="AK58" s="69">
        <v>0</v>
      </c>
      <c r="BB58" s="107" t="s">
        <v>1</v>
      </c>
      <c r="BM58" s="65">
        <f>IFERROR(X58*I58/H58,"0")</f>
        <v>0</v>
      </c>
      <c r="BN58" s="65">
        <f>IFERROR(Y58*I58/H58,"0")</f>
        <v>0</v>
      </c>
      <c r="BO58" s="65">
        <f>IFERROR(1/J58*(X58/H58),"0")</f>
        <v>0</v>
      </c>
      <c r="BP58" s="65">
        <f>IFERROR(1/J58*(Y58/H58),"0")</f>
        <v>0</v>
      </c>
    </row>
    <row r="59" spans="1:68" x14ac:dyDescent="0.2">
      <c r="A59" s="425"/>
      <c r="B59" s="415"/>
      <c r="C59" s="415"/>
      <c r="D59" s="415"/>
      <c r="E59" s="415"/>
      <c r="F59" s="415"/>
      <c r="G59" s="415"/>
      <c r="H59" s="415"/>
      <c r="I59" s="415"/>
      <c r="J59" s="415"/>
      <c r="K59" s="415"/>
      <c r="L59" s="415"/>
      <c r="M59" s="415"/>
      <c r="N59" s="415"/>
      <c r="O59" s="426"/>
      <c r="P59" s="411" t="s">
        <v>76</v>
      </c>
      <c r="Q59" s="412"/>
      <c r="R59" s="412"/>
      <c r="S59" s="412"/>
      <c r="T59" s="412"/>
      <c r="U59" s="412"/>
      <c r="V59" s="413"/>
      <c r="W59" s="38" t="s">
        <v>77</v>
      </c>
      <c r="X59" s="403">
        <f>IFERROR(X57/H57,"0")+IFERROR(X58/H58,"0")</f>
        <v>0</v>
      </c>
      <c r="Y59" s="403">
        <f>IFERROR(Y57/H57,"0")+IFERROR(Y58/H58,"0")</f>
        <v>0</v>
      </c>
      <c r="Z59" s="403">
        <f>IFERROR(IF(Z57="",0,Z57),"0")+IFERROR(IF(Z58="",0,Z58),"0")</f>
        <v>0</v>
      </c>
      <c r="AA59" s="404"/>
      <c r="AB59" s="404"/>
      <c r="AC59" s="404"/>
    </row>
    <row r="60" spans="1:68" x14ac:dyDescent="0.2">
      <c r="A60" s="415"/>
      <c r="B60" s="415"/>
      <c r="C60" s="415"/>
      <c r="D60" s="415"/>
      <c r="E60" s="415"/>
      <c r="F60" s="415"/>
      <c r="G60" s="415"/>
      <c r="H60" s="415"/>
      <c r="I60" s="415"/>
      <c r="J60" s="415"/>
      <c r="K60" s="415"/>
      <c r="L60" s="415"/>
      <c r="M60" s="415"/>
      <c r="N60" s="415"/>
      <c r="O60" s="426"/>
      <c r="P60" s="411" t="s">
        <v>76</v>
      </c>
      <c r="Q60" s="412"/>
      <c r="R60" s="412"/>
      <c r="S60" s="412"/>
      <c r="T60" s="412"/>
      <c r="U60" s="412"/>
      <c r="V60" s="413"/>
      <c r="W60" s="38" t="s">
        <v>71</v>
      </c>
      <c r="X60" s="403">
        <f>IFERROR(SUM(X57:X58),"0")</f>
        <v>0</v>
      </c>
      <c r="Y60" s="403">
        <f>IFERROR(SUM(Y57:Y58),"0")</f>
        <v>0</v>
      </c>
      <c r="Z60" s="38"/>
      <c r="AA60" s="404"/>
      <c r="AB60" s="404"/>
      <c r="AC60" s="404"/>
    </row>
    <row r="61" spans="1:68" ht="16.5" customHeight="1" x14ac:dyDescent="0.25">
      <c r="A61" s="463" t="s">
        <v>138</v>
      </c>
      <c r="B61" s="415"/>
      <c r="C61" s="415"/>
      <c r="D61" s="415"/>
      <c r="E61" s="415"/>
      <c r="F61" s="415"/>
      <c r="G61" s="415"/>
      <c r="H61" s="415"/>
      <c r="I61" s="415"/>
      <c r="J61" s="415"/>
      <c r="K61" s="415"/>
      <c r="L61" s="415"/>
      <c r="M61" s="415"/>
      <c r="N61" s="415"/>
      <c r="O61" s="415"/>
      <c r="P61" s="415"/>
      <c r="Q61" s="415"/>
      <c r="R61" s="415"/>
      <c r="S61" s="415"/>
      <c r="T61" s="415"/>
      <c r="U61" s="415"/>
      <c r="V61" s="415"/>
      <c r="W61" s="415"/>
      <c r="X61" s="415"/>
      <c r="Y61" s="415"/>
      <c r="Z61" s="415"/>
      <c r="AA61" s="396"/>
      <c r="AB61" s="396"/>
      <c r="AC61" s="396"/>
    </row>
    <row r="62" spans="1:68" ht="14.25" customHeight="1" x14ac:dyDescent="0.25">
      <c r="A62" s="414" t="s">
        <v>86</v>
      </c>
      <c r="B62" s="415"/>
      <c r="C62" s="415"/>
      <c r="D62" s="415"/>
      <c r="E62" s="415"/>
      <c r="F62" s="415"/>
      <c r="G62" s="415"/>
      <c r="H62" s="415"/>
      <c r="I62" s="415"/>
      <c r="J62" s="415"/>
      <c r="K62" s="415"/>
      <c r="L62" s="415"/>
      <c r="M62" s="415"/>
      <c r="N62" s="415"/>
      <c r="O62" s="415"/>
      <c r="P62" s="415"/>
      <c r="Q62" s="415"/>
      <c r="R62" s="415"/>
      <c r="S62" s="415"/>
      <c r="T62" s="415"/>
      <c r="U62" s="415"/>
      <c r="V62" s="415"/>
      <c r="W62" s="415"/>
      <c r="X62" s="415"/>
      <c r="Y62" s="415"/>
      <c r="Z62" s="415"/>
      <c r="AA62" s="397"/>
      <c r="AB62" s="397"/>
      <c r="AC62" s="397"/>
    </row>
    <row r="63" spans="1:68" ht="27" customHeight="1" x14ac:dyDescent="0.25">
      <c r="A63" s="55" t="s">
        <v>139</v>
      </c>
      <c r="B63" s="55" t="s">
        <v>140</v>
      </c>
      <c r="C63" s="32">
        <v>4301011468</v>
      </c>
      <c r="D63" s="416">
        <v>4680115881327</v>
      </c>
      <c r="E63" s="417"/>
      <c r="F63" s="400">
        <v>1.35</v>
      </c>
      <c r="G63" s="33">
        <v>8</v>
      </c>
      <c r="H63" s="400">
        <v>10.8</v>
      </c>
      <c r="I63" s="400">
        <v>11.234999999999999</v>
      </c>
      <c r="J63" s="33">
        <v>64</v>
      </c>
      <c r="K63" s="33" t="s">
        <v>89</v>
      </c>
      <c r="L63" s="33"/>
      <c r="M63" s="34" t="s">
        <v>115</v>
      </c>
      <c r="N63" s="34"/>
      <c r="O63" s="33">
        <v>50</v>
      </c>
      <c r="P63" s="48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63" s="406"/>
      <c r="R63" s="406"/>
      <c r="S63" s="406"/>
      <c r="T63" s="407"/>
      <c r="U63" s="35"/>
      <c r="V63" s="35"/>
      <c r="W63" s="36" t="s">
        <v>71</v>
      </c>
      <c r="X63" s="401">
        <v>0</v>
      </c>
      <c r="Y63" s="402">
        <f>IFERROR(IF(X63="",0,CEILING((X63/$H63),1)*$H63),"")</f>
        <v>0</v>
      </c>
      <c r="Z63" s="37" t="str">
        <f>IFERROR(IF(Y63=0,"",ROUNDUP(Y63/H63,0)*0.01898),"")</f>
        <v/>
      </c>
      <c r="AA63" s="57"/>
      <c r="AB63" s="58"/>
      <c r="AC63" s="108" t="s">
        <v>141</v>
      </c>
      <c r="AG63" s="65"/>
      <c r="AJ63" s="69"/>
      <c r="AK63" s="69">
        <v>0</v>
      </c>
      <c r="BB63" s="109" t="s">
        <v>1</v>
      </c>
      <c r="BM63" s="65">
        <f>IFERROR(X63*I63/H63,"0")</f>
        <v>0</v>
      </c>
      <c r="BN63" s="65">
        <f>IFERROR(Y63*I63/H63,"0")</f>
        <v>0</v>
      </c>
      <c r="BO63" s="65">
        <f>IFERROR(1/J63*(X63/H63),"0")</f>
        <v>0</v>
      </c>
      <c r="BP63" s="65">
        <f>IFERROR(1/J63*(Y63/H63),"0")</f>
        <v>0</v>
      </c>
    </row>
    <row r="64" spans="1:68" ht="16.5" customHeight="1" x14ac:dyDescent="0.25">
      <c r="A64" s="55" t="s">
        <v>142</v>
      </c>
      <c r="B64" s="55" t="s">
        <v>143</v>
      </c>
      <c r="C64" s="32">
        <v>4301011476</v>
      </c>
      <c r="D64" s="416">
        <v>4680115881518</v>
      </c>
      <c r="E64" s="417"/>
      <c r="F64" s="400">
        <v>0.4</v>
      </c>
      <c r="G64" s="33">
        <v>10</v>
      </c>
      <c r="H64" s="400">
        <v>4</v>
      </c>
      <c r="I64" s="400">
        <v>4.21</v>
      </c>
      <c r="J64" s="33">
        <v>132</v>
      </c>
      <c r="K64" s="33" t="s">
        <v>94</v>
      </c>
      <c r="L64" s="33"/>
      <c r="M64" s="34" t="s">
        <v>95</v>
      </c>
      <c r="N64" s="34"/>
      <c r="O64" s="33">
        <v>50</v>
      </c>
      <c r="P64" s="61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64" s="406"/>
      <c r="R64" s="406"/>
      <c r="S64" s="406"/>
      <c r="T64" s="407"/>
      <c r="U64" s="35"/>
      <c r="V64" s="35"/>
      <c r="W64" s="36" t="s">
        <v>71</v>
      </c>
      <c r="X64" s="401">
        <v>0</v>
      </c>
      <c r="Y64" s="402">
        <f>IFERROR(IF(X64="",0,CEILING((X64/$H64),1)*$H64),"")</f>
        <v>0</v>
      </c>
      <c r="Z64" s="37" t="str">
        <f>IFERROR(IF(Y64=0,"",ROUNDUP(Y64/H64,0)*0.00902),"")</f>
        <v/>
      </c>
      <c r="AA64" s="57"/>
      <c r="AB64" s="58"/>
      <c r="AC64" s="110" t="s">
        <v>141</v>
      </c>
      <c r="AG64" s="65"/>
      <c r="AJ64" s="69"/>
      <c r="AK64" s="69">
        <v>0</v>
      </c>
      <c r="BB64" s="111" t="s">
        <v>1</v>
      </c>
      <c r="BM64" s="65">
        <f>IFERROR(X64*I64/H64,"0")</f>
        <v>0</v>
      </c>
      <c r="BN64" s="65">
        <f>IFERROR(Y64*I64/H64,"0")</f>
        <v>0</v>
      </c>
      <c r="BO64" s="65">
        <f>IFERROR(1/J64*(X64/H64),"0")</f>
        <v>0</v>
      </c>
      <c r="BP64" s="65">
        <f>IFERROR(1/J64*(Y64/H64),"0")</f>
        <v>0</v>
      </c>
    </row>
    <row r="65" spans="1:68" x14ac:dyDescent="0.2">
      <c r="A65" s="425"/>
      <c r="B65" s="415"/>
      <c r="C65" s="415"/>
      <c r="D65" s="415"/>
      <c r="E65" s="415"/>
      <c r="F65" s="415"/>
      <c r="G65" s="415"/>
      <c r="H65" s="415"/>
      <c r="I65" s="415"/>
      <c r="J65" s="415"/>
      <c r="K65" s="415"/>
      <c r="L65" s="415"/>
      <c r="M65" s="415"/>
      <c r="N65" s="415"/>
      <c r="O65" s="426"/>
      <c r="P65" s="411" t="s">
        <v>76</v>
      </c>
      <c r="Q65" s="412"/>
      <c r="R65" s="412"/>
      <c r="S65" s="412"/>
      <c r="T65" s="412"/>
      <c r="U65" s="412"/>
      <c r="V65" s="413"/>
      <c r="W65" s="38" t="s">
        <v>77</v>
      </c>
      <c r="X65" s="403">
        <f>IFERROR(X63/H63,"0")+IFERROR(X64/H64,"0")</f>
        <v>0</v>
      </c>
      <c r="Y65" s="403">
        <f>IFERROR(Y63/H63,"0")+IFERROR(Y64/H64,"0")</f>
        <v>0</v>
      </c>
      <c r="Z65" s="403">
        <f>IFERROR(IF(Z63="",0,Z63),"0")+IFERROR(IF(Z64="",0,Z64),"0")</f>
        <v>0</v>
      </c>
      <c r="AA65" s="404"/>
      <c r="AB65" s="404"/>
      <c r="AC65" s="404"/>
    </row>
    <row r="66" spans="1:68" x14ac:dyDescent="0.2">
      <c r="A66" s="415"/>
      <c r="B66" s="415"/>
      <c r="C66" s="415"/>
      <c r="D66" s="415"/>
      <c r="E66" s="415"/>
      <c r="F66" s="415"/>
      <c r="G66" s="415"/>
      <c r="H66" s="415"/>
      <c r="I66" s="415"/>
      <c r="J66" s="415"/>
      <c r="K66" s="415"/>
      <c r="L66" s="415"/>
      <c r="M66" s="415"/>
      <c r="N66" s="415"/>
      <c r="O66" s="426"/>
      <c r="P66" s="411" t="s">
        <v>76</v>
      </c>
      <c r="Q66" s="412"/>
      <c r="R66" s="412"/>
      <c r="S66" s="412"/>
      <c r="T66" s="412"/>
      <c r="U66" s="412"/>
      <c r="V66" s="413"/>
      <c r="W66" s="38" t="s">
        <v>71</v>
      </c>
      <c r="X66" s="403">
        <f>IFERROR(SUM(X63:X64),"0")</f>
        <v>0</v>
      </c>
      <c r="Y66" s="403">
        <f>IFERROR(SUM(Y63:Y64),"0")</f>
        <v>0</v>
      </c>
      <c r="Z66" s="38"/>
      <c r="AA66" s="404"/>
      <c r="AB66" s="404"/>
      <c r="AC66" s="404"/>
    </row>
    <row r="67" spans="1:68" ht="14.25" customHeight="1" x14ac:dyDescent="0.25">
      <c r="A67" s="414" t="s">
        <v>66</v>
      </c>
      <c r="B67" s="415"/>
      <c r="C67" s="415"/>
      <c r="D67" s="415"/>
      <c r="E67" s="415"/>
      <c r="F67" s="415"/>
      <c r="G67" s="415"/>
      <c r="H67" s="415"/>
      <c r="I67" s="415"/>
      <c r="J67" s="415"/>
      <c r="K67" s="415"/>
      <c r="L67" s="415"/>
      <c r="M67" s="415"/>
      <c r="N67" s="415"/>
      <c r="O67" s="415"/>
      <c r="P67" s="415"/>
      <c r="Q67" s="415"/>
      <c r="R67" s="415"/>
      <c r="S67" s="415"/>
      <c r="T67" s="415"/>
      <c r="U67" s="415"/>
      <c r="V67" s="415"/>
      <c r="W67" s="415"/>
      <c r="X67" s="415"/>
      <c r="Y67" s="415"/>
      <c r="Z67" s="415"/>
      <c r="AA67" s="397"/>
      <c r="AB67" s="397"/>
      <c r="AC67" s="397"/>
    </row>
    <row r="68" spans="1:68" ht="16.5" customHeight="1" x14ac:dyDescent="0.25">
      <c r="A68" s="55" t="s">
        <v>144</v>
      </c>
      <c r="B68" s="55" t="s">
        <v>145</v>
      </c>
      <c r="C68" s="32">
        <v>4301051437</v>
      </c>
      <c r="D68" s="416">
        <v>4607091386967</v>
      </c>
      <c r="E68" s="417"/>
      <c r="F68" s="400">
        <v>1.35</v>
      </c>
      <c r="G68" s="33">
        <v>6</v>
      </c>
      <c r="H68" s="400">
        <v>8.1</v>
      </c>
      <c r="I68" s="400">
        <v>8.6189999999999998</v>
      </c>
      <c r="J68" s="33">
        <v>64</v>
      </c>
      <c r="K68" s="33" t="s">
        <v>89</v>
      </c>
      <c r="L68" s="33"/>
      <c r="M68" s="34" t="s">
        <v>95</v>
      </c>
      <c r="N68" s="34"/>
      <c r="O68" s="33">
        <v>45</v>
      </c>
      <c r="P68" s="51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68" s="406"/>
      <c r="R68" s="406"/>
      <c r="S68" s="406"/>
      <c r="T68" s="407"/>
      <c r="U68" s="35"/>
      <c r="V68" s="35"/>
      <c r="W68" s="36" t="s">
        <v>71</v>
      </c>
      <c r="X68" s="401">
        <v>100</v>
      </c>
      <c r="Y68" s="402">
        <f>IFERROR(IF(X68="",0,CEILING((X68/$H68),1)*$H68),"")</f>
        <v>105.3</v>
      </c>
      <c r="Z68" s="37">
        <f>IFERROR(IF(Y68=0,"",ROUNDUP(Y68/H68,0)*0.01898),"")</f>
        <v>0.24674000000000001</v>
      </c>
      <c r="AA68" s="57"/>
      <c r="AB68" s="58"/>
      <c r="AC68" s="112" t="s">
        <v>146</v>
      </c>
      <c r="AG68" s="65"/>
      <c r="AJ68" s="69"/>
      <c r="AK68" s="69">
        <v>0</v>
      </c>
      <c r="BB68" s="113" t="s">
        <v>1</v>
      </c>
      <c r="BM68" s="65">
        <f>IFERROR(X68*I68/H68,"0")</f>
        <v>106.4074074074074</v>
      </c>
      <c r="BN68" s="65">
        <f>IFERROR(Y68*I68/H68,"0")</f>
        <v>112.047</v>
      </c>
      <c r="BO68" s="65">
        <f>IFERROR(1/J68*(X68/H68),"0")</f>
        <v>0.19290123456790123</v>
      </c>
      <c r="BP68" s="65">
        <f>IFERROR(1/J68*(Y68/H68),"0")</f>
        <v>0.203125</v>
      </c>
    </row>
    <row r="69" spans="1:68" ht="16.5" customHeight="1" x14ac:dyDescent="0.25">
      <c r="A69" s="55" t="s">
        <v>144</v>
      </c>
      <c r="B69" s="55" t="s">
        <v>147</v>
      </c>
      <c r="C69" s="32">
        <v>4301051712</v>
      </c>
      <c r="D69" s="416">
        <v>4607091386967</v>
      </c>
      <c r="E69" s="417"/>
      <c r="F69" s="400">
        <v>1.35</v>
      </c>
      <c r="G69" s="33">
        <v>6</v>
      </c>
      <c r="H69" s="400">
        <v>8.1</v>
      </c>
      <c r="I69" s="400">
        <v>8.6189999999999998</v>
      </c>
      <c r="J69" s="33">
        <v>64</v>
      </c>
      <c r="K69" s="33" t="s">
        <v>89</v>
      </c>
      <c r="L69" s="33"/>
      <c r="M69" s="34" t="s">
        <v>115</v>
      </c>
      <c r="N69" s="34"/>
      <c r="O69" s="33">
        <v>45</v>
      </c>
      <c r="P69" s="532" t="s">
        <v>148</v>
      </c>
      <c r="Q69" s="406"/>
      <c r="R69" s="406"/>
      <c r="S69" s="406"/>
      <c r="T69" s="407"/>
      <c r="U69" s="35"/>
      <c r="V69" s="35"/>
      <c r="W69" s="36" t="s">
        <v>71</v>
      </c>
      <c r="X69" s="401">
        <v>0</v>
      </c>
      <c r="Y69" s="402">
        <f>IFERROR(IF(X69="",0,CEILING((X69/$H69),1)*$H69),"")</f>
        <v>0</v>
      </c>
      <c r="Z69" s="37" t="str">
        <f>IFERROR(IF(Y69=0,"",ROUNDUP(Y69/H69,0)*0.01898),"")</f>
        <v/>
      </c>
      <c r="AA69" s="57"/>
      <c r="AB69" s="58"/>
      <c r="AC69" s="114" t="s">
        <v>146</v>
      </c>
      <c r="AG69" s="65"/>
      <c r="AJ69" s="69"/>
      <c r="AK69" s="69">
        <v>0</v>
      </c>
      <c r="BB69" s="115" t="s">
        <v>1</v>
      </c>
      <c r="BM69" s="65">
        <f>IFERROR(X69*I69/H69,"0")</f>
        <v>0</v>
      </c>
      <c r="BN69" s="65">
        <f>IFERROR(Y69*I69/H69,"0")</f>
        <v>0</v>
      </c>
      <c r="BO69" s="65">
        <f>IFERROR(1/J69*(X69/H69),"0")</f>
        <v>0</v>
      </c>
      <c r="BP69" s="65">
        <f>IFERROR(1/J69*(Y69/H69),"0")</f>
        <v>0</v>
      </c>
    </row>
    <row r="70" spans="1:68" ht="27" customHeight="1" x14ac:dyDescent="0.25">
      <c r="A70" s="55" t="s">
        <v>149</v>
      </c>
      <c r="B70" s="55" t="s">
        <v>150</v>
      </c>
      <c r="C70" s="32">
        <v>4301051718</v>
      </c>
      <c r="D70" s="416">
        <v>4607091385731</v>
      </c>
      <c r="E70" s="417"/>
      <c r="F70" s="400">
        <v>0.45</v>
      </c>
      <c r="G70" s="33">
        <v>6</v>
      </c>
      <c r="H70" s="400">
        <v>2.7</v>
      </c>
      <c r="I70" s="400">
        <v>2.952</v>
      </c>
      <c r="J70" s="33">
        <v>182</v>
      </c>
      <c r="K70" s="33" t="s">
        <v>69</v>
      </c>
      <c r="L70" s="33"/>
      <c r="M70" s="34" t="s">
        <v>115</v>
      </c>
      <c r="N70" s="34"/>
      <c r="O70" s="33">
        <v>45</v>
      </c>
      <c r="P70" s="64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70" s="406"/>
      <c r="R70" s="406"/>
      <c r="S70" s="406"/>
      <c r="T70" s="407"/>
      <c r="U70" s="35"/>
      <c r="V70" s="35"/>
      <c r="W70" s="36" t="s">
        <v>71</v>
      </c>
      <c r="X70" s="401">
        <v>0</v>
      </c>
      <c r="Y70" s="402">
        <f>IFERROR(IF(X70="",0,CEILING((X70/$H70),1)*$H70),"")</f>
        <v>0</v>
      </c>
      <c r="Z70" s="37" t="str">
        <f>IFERROR(IF(Y70=0,"",ROUNDUP(Y70/H70,0)*0.00651),"")</f>
        <v/>
      </c>
      <c r="AA70" s="57"/>
      <c r="AB70" s="58"/>
      <c r="AC70" s="116" t="s">
        <v>146</v>
      </c>
      <c r="AG70" s="65"/>
      <c r="AJ70" s="69"/>
      <c r="AK70" s="69">
        <v>0</v>
      </c>
      <c r="BB70" s="117" t="s">
        <v>1</v>
      </c>
      <c r="BM70" s="65">
        <f>IFERROR(X70*I70/H70,"0")</f>
        <v>0</v>
      </c>
      <c r="BN70" s="65">
        <f>IFERROR(Y70*I70/H70,"0")</f>
        <v>0</v>
      </c>
      <c r="BO70" s="65">
        <f>IFERROR(1/J70*(X70/H70),"0")</f>
        <v>0</v>
      </c>
      <c r="BP70" s="65">
        <f>IFERROR(1/J70*(Y70/H70),"0")</f>
        <v>0</v>
      </c>
    </row>
    <row r="71" spans="1:68" ht="16.5" customHeight="1" x14ac:dyDescent="0.25">
      <c r="A71" s="55" t="s">
        <v>151</v>
      </c>
      <c r="B71" s="55" t="s">
        <v>152</v>
      </c>
      <c r="C71" s="32">
        <v>4301051438</v>
      </c>
      <c r="D71" s="416">
        <v>4680115880894</v>
      </c>
      <c r="E71" s="417"/>
      <c r="F71" s="400">
        <v>0.33</v>
      </c>
      <c r="G71" s="33">
        <v>6</v>
      </c>
      <c r="H71" s="400">
        <v>1.98</v>
      </c>
      <c r="I71" s="400">
        <v>2.238</v>
      </c>
      <c r="J71" s="33">
        <v>182</v>
      </c>
      <c r="K71" s="33" t="s">
        <v>69</v>
      </c>
      <c r="L71" s="33"/>
      <c r="M71" s="34" t="s">
        <v>95</v>
      </c>
      <c r="N71" s="34"/>
      <c r="O71" s="33">
        <v>45</v>
      </c>
      <c r="P71" s="65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71" s="406"/>
      <c r="R71" s="406"/>
      <c r="S71" s="406"/>
      <c r="T71" s="407"/>
      <c r="U71" s="35"/>
      <c r="V71" s="35"/>
      <c r="W71" s="36" t="s">
        <v>71</v>
      </c>
      <c r="X71" s="401">
        <v>0</v>
      </c>
      <c r="Y71" s="402">
        <f>IFERROR(IF(X71="",0,CEILING((X71/$H71),1)*$H71),"")</f>
        <v>0</v>
      </c>
      <c r="Z71" s="37" t="str">
        <f>IFERROR(IF(Y71=0,"",ROUNDUP(Y71/H71,0)*0.00651),"")</f>
        <v/>
      </c>
      <c r="AA71" s="57"/>
      <c r="AB71" s="58"/>
      <c r="AC71" s="118" t="s">
        <v>153</v>
      </c>
      <c r="AG71" s="65"/>
      <c r="AJ71" s="69"/>
      <c r="AK71" s="69">
        <v>0</v>
      </c>
      <c r="BB71" s="119" t="s">
        <v>1</v>
      </c>
      <c r="BM71" s="65">
        <f>IFERROR(X71*I71/H71,"0")</f>
        <v>0</v>
      </c>
      <c r="BN71" s="65">
        <f>IFERROR(Y71*I71/H71,"0")</f>
        <v>0</v>
      </c>
      <c r="BO71" s="65">
        <f>IFERROR(1/J71*(X71/H71),"0")</f>
        <v>0</v>
      </c>
      <c r="BP71" s="65">
        <f>IFERROR(1/J71*(Y71/H71),"0")</f>
        <v>0</v>
      </c>
    </row>
    <row r="72" spans="1:68" ht="16.5" customHeight="1" x14ac:dyDescent="0.25">
      <c r="A72" s="55" t="s">
        <v>154</v>
      </c>
      <c r="B72" s="55" t="s">
        <v>155</v>
      </c>
      <c r="C72" s="32">
        <v>4301051687</v>
      </c>
      <c r="D72" s="416">
        <v>4680115880214</v>
      </c>
      <c r="E72" s="417"/>
      <c r="F72" s="400">
        <v>0.45</v>
      </c>
      <c r="G72" s="33">
        <v>4</v>
      </c>
      <c r="H72" s="400">
        <v>1.8</v>
      </c>
      <c r="I72" s="400">
        <v>2.032</v>
      </c>
      <c r="J72" s="33">
        <v>182</v>
      </c>
      <c r="K72" s="33" t="s">
        <v>69</v>
      </c>
      <c r="L72" s="33"/>
      <c r="M72" s="34" t="s">
        <v>95</v>
      </c>
      <c r="N72" s="34"/>
      <c r="O72" s="33">
        <v>45</v>
      </c>
      <c r="P72" s="63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72" s="406"/>
      <c r="R72" s="406"/>
      <c r="S72" s="406"/>
      <c r="T72" s="407"/>
      <c r="U72" s="35"/>
      <c r="V72" s="35"/>
      <c r="W72" s="36" t="s">
        <v>71</v>
      </c>
      <c r="X72" s="401">
        <v>0</v>
      </c>
      <c r="Y72" s="402">
        <f>IFERROR(IF(X72="",0,CEILING((X72/$H72),1)*$H72),"")</f>
        <v>0</v>
      </c>
      <c r="Z72" s="37" t="str">
        <f>IFERROR(IF(Y72=0,"",ROUNDUP(Y72/H72,0)*0.00651),"")</f>
        <v/>
      </c>
      <c r="AA72" s="57"/>
      <c r="AB72" s="58"/>
      <c r="AC72" s="120" t="s">
        <v>153</v>
      </c>
      <c r="AG72" s="65"/>
      <c r="AJ72" s="69"/>
      <c r="AK72" s="69">
        <v>0</v>
      </c>
      <c r="BB72" s="121" t="s">
        <v>1</v>
      </c>
      <c r="BM72" s="65">
        <f>IFERROR(X72*I72/H72,"0")</f>
        <v>0</v>
      </c>
      <c r="BN72" s="65">
        <f>IFERROR(Y72*I72/H72,"0")</f>
        <v>0</v>
      </c>
      <c r="BO72" s="65">
        <f>IFERROR(1/J72*(X72/H72),"0")</f>
        <v>0</v>
      </c>
      <c r="BP72" s="65">
        <f>IFERROR(1/J72*(Y72/H72),"0")</f>
        <v>0</v>
      </c>
    </row>
    <row r="73" spans="1:68" x14ac:dyDescent="0.2">
      <c r="A73" s="425"/>
      <c r="B73" s="415"/>
      <c r="C73" s="415"/>
      <c r="D73" s="415"/>
      <c r="E73" s="415"/>
      <c r="F73" s="415"/>
      <c r="G73" s="415"/>
      <c r="H73" s="415"/>
      <c r="I73" s="415"/>
      <c r="J73" s="415"/>
      <c r="K73" s="415"/>
      <c r="L73" s="415"/>
      <c r="M73" s="415"/>
      <c r="N73" s="415"/>
      <c r="O73" s="426"/>
      <c r="P73" s="411" t="s">
        <v>76</v>
      </c>
      <c r="Q73" s="412"/>
      <c r="R73" s="412"/>
      <c r="S73" s="412"/>
      <c r="T73" s="412"/>
      <c r="U73" s="412"/>
      <c r="V73" s="413"/>
      <c r="W73" s="38" t="s">
        <v>77</v>
      </c>
      <c r="X73" s="403">
        <f>IFERROR(X68/H68,"0")+IFERROR(X69/H69,"0")+IFERROR(X70/H70,"0")+IFERROR(X71/H71,"0")+IFERROR(X72/H72,"0")</f>
        <v>12.345679012345679</v>
      </c>
      <c r="Y73" s="403">
        <f>IFERROR(Y68/H68,"0")+IFERROR(Y69/H69,"0")+IFERROR(Y70/H70,"0")+IFERROR(Y71/H71,"0")+IFERROR(Y72/H72,"0")</f>
        <v>13</v>
      </c>
      <c r="Z73" s="403">
        <f>IFERROR(IF(Z68="",0,Z68),"0")+IFERROR(IF(Z69="",0,Z69),"0")+IFERROR(IF(Z70="",0,Z70),"0")+IFERROR(IF(Z71="",0,Z71),"0")+IFERROR(IF(Z72="",0,Z72),"0")</f>
        <v>0.24674000000000001</v>
      </c>
      <c r="AA73" s="404"/>
      <c r="AB73" s="404"/>
      <c r="AC73" s="404"/>
    </row>
    <row r="74" spans="1:68" x14ac:dyDescent="0.2">
      <c r="A74" s="415"/>
      <c r="B74" s="415"/>
      <c r="C74" s="415"/>
      <c r="D74" s="415"/>
      <c r="E74" s="415"/>
      <c r="F74" s="415"/>
      <c r="G74" s="415"/>
      <c r="H74" s="415"/>
      <c r="I74" s="415"/>
      <c r="J74" s="415"/>
      <c r="K74" s="415"/>
      <c r="L74" s="415"/>
      <c r="M74" s="415"/>
      <c r="N74" s="415"/>
      <c r="O74" s="426"/>
      <c r="P74" s="411" t="s">
        <v>76</v>
      </c>
      <c r="Q74" s="412"/>
      <c r="R74" s="412"/>
      <c r="S74" s="412"/>
      <c r="T74" s="412"/>
      <c r="U74" s="412"/>
      <c r="V74" s="413"/>
      <c r="W74" s="38" t="s">
        <v>71</v>
      </c>
      <c r="X74" s="403">
        <f>IFERROR(SUM(X68:X72),"0")</f>
        <v>100</v>
      </c>
      <c r="Y74" s="403">
        <f>IFERROR(SUM(Y68:Y72),"0")</f>
        <v>105.3</v>
      </c>
      <c r="Z74" s="38"/>
      <c r="AA74" s="404"/>
      <c r="AB74" s="404"/>
      <c r="AC74" s="404"/>
    </row>
    <row r="75" spans="1:68" ht="16.5" customHeight="1" x14ac:dyDescent="0.25">
      <c r="A75" s="463" t="s">
        <v>156</v>
      </c>
      <c r="B75" s="415"/>
      <c r="C75" s="415"/>
      <c r="D75" s="415"/>
      <c r="E75" s="415"/>
      <c r="F75" s="415"/>
      <c r="G75" s="415"/>
      <c r="H75" s="415"/>
      <c r="I75" s="415"/>
      <c r="J75" s="415"/>
      <c r="K75" s="415"/>
      <c r="L75" s="415"/>
      <c r="M75" s="415"/>
      <c r="N75" s="415"/>
      <c r="O75" s="415"/>
      <c r="P75" s="415"/>
      <c r="Q75" s="415"/>
      <c r="R75" s="415"/>
      <c r="S75" s="415"/>
      <c r="T75" s="415"/>
      <c r="U75" s="415"/>
      <c r="V75" s="415"/>
      <c r="W75" s="415"/>
      <c r="X75" s="415"/>
      <c r="Y75" s="415"/>
      <c r="Z75" s="415"/>
      <c r="AA75" s="396"/>
      <c r="AB75" s="396"/>
      <c r="AC75" s="396"/>
    </row>
    <row r="76" spans="1:68" ht="14.25" customHeight="1" x14ac:dyDescent="0.25">
      <c r="A76" s="414" t="s">
        <v>86</v>
      </c>
      <c r="B76" s="415"/>
      <c r="C76" s="415"/>
      <c r="D76" s="415"/>
      <c r="E76" s="415"/>
      <c r="F76" s="415"/>
      <c r="G76" s="415"/>
      <c r="H76" s="415"/>
      <c r="I76" s="415"/>
      <c r="J76" s="415"/>
      <c r="K76" s="415"/>
      <c r="L76" s="415"/>
      <c r="M76" s="415"/>
      <c r="N76" s="415"/>
      <c r="O76" s="415"/>
      <c r="P76" s="415"/>
      <c r="Q76" s="415"/>
      <c r="R76" s="415"/>
      <c r="S76" s="415"/>
      <c r="T76" s="415"/>
      <c r="U76" s="415"/>
      <c r="V76" s="415"/>
      <c r="W76" s="415"/>
      <c r="X76" s="415"/>
      <c r="Y76" s="415"/>
      <c r="Z76" s="415"/>
      <c r="AA76" s="397"/>
      <c r="AB76" s="397"/>
      <c r="AC76" s="397"/>
    </row>
    <row r="77" spans="1:68" ht="16.5" customHeight="1" x14ac:dyDescent="0.25">
      <c r="A77" s="55" t="s">
        <v>157</v>
      </c>
      <c r="B77" s="55" t="s">
        <v>158</v>
      </c>
      <c r="C77" s="32">
        <v>4301011514</v>
      </c>
      <c r="D77" s="416">
        <v>4680115882133</v>
      </c>
      <c r="E77" s="417"/>
      <c r="F77" s="400">
        <v>1.35</v>
      </c>
      <c r="G77" s="33">
        <v>8</v>
      </c>
      <c r="H77" s="400">
        <v>10.8</v>
      </c>
      <c r="I77" s="400">
        <v>11.234999999999999</v>
      </c>
      <c r="J77" s="33">
        <v>64</v>
      </c>
      <c r="K77" s="33" t="s">
        <v>89</v>
      </c>
      <c r="L77" s="33"/>
      <c r="M77" s="34" t="s">
        <v>90</v>
      </c>
      <c r="N77" s="34"/>
      <c r="O77" s="33">
        <v>50</v>
      </c>
      <c r="P77" s="55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77" s="406"/>
      <c r="R77" s="406"/>
      <c r="S77" s="406"/>
      <c r="T77" s="407"/>
      <c r="U77" s="35"/>
      <c r="V77" s="35"/>
      <c r="W77" s="36" t="s">
        <v>71</v>
      </c>
      <c r="X77" s="401">
        <v>0</v>
      </c>
      <c r="Y77" s="402">
        <f>IFERROR(IF(X77="",0,CEILING((X77/$H77),1)*$H77),"")</f>
        <v>0</v>
      </c>
      <c r="Z77" s="37" t="str">
        <f>IFERROR(IF(Y77=0,"",ROUNDUP(Y77/H77,0)*0.01898),"")</f>
        <v/>
      </c>
      <c r="AA77" s="57"/>
      <c r="AB77" s="58"/>
      <c r="AC77" s="122" t="s">
        <v>159</v>
      </c>
      <c r="AG77" s="65"/>
      <c r="AJ77" s="69"/>
      <c r="AK77" s="69">
        <v>0</v>
      </c>
      <c r="BB77" s="123" t="s">
        <v>1</v>
      </c>
      <c r="BM77" s="65">
        <f>IFERROR(X77*I77/H77,"0")</f>
        <v>0</v>
      </c>
      <c r="BN77" s="65">
        <f>IFERROR(Y77*I77/H77,"0")</f>
        <v>0</v>
      </c>
      <c r="BO77" s="65">
        <f>IFERROR(1/J77*(X77/H77),"0")</f>
        <v>0</v>
      </c>
      <c r="BP77" s="65">
        <f>IFERROR(1/J77*(Y77/H77),"0")</f>
        <v>0</v>
      </c>
    </row>
    <row r="78" spans="1:68" ht="16.5" customHeight="1" x14ac:dyDescent="0.25">
      <c r="A78" s="55" t="s">
        <v>160</v>
      </c>
      <c r="B78" s="55" t="s">
        <v>161</v>
      </c>
      <c r="C78" s="32">
        <v>4301011415</v>
      </c>
      <c r="D78" s="416">
        <v>4680115880429</v>
      </c>
      <c r="E78" s="417"/>
      <c r="F78" s="400">
        <v>0.45</v>
      </c>
      <c r="G78" s="33">
        <v>10</v>
      </c>
      <c r="H78" s="400">
        <v>4.5</v>
      </c>
      <c r="I78" s="400">
        <v>4.71</v>
      </c>
      <c r="J78" s="33">
        <v>132</v>
      </c>
      <c r="K78" s="33" t="s">
        <v>94</v>
      </c>
      <c r="L78" s="33"/>
      <c r="M78" s="34" t="s">
        <v>95</v>
      </c>
      <c r="N78" s="34"/>
      <c r="O78" s="33">
        <v>50</v>
      </c>
      <c r="P78" s="49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78" s="406"/>
      <c r="R78" s="406"/>
      <c r="S78" s="406"/>
      <c r="T78" s="407"/>
      <c r="U78" s="35"/>
      <c r="V78" s="35"/>
      <c r="W78" s="36" t="s">
        <v>71</v>
      </c>
      <c r="X78" s="401">
        <v>300</v>
      </c>
      <c r="Y78" s="402">
        <f>IFERROR(IF(X78="",0,CEILING((X78/$H78),1)*$H78),"")</f>
        <v>301.5</v>
      </c>
      <c r="Z78" s="37">
        <f>IFERROR(IF(Y78=0,"",ROUNDUP(Y78/H78,0)*0.00902),"")</f>
        <v>0.60433999999999999</v>
      </c>
      <c r="AA78" s="57"/>
      <c r="AB78" s="58"/>
      <c r="AC78" s="124" t="s">
        <v>159</v>
      </c>
      <c r="AG78" s="65"/>
      <c r="AJ78" s="69"/>
      <c r="AK78" s="69">
        <v>0</v>
      </c>
      <c r="BB78" s="125" t="s">
        <v>1</v>
      </c>
      <c r="BM78" s="65">
        <f>IFERROR(X78*I78/H78,"0")</f>
        <v>314</v>
      </c>
      <c r="BN78" s="65">
        <f>IFERROR(Y78*I78/H78,"0")</f>
        <v>315.57</v>
      </c>
      <c r="BO78" s="65">
        <f>IFERROR(1/J78*(X78/H78),"0")</f>
        <v>0.50505050505050508</v>
      </c>
      <c r="BP78" s="65">
        <f>IFERROR(1/J78*(Y78/H78),"0")</f>
        <v>0.50757575757575757</v>
      </c>
    </row>
    <row r="79" spans="1:68" ht="16.5" customHeight="1" x14ac:dyDescent="0.25">
      <c r="A79" s="55" t="s">
        <v>162</v>
      </c>
      <c r="B79" s="55" t="s">
        <v>163</v>
      </c>
      <c r="C79" s="32">
        <v>4301011462</v>
      </c>
      <c r="D79" s="416">
        <v>4680115881457</v>
      </c>
      <c r="E79" s="417"/>
      <c r="F79" s="400">
        <v>0.75</v>
      </c>
      <c r="G79" s="33">
        <v>6</v>
      </c>
      <c r="H79" s="400">
        <v>4.5</v>
      </c>
      <c r="I79" s="400">
        <v>4.71</v>
      </c>
      <c r="J79" s="33">
        <v>132</v>
      </c>
      <c r="K79" s="33" t="s">
        <v>94</v>
      </c>
      <c r="L79" s="33"/>
      <c r="M79" s="34" t="s">
        <v>95</v>
      </c>
      <c r="N79" s="34"/>
      <c r="O79" s="33">
        <v>50</v>
      </c>
      <c r="P79" s="40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79" s="406"/>
      <c r="R79" s="406"/>
      <c r="S79" s="406"/>
      <c r="T79" s="407"/>
      <c r="U79" s="35"/>
      <c r="V79" s="35"/>
      <c r="W79" s="36" t="s">
        <v>71</v>
      </c>
      <c r="X79" s="401">
        <v>0</v>
      </c>
      <c r="Y79" s="402">
        <f>IFERROR(IF(X79="",0,CEILING((X79/$H79),1)*$H79),"")</f>
        <v>0</v>
      </c>
      <c r="Z79" s="37" t="str">
        <f>IFERROR(IF(Y79=0,"",ROUNDUP(Y79/H79,0)*0.00902),"")</f>
        <v/>
      </c>
      <c r="AA79" s="57"/>
      <c r="AB79" s="58"/>
      <c r="AC79" s="126" t="s">
        <v>159</v>
      </c>
      <c r="AG79" s="65"/>
      <c r="AJ79" s="69"/>
      <c r="AK79" s="69">
        <v>0</v>
      </c>
      <c r="BB79" s="127" t="s">
        <v>1</v>
      </c>
      <c r="BM79" s="65">
        <f>IFERROR(X79*I79/H79,"0")</f>
        <v>0</v>
      </c>
      <c r="BN79" s="65">
        <f>IFERROR(Y79*I79/H79,"0")</f>
        <v>0</v>
      </c>
      <c r="BO79" s="65">
        <f>IFERROR(1/J79*(X79/H79),"0")</f>
        <v>0</v>
      </c>
      <c r="BP79" s="65">
        <f>IFERROR(1/J79*(Y79/H79),"0")</f>
        <v>0</v>
      </c>
    </row>
    <row r="80" spans="1:68" x14ac:dyDescent="0.2">
      <c r="A80" s="425"/>
      <c r="B80" s="415"/>
      <c r="C80" s="415"/>
      <c r="D80" s="415"/>
      <c r="E80" s="415"/>
      <c r="F80" s="415"/>
      <c r="G80" s="415"/>
      <c r="H80" s="415"/>
      <c r="I80" s="415"/>
      <c r="J80" s="415"/>
      <c r="K80" s="415"/>
      <c r="L80" s="415"/>
      <c r="M80" s="415"/>
      <c r="N80" s="415"/>
      <c r="O80" s="426"/>
      <c r="P80" s="411" t="s">
        <v>76</v>
      </c>
      <c r="Q80" s="412"/>
      <c r="R80" s="412"/>
      <c r="S80" s="412"/>
      <c r="T80" s="412"/>
      <c r="U80" s="412"/>
      <c r="V80" s="413"/>
      <c r="W80" s="38" t="s">
        <v>77</v>
      </c>
      <c r="X80" s="403">
        <f>IFERROR(X77/H77,"0")+IFERROR(X78/H78,"0")+IFERROR(X79/H79,"0")</f>
        <v>66.666666666666671</v>
      </c>
      <c r="Y80" s="403">
        <f>IFERROR(Y77/H77,"0")+IFERROR(Y78/H78,"0")+IFERROR(Y79/H79,"0")</f>
        <v>67</v>
      </c>
      <c r="Z80" s="403">
        <f>IFERROR(IF(Z77="",0,Z77),"0")+IFERROR(IF(Z78="",0,Z78),"0")+IFERROR(IF(Z79="",0,Z79),"0")</f>
        <v>0.60433999999999999</v>
      </c>
      <c r="AA80" s="404"/>
      <c r="AB80" s="404"/>
      <c r="AC80" s="404"/>
    </row>
    <row r="81" spans="1:68" x14ac:dyDescent="0.2">
      <c r="A81" s="415"/>
      <c r="B81" s="415"/>
      <c r="C81" s="415"/>
      <c r="D81" s="415"/>
      <c r="E81" s="415"/>
      <c r="F81" s="415"/>
      <c r="G81" s="415"/>
      <c r="H81" s="415"/>
      <c r="I81" s="415"/>
      <c r="J81" s="415"/>
      <c r="K81" s="415"/>
      <c r="L81" s="415"/>
      <c r="M81" s="415"/>
      <c r="N81" s="415"/>
      <c r="O81" s="426"/>
      <c r="P81" s="411" t="s">
        <v>76</v>
      </c>
      <c r="Q81" s="412"/>
      <c r="R81" s="412"/>
      <c r="S81" s="412"/>
      <c r="T81" s="412"/>
      <c r="U81" s="412"/>
      <c r="V81" s="413"/>
      <c r="W81" s="38" t="s">
        <v>71</v>
      </c>
      <c r="X81" s="403">
        <f>IFERROR(SUM(X77:X79),"0")</f>
        <v>300</v>
      </c>
      <c r="Y81" s="403">
        <f>IFERROR(SUM(Y77:Y79),"0")</f>
        <v>301.5</v>
      </c>
      <c r="Z81" s="38"/>
      <c r="AA81" s="404"/>
      <c r="AB81" s="404"/>
      <c r="AC81" s="404"/>
    </row>
    <row r="82" spans="1:68" ht="14.25" customHeight="1" x14ac:dyDescent="0.25">
      <c r="A82" s="414" t="s">
        <v>120</v>
      </c>
      <c r="B82" s="415"/>
      <c r="C82" s="415"/>
      <c r="D82" s="415"/>
      <c r="E82" s="415"/>
      <c r="F82" s="415"/>
      <c r="G82" s="415"/>
      <c r="H82" s="415"/>
      <c r="I82" s="415"/>
      <c r="J82" s="415"/>
      <c r="K82" s="415"/>
      <c r="L82" s="415"/>
      <c r="M82" s="415"/>
      <c r="N82" s="415"/>
      <c r="O82" s="415"/>
      <c r="P82" s="415"/>
      <c r="Q82" s="415"/>
      <c r="R82" s="415"/>
      <c r="S82" s="415"/>
      <c r="T82" s="415"/>
      <c r="U82" s="415"/>
      <c r="V82" s="415"/>
      <c r="W82" s="415"/>
      <c r="X82" s="415"/>
      <c r="Y82" s="415"/>
      <c r="Z82" s="415"/>
      <c r="AA82" s="397"/>
      <c r="AB82" s="397"/>
      <c r="AC82" s="397"/>
    </row>
    <row r="83" spans="1:68" ht="16.5" customHeight="1" x14ac:dyDescent="0.25">
      <c r="A83" s="55" t="s">
        <v>164</v>
      </c>
      <c r="B83" s="55" t="s">
        <v>165</v>
      </c>
      <c r="C83" s="32">
        <v>4301020345</v>
      </c>
      <c r="D83" s="416">
        <v>4680115881488</v>
      </c>
      <c r="E83" s="417"/>
      <c r="F83" s="400">
        <v>1.35</v>
      </c>
      <c r="G83" s="33">
        <v>8</v>
      </c>
      <c r="H83" s="400">
        <v>10.8</v>
      </c>
      <c r="I83" s="400">
        <v>11.234999999999999</v>
      </c>
      <c r="J83" s="33">
        <v>64</v>
      </c>
      <c r="K83" s="33" t="s">
        <v>89</v>
      </c>
      <c r="L83" s="33"/>
      <c r="M83" s="34" t="s">
        <v>90</v>
      </c>
      <c r="N83" s="34"/>
      <c r="O83" s="33">
        <v>55</v>
      </c>
      <c r="P83" s="64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83" s="406"/>
      <c r="R83" s="406"/>
      <c r="S83" s="406"/>
      <c r="T83" s="407"/>
      <c r="U83" s="35"/>
      <c r="V83" s="35"/>
      <c r="W83" s="36" t="s">
        <v>71</v>
      </c>
      <c r="X83" s="401">
        <v>0</v>
      </c>
      <c r="Y83" s="402">
        <f>IFERROR(IF(X83="",0,CEILING((X83/$H83),1)*$H83),"")</f>
        <v>0</v>
      </c>
      <c r="Z83" s="37" t="str">
        <f>IFERROR(IF(Y83=0,"",ROUNDUP(Y83/H83,0)*0.01898),"")</f>
        <v/>
      </c>
      <c r="AA83" s="57"/>
      <c r="AB83" s="58"/>
      <c r="AC83" s="128" t="s">
        <v>166</v>
      </c>
      <c r="AG83" s="65"/>
      <c r="AJ83" s="69"/>
      <c r="AK83" s="69">
        <v>0</v>
      </c>
      <c r="BB83" s="129" t="s">
        <v>1</v>
      </c>
      <c r="BM83" s="65">
        <f>IFERROR(X83*I83/H83,"0")</f>
        <v>0</v>
      </c>
      <c r="BN83" s="65">
        <f>IFERROR(Y83*I83/H83,"0")</f>
        <v>0</v>
      </c>
      <c r="BO83" s="65">
        <f>IFERROR(1/J83*(X83/H83),"0")</f>
        <v>0</v>
      </c>
      <c r="BP83" s="65">
        <f>IFERROR(1/J83*(Y83/H83),"0")</f>
        <v>0</v>
      </c>
    </row>
    <row r="84" spans="1:68" ht="16.5" customHeight="1" x14ac:dyDescent="0.25">
      <c r="A84" s="55" t="s">
        <v>167</v>
      </c>
      <c r="B84" s="55" t="s">
        <v>168</v>
      </c>
      <c r="C84" s="32">
        <v>4301020346</v>
      </c>
      <c r="D84" s="416">
        <v>4680115882775</v>
      </c>
      <c r="E84" s="417"/>
      <c r="F84" s="400">
        <v>0.3</v>
      </c>
      <c r="G84" s="33">
        <v>8</v>
      </c>
      <c r="H84" s="400">
        <v>2.4</v>
      </c>
      <c r="I84" s="400">
        <v>2.5</v>
      </c>
      <c r="J84" s="33">
        <v>234</v>
      </c>
      <c r="K84" s="33" t="s">
        <v>169</v>
      </c>
      <c r="L84" s="33"/>
      <c r="M84" s="34" t="s">
        <v>90</v>
      </c>
      <c r="N84" s="34"/>
      <c r="O84" s="33">
        <v>55</v>
      </c>
      <c r="P84" s="58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84" s="406"/>
      <c r="R84" s="406"/>
      <c r="S84" s="406"/>
      <c r="T84" s="407"/>
      <c r="U84" s="35"/>
      <c r="V84" s="35"/>
      <c r="W84" s="36" t="s">
        <v>71</v>
      </c>
      <c r="X84" s="401">
        <v>0</v>
      </c>
      <c r="Y84" s="402">
        <f>IFERROR(IF(X84="",0,CEILING((X84/$H84),1)*$H84),"")</f>
        <v>0</v>
      </c>
      <c r="Z84" s="37" t="str">
        <f>IFERROR(IF(Y84=0,"",ROUNDUP(Y84/H84,0)*0.00502),"")</f>
        <v/>
      </c>
      <c r="AA84" s="57"/>
      <c r="AB84" s="58"/>
      <c r="AC84" s="130" t="s">
        <v>166</v>
      </c>
      <c r="AG84" s="65"/>
      <c r="AJ84" s="69"/>
      <c r="AK84" s="69">
        <v>0</v>
      </c>
      <c r="BB84" s="131" t="s">
        <v>1</v>
      </c>
      <c r="BM84" s="65">
        <f>IFERROR(X84*I84/H84,"0")</f>
        <v>0</v>
      </c>
      <c r="BN84" s="65">
        <f>IFERROR(Y84*I84/H84,"0")</f>
        <v>0</v>
      </c>
      <c r="BO84" s="65">
        <f>IFERROR(1/J84*(X84/H84),"0")</f>
        <v>0</v>
      </c>
      <c r="BP84" s="65">
        <f>IFERROR(1/J84*(Y84/H84),"0")</f>
        <v>0</v>
      </c>
    </row>
    <row r="85" spans="1:68" ht="16.5" customHeight="1" x14ac:dyDescent="0.25">
      <c r="A85" s="55" t="s">
        <v>170</v>
      </c>
      <c r="B85" s="55" t="s">
        <v>171</v>
      </c>
      <c r="C85" s="32">
        <v>4301020344</v>
      </c>
      <c r="D85" s="416">
        <v>4680115880658</v>
      </c>
      <c r="E85" s="417"/>
      <c r="F85" s="400">
        <v>0.4</v>
      </c>
      <c r="G85" s="33">
        <v>6</v>
      </c>
      <c r="H85" s="400">
        <v>2.4</v>
      </c>
      <c r="I85" s="400">
        <v>2.58</v>
      </c>
      <c r="J85" s="33">
        <v>182</v>
      </c>
      <c r="K85" s="33" t="s">
        <v>69</v>
      </c>
      <c r="L85" s="33"/>
      <c r="M85" s="34" t="s">
        <v>90</v>
      </c>
      <c r="N85" s="34"/>
      <c r="O85" s="33">
        <v>55</v>
      </c>
      <c r="P85" s="64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85" s="406"/>
      <c r="R85" s="406"/>
      <c r="S85" s="406"/>
      <c r="T85" s="407"/>
      <c r="U85" s="35"/>
      <c r="V85" s="35"/>
      <c r="W85" s="36" t="s">
        <v>71</v>
      </c>
      <c r="X85" s="401">
        <v>0</v>
      </c>
      <c r="Y85" s="402">
        <f>IFERROR(IF(X85="",0,CEILING((X85/$H85),1)*$H85),"")</f>
        <v>0</v>
      </c>
      <c r="Z85" s="37" t="str">
        <f>IFERROR(IF(Y85=0,"",ROUNDUP(Y85/H85,0)*0.00651),"")</f>
        <v/>
      </c>
      <c r="AA85" s="57"/>
      <c r="AB85" s="58"/>
      <c r="AC85" s="132" t="s">
        <v>166</v>
      </c>
      <c r="AG85" s="65"/>
      <c r="AJ85" s="69"/>
      <c r="AK85" s="69">
        <v>0</v>
      </c>
      <c r="BB85" s="133" t="s">
        <v>1</v>
      </c>
      <c r="BM85" s="65">
        <f>IFERROR(X85*I85/H85,"0")</f>
        <v>0</v>
      </c>
      <c r="BN85" s="65">
        <f>IFERROR(Y85*I85/H85,"0")</f>
        <v>0</v>
      </c>
      <c r="BO85" s="65">
        <f>IFERROR(1/J85*(X85/H85),"0")</f>
        <v>0</v>
      </c>
      <c r="BP85" s="65">
        <f>IFERROR(1/J85*(Y85/H85),"0")</f>
        <v>0</v>
      </c>
    </row>
    <row r="86" spans="1:68" x14ac:dyDescent="0.2">
      <c r="A86" s="425"/>
      <c r="B86" s="415"/>
      <c r="C86" s="415"/>
      <c r="D86" s="415"/>
      <c r="E86" s="415"/>
      <c r="F86" s="415"/>
      <c r="G86" s="415"/>
      <c r="H86" s="415"/>
      <c r="I86" s="415"/>
      <c r="J86" s="415"/>
      <c r="K86" s="415"/>
      <c r="L86" s="415"/>
      <c r="M86" s="415"/>
      <c r="N86" s="415"/>
      <c r="O86" s="426"/>
      <c r="P86" s="411" t="s">
        <v>76</v>
      </c>
      <c r="Q86" s="412"/>
      <c r="R86" s="412"/>
      <c r="S86" s="412"/>
      <c r="T86" s="412"/>
      <c r="U86" s="412"/>
      <c r="V86" s="413"/>
      <c r="W86" s="38" t="s">
        <v>77</v>
      </c>
      <c r="X86" s="403">
        <f>IFERROR(X83/H83,"0")+IFERROR(X84/H84,"0")+IFERROR(X85/H85,"0")</f>
        <v>0</v>
      </c>
      <c r="Y86" s="403">
        <f>IFERROR(Y83/H83,"0")+IFERROR(Y84/H84,"0")+IFERROR(Y85/H85,"0")</f>
        <v>0</v>
      </c>
      <c r="Z86" s="403">
        <f>IFERROR(IF(Z83="",0,Z83),"0")+IFERROR(IF(Z84="",0,Z84),"0")+IFERROR(IF(Z85="",0,Z85),"0")</f>
        <v>0</v>
      </c>
      <c r="AA86" s="404"/>
      <c r="AB86" s="404"/>
      <c r="AC86" s="404"/>
    </row>
    <row r="87" spans="1:68" x14ac:dyDescent="0.2">
      <c r="A87" s="415"/>
      <c r="B87" s="415"/>
      <c r="C87" s="415"/>
      <c r="D87" s="415"/>
      <c r="E87" s="415"/>
      <c r="F87" s="415"/>
      <c r="G87" s="415"/>
      <c r="H87" s="415"/>
      <c r="I87" s="415"/>
      <c r="J87" s="415"/>
      <c r="K87" s="415"/>
      <c r="L87" s="415"/>
      <c r="M87" s="415"/>
      <c r="N87" s="415"/>
      <c r="O87" s="426"/>
      <c r="P87" s="411" t="s">
        <v>76</v>
      </c>
      <c r="Q87" s="412"/>
      <c r="R87" s="412"/>
      <c r="S87" s="412"/>
      <c r="T87" s="412"/>
      <c r="U87" s="412"/>
      <c r="V87" s="413"/>
      <c r="W87" s="38" t="s">
        <v>71</v>
      </c>
      <c r="X87" s="403">
        <f>IFERROR(SUM(X83:X85),"0")</f>
        <v>0</v>
      </c>
      <c r="Y87" s="403">
        <f>IFERROR(SUM(Y83:Y85),"0")</f>
        <v>0</v>
      </c>
      <c r="Z87" s="38"/>
      <c r="AA87" s="404"/>
      <c r="AB87" s="404"/>
      <c r="AC87" s="404"/>
    </row>
    <row r="88" spans="1:68" ht="14.25" customHeight="1" x14ac:dyDescent="0.25">
      <c r="A88" s="414" t="s">
        <v>66</v>
      </c>
      <c r="B88" s="415"/>
      <c r="C88" s="415"/>
      <c r="D88" s="415"/>
      <c r="E88" s="415"/>
      <c r="F88" s="415"/>
      <c r="G88" s="415"/>
      <c r="H88" s="415"/>
      <c r="I88" s="415"/>
      <c r="J88" s="415"/>
      <c r="K88" s="415"/>
      <c r="L88" s="415"/>
      <c r="M88" s="415"/>
      <c r="N88" s="415"/>
      <c r="O88" s="415"/>
      <c r="P88" s="415"/>
      <c r="Q88" s="415"/>
      <c r="R88" s="415"/>
      <c r="S88" s="415"/>
      <c r="T88" s="415"/>
      <c r="U88" s="415"/>
      <c r="V88" s="415"/>
      <c r="W88" s="415"/>
      <c r="X88" s="415"/>
      <c r="Y88" s="415"/>
      <c r="Z88" s="415"/>
      <c r="AA88" s="397"/>
      <c r="AB88" s="397"/>
      <c r="AC88" s="397"/>
    </row>
    <row r="89" spans="1:68" ht="16.5" customHeight="1" x14ac:dyDescent="0.25">
      <c r="A89" s="55" t="s">
        <v>172</v>
      </c>
      <c r="B89" s="55" t="s">
        <v>173</v>
      </c>
      <c r="C89" s="32">
        <v>4301051724</v>
      </c>
      <c r="D89" s="416">
        <v>4607091385168</v>
      </c>
      <c r="E89" s="417"/>
      <c r="F89" s="400">
        <v>1.35</v>
      </c>
      <c r="G89" s="33">
        <v>6</v>
      </c>
      <c r="H89" s="400">
        <v>8.1</v>
      </c>
      <c r="I89" s="400">
        <v>8.6129999999999995</v>
      </c>
      <c r="J89" s="33">
        <v>64</v>
      </c>
      <c r="K89" s="33" t="s">
        <v>89</v>
      </c>
      <c r="L89" s="33"/>
      <c r="M89" s="34" t="s">
        <v>115</v>
      </c>
      <c r="N89" s="34"/>
      <c r="O89" s="33">
        <v>45</v>
      </c>
      <c r="P89" s="54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89" s="406"/>
      <c r="R89" s="406"/>
      <c r="S89" s="406"/>
      <c r="T89" s="407"/>
      <c r="U89" s="35"/>
      <c r="V89" s="35"/>
      <c r="W89" s="36" t="s">
        <v>71</v>
      </c>
      <c r="X89" s="401">
        <v>100</v>
      </c>
      <c r="Y89" s="402">
        <f>IFERROR(IF(X89="",0,CEILING((X89/$H89),1)*$H89),"")</f>
        <v>105.3</v>
      </c>
      <c r="Z89" s="37">
        <f>IFERROR(IF(Y89=0,"",ROUNDUP(Y89/H89,0)*0.01898),"")</f>
        <v>0.24674000000000001</v>
      </c>
      <c r="AA89" s="57"/>
      <c r="AB89" s="58"/>
      <c r="AC89" s="134" t="s">
        <v>174</v>
      </c>
      <c r="AG89" s="65"/>
      <c r="AJ89" s="69"/>
      <c r="AK89" s="69">
        <v>0</v>
      </c>
      <c r="BB89" s="135" t="s">
        <v>1</v>
      </c>
      <c r="BM89" s="65">
        <f>IFERROR(X89*I89/H89,"0")</f>
        <v>106.33333333333333</v>
      </c>
      <c r="BN89" s="65">
        <f>IFERROR(Y89*I89/H89,"0")</f>
        <v>111.96900000000001</v>
      </c>
      <c r="BO89" s="65">
        <f>IFERROR(1/J89*(X89/H89),"0")</f>
        <v>0.19290123456790123</v>
      </c>
      <c r="BP89" s="65">
        <f>IFERROR(1/J89*(Y89/H89),"0")</f>
        <v>0.203125</v>
      </c>
    </row>
    <row r="90" spans="1:68" ht="27" customHeight="1" x14ac:dyDescent="0.25">
      <c r="A90" s="55" t="s">
        <v>175</v>
      </c>
      <c r="B90" s="55" t="s">
        <v>176</v>
      </c>
      <c r="C90" s="32">
        <v>4301051730</v>
      </c>
      <c r="D90" s="416">
        <v>4607091383256</v>
      </c>
      <c r="E90" s="417"/>
      <c r="F90" s="400">
        <v>0.33</v>
      </c>
      <c r="G90" s="33">
        <v>6</v>
      </c>
      <c r="H90" s="400">
        <v>1.98</v>
      </c>
      <c r="I90" s="400">
        <v>2.226</v>
      </c>
      <c r="J90" s="33">
        <v>182</v>
      </c>
      <c r="K90" s="33" t="s">
        <v>69</v>
      </c>
      <c r="L90" s="33"/>
      <c r="M90" s="34" t="s">
        <v>115</v>
      </c>
      <c r="N90" s="34"/>
      <c r="O90" s="33">
        <v>45</v>
      </c>
      <c r="P90" s="56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90" s="406"/>
      <c r="R90" s="406"/>
      <c r="S90" s="406"/>
      <c r="T90" s="407"/>
      <c r="U90" s="35"/>
      <c r="V90" s="35"/>
      <c r="W90" s="36" t="s">
        <v>71</v>
      </c>
      <c r="X90" s="401">
        <v>0</v>
      </c>
      <c r="Y90" s="402">
        <f>IFERROR(IF(X90="",0,CEILING((X90/$H90),1)*$H90),"")</f>
        <v>0</v>
      </c>
      <c r="Z90" s="37" t="str">
        <f>IFERROR(IF(Y90=0,"",ROUNDUP(Y90/H90,0)*0.00651),"")</f>
        <v/>
      </c>
      <c r="AA90" s="57"/>
      <c r="AB90" s="58"/>
      <c r="AC90" s="136" t="s">
        <v>174</v>
      </c>
      <c r="AG90" s="65"/>
      <c r="AJ90" s="69"/>
      <c r="AK90" s="69">
        <v>0</v>
      </c>
      <c r="BB90" s="137" t="s">
        <v>1</v>
      </c>
      <c r="BM90" s="65">
        <f>IFERROR(X90*I90/H90,"0")</f>
        <v>0</v>
      </c>
      <c r="BN90" s="65">
        <f>IFERROR(Y90*I90/H90,"0")</f>
        <v>0</v>
      </c>
      <c r="BO90" s="65">
        <f>IFERROR(1/J90*(X90/H90),"0")</f>
        <v>0</v>
      </c>
      <c r="BP90" s="65">
        <f>IFERROR(1/J90*(Y90/H90),"0")</f>
        <v>0</v>
      </c>
    </row>
    <row r="91" spans="1:68" ht="27" customHeight="1" x14ac:dyDescent="0.25">
      <c r="A91" s="55" t="s">
        <v>177</v>
      </c>
      <c r="B91" s="55" t="s">
        <v>178</v>
      </c>
      <c r="C91" s="32">
        <v>4301051721</v>
      </c>
      <c r="D91" s="416">
        <v>4607091385748</v>
      </c>
      <c r="E91" s="417"/>
      <c r="F91" s="400">
        <v>0.45</v>
      </c>
      <c r="G91" s="33">
        <v>6</v>
      </c>
      <c r="H91" s="400">
        <v>2.7</v>
      </c>
      <c r="I91" s="400">
        <v>2.952</v>
      </c>
      <c r="J91" s="33">
        <v>182</v>
      </c>
      <c r="K91" s="33" t="s">
        <v>69</v>
      </c>
      <c r="L91" s="33"/>
      <c r="M91" s="34" t="s">
        <v>115</v>
      </c>
      <c r="N91" s="34"/>
      <c r="O91" s="33">
        <v>45</v>
      </c>
      <c r="P91" s="56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91" s="406"/>
      <c r="R91" s="406"/>
      <c r="S91" s="406"/>
      <c r="T91" s="407"/>
      <c r="U91" s="35"/>
      <c r="V91" s="35"/>
      <c r="W91" s="36" t="s">
        <v>71</v>
      </c>
      <c r="X91" s="401">
        <v>0</v>
      </c>
      <c r="Y91" s="402">
        <f>IFERROR(IF(X91="",0,CEILING((X91/$H91),1)*$H91),"")</f>
        <v>0</v>
      </c>
      <c r="Z91" s="37" t="str">
        <f>IFERROR(IF(Y91=0,"",ROUNDUP(Y91/H91,0)*0.00651),"")</f>
        <v/>
      </c>
      <c r="AA91" s="57"/>
      <c r="AB91" s="58"/>
      <c r="AC91" s="138" t="s">
        <v>174</v>
      </c>
      <c r="AG91" s="65"/>
      <c r="AJ91" s="69"/>
      <c r="AK91" s="69">
        <v>0</v>
      </c>
      <c r="BB91" s="139" t="s">
        <v>1</v>
      </c>
      <c r="BM91" s="65">
        <f>IFERROR(X91*I91/H91,"0")</f>
        <v>0</v>
      </c>
      <c r="BN91" s="65">
        <f>IFERROR(Y91*I91/H91,"0")</f>
        <v>0</v>
      </c>
      <c r="BO91" s="65">
        <f>IFERROR(1/J91*(X91/H91),"0")</f>
        <v>0</v>
      </c>
      <c r="BP91" s="65">
        <f>IFERROR(1/J91*(Y91/H91),"0")</f>
        <v>0</v>
      </c>
    </row>
    <row r="92" spans="1:68" x14ac:dyDescent="0.2">
      <c r="A92" s="425"/>
      <c r="B92" s="415"/>
      <c r="C92" s="415"/>
      <c r="D92" s="415"/>
      <c r="E92" s="415"/>
      <c r="F92" s="415"/>
      <c r="G92" s="415"/>
      <c r="H92" s="415"/>
      <c r="I92" s="415"/>
      <c r="J92" s="415"/>
      <c r="K92" s="415"/>
      <c r="L92" s="415"/>
      <c r="M92" s="415"/>
      <c r="N92" s="415"/>
      <c r="O92" s="426"/>
      <c r="P92" s="411" t="s">
        <v>76</v>
      </c>
      <c r="Q92" s="412"/>
      <c r="R92" s="412"/>
      <c r="S92" s="412"/>
      <c r="T92" s="412"/>
      <c r="U92" s="412"/>
      <c r="V92" s="413"/>
      <c r="W92" s="38" t="s">
        <v>77</v>
      </c>
      <c r="X92" s="403">
        <f>IFERROR(X89/H89,"0")+IFERROR(X90/H90,"0")+IFERROR(X91/H91,"0")</f>
        <v>12.345679012345679</v>
      </c>
      <c r="Y92" s="403">
        <f>IFERROR(Y89/H89,"0")+IFERROR(Y90/H90,"0")+IFERROR(Y91/H91,"0")</f>
        <v>13</v>
      </c>
      <c r="Z92" s="403">
        <f>IFERROR(IF(Z89="",0,Z89),"0")+IFERROR(IF(Z90="",0,Z90),"0")+IFERROR(IF(Z91="",0,Z91),"0")</f>
        <v>0.24674000000000001</v>
      </c>
      <c r="AA92" s="404"/>
      <c r="AB92" s="404"/>
      <c r="AC92" s="404"/>
    </row>
    <row r="93" spans="1:68" x14ac:dyDescent="0.2">
      <c r="A93" s="415"/>
      <c r="B93" s="415"/>
      <c r="C93" s="415"/>
      <c r="D93" s="415"/>
      <c r="E93" s="415"/>
      <c r="F93" s="415"/>
      <c r="G93" s="415"/>
      <c r="H93" s="415"/>
      <c r="I93" s="415"/>
      <c r="J93" s="415"/>
      <c r="K93" s="415"/>
      <c r="L93" s="415"/>
      <c r="M93" s="415"/>
      <c r="N93" s="415"/>
      <c r="O93" s="426"/>
      <c r="P93" s="411" t="s">
        <v>76</v>
      </c>
      <c r="Q93" s="412"/>
      <c r="R93" s="412"/>
      <c r="S93" s="412"/>
      <c r="T93" s="412"/>
      <c r="U93" s="412"/>
      <c r="V93" s="413"/>
      <c r="W93" s="38" t="s">
        <v>71</v>
      </c>
      <c r="X93" s="403">
        <f>IFERROR(SUM(X89:X91),"0")</f>
        <v>100</v>
      </c>
      <c r="Y93" s="403">
        <f>IFERROR(SUM(Y89:Y91),"0")</f>
        <v>105.3</v>
      </c>
      <c r="Z93" s="38"/>
      <c r="AA93" s="404"/>
      <c r="AB93" s="404"/>
      <c r="AC93" s="404"/>
    </row>
    <row r="94" spans="1:68" ht="14.25" customHeight="1" x14ac:dyDescent="0.25">
      <c r="A94" s="414" t="s">
        <v>131</v>
      </c>
      <c r="B94" s="415"/>
      <c r="C94" s="415"/>
      <c r="D94" s="415"/>
      <c r="E94" s="415"/>
      <c r="F94" s="415"/>
      <c r="G94" s="415"/>
      <c r="H94" s="415"/>
      <c r="I94" s="415"/>
      <c r="J94" s="415"/>
      <c r="K94" s="415"/>
      <c r="L94" s="415"/>
      <c r="M94" s="415"/>
      <c r="N94" s="415"/>
      <c r="O94" s="415"/>
      <c r="P94" s="415"/>
      <c r="Q94" s="415"/>
      <c r="R94" s="415"/>
      <c r="S94" s="415"/>
      <c r="T94" s="415"/>
      <c r="U94" s="415"/>
      <c r="V94" s="415"/>
      <c r="W94" s="415"/>
      <c r="X94" s="415"/>
      <c r="Y94" s="415"/>
      <c r="Z94" s="415"/>
      <c r="AA94" s="397"/>
      <c r="AB94" s="397"/>
      <c r="AC94" s="397"/>
    </row>
    <row r="95" spans="1:68" ht="27" customHeight="1" x14ac:dyDescent="0.25">
      <c r="A95" s="55" t="s">
        <v>179</v>
      </c>
      <c r="B95" s="55" t="s">
        <v>180</v>
      </c>
      <c r="C95" s="32">
        <v>4301060317</v>
      </c>
      <c r="D95" s="416">
        <v>4680115880238</v>
      </c>
      <c r="E95" s="417"/>
      <c r="F95" s="400">
        <v>0.33</v>
      </c>
      <c r="G95" s="33">
        <v>6</v>
      </c>
      <c r="H95" s="400">
        <v>1.98</v>
      </c>
      <c r="I95" s="400">
        <v>2.238</v>
      </c>
      <c r="J95" s="33">
        <v>182</v>
      </c>
      <c r="K95" s="33" t="s">
        <v>69</v>
      </c>
      <c r="L95" s="33"/>
      <c r="M95" s="34" t="s">
        <v>95</v>
      </c>
      <c r="N95" s="34"/>
      <c r="O95" s="33">
        <v>40</v>
      </c>
      <c r="P95" s="45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95" s="406"/>
      <c r="R95" s="406"/>
      <c r="S95" s="406"/>
      <c r="T95" s="407"/>
      <c r="U95" s="35"/>
      <c r="V95" s="35"/>
      <c r="W95" s="36" t="s">
        <v>71</v>
      </c>
      <c r="X95" s="401">
        <v>0</v>
      </c>
      <c r="Y95" s="402">
        <f>IFERROR(IF(X95="",0,CEILING((X95/$H95),1)*$H95),"")</f>
        <v>0</v>
      </c>
      <c r="Z95" s="37" t="str">
        <f>IFERROR(IF(Y95=0,"",ROUNDUP(Y95/H95,0)*0.00651),"")</f>
        <v/>
      </c>
      <c r="AA95" s="57"/>
      <c r="AB95" s="58"/>
      <c r="AC95" s="140" t="s">
        <v>181</v>
      </c>
      <c r="AG95" s="65"/>
      <c r="AJ95" s="69"/>
      <c r="AK95" s="69">
        <v>0</v>
      </c>
      <c r="BB95" s="141" t="s">
        <v>1</v>
      </c>
      <c r="BM95" s="65">
        <f>IFERROR(X95*I95/H95,"0")</f>
        <v>0</v>
      </c>
      <c r="BN95" s="65">
        <f>IFERROR(Y95*I95/H95,"0")</f>
        <v>0</v>
      </c>
      <c r="BO95" s="65">
        <f>IFERROR(1/J95*(X95/H95),"0")</f>
        <v>0</v>
      </c>
      <c r="BP95" s="65">
        <f>IFERROR(1/J95*(Y95/H95),"0")</f>
        <v>0</v>
      </c>
    </row>
    <row r="96" spans="1:68" x14ac:dyDescent="0.2">
      <c r="A96" s="425"/>
      <c r="B96" s="415"/>
      <c r="C96" s="415"/>
      <c r="D96" s="415"/>
      <c r="E96" s="415"/>
      <c r="F96" s="415"/>
      <c r="G96" s="415"/>
      <c r="H96" s="415"/>
      <c r="I96" s="415"/>
      <c r="J96" s="415"/>
      <c r="K96" s="415"/>
      <c r="L96" s="415"/>
      <c r="M96" s="415"/>
      <c r="N96" s="415"/>
      <c r="O96" s="426"/>
      <c r="P96" s="411" t="s">
        <v>76</v>
      </c>
      <c r="Q96" s="412"/>
      <c r="R96" s="412"/>
      <c r="S96" s="412"/>
      <c r="T96" s="412"/>
      <c r="U96" s="412"/>
      <c r="V96" s="413"/>
      <c r="W96" s="38" t="s">
        <v>77</v>
      </c>
      <c r="X96" s="403">
        <f>IFERROR(X95/H95,"0")</f>
        <v>0</v>
      </c>
      <c r="Y96" s="403">
        <f>IFERROR(Y95/H95,"0")</f>
        <v>0</v>
      </c>
      <c r="Z96" s="403">
        <f>IFERROR(IF(Z95="",0,Z95),"0")</f>
        <v>0</v>
      </c>
      <c r="AA96" s="404"/>
      <c r="AB96" s="404"/>
      <c r="AC96" s="404"/>
    </row>
    <row r="97" spans="1:68" x14ac:dyDescent="0.2">
      <c r="A97" s="415"/>
      <c r="B97" s="415"/>
      <c r="C97" s="415"/>
      <c r="D97" s="415"/>
      <c r="E97" s="415"/>
      <c r="F97" s="415"/>
      <c r="G97" s="415"/>
      <c r="H97" s="415"/>
      <c r="I97" s="415"/>
      <c r="J97" s="415"/>
      <c r="K97" s="415"/>
      <c r="L97" s="415"/>
      <c r="M97" s="415"/>
      <c r="N97" s="415"/>
      <c r="O97" s="426"/>
      <c r="P97" s="411" t="s">
        <v>76</v>
      </c>
      <c r="Q97" s="412"/>
      <c r="R97" s="412"/>
      <c r="S97" s="412"/>
      <c r="T97" s="412"/>
      <c r="U97" s="412"/>
      <c r="V97" s="413"/>
      <c r="W97" s="38" t="s">
        <v>71</v>
      </c>
      <c r="X97" s="403">
        <f>IFERROR(SUM(X95:X95),"0")</f>
        <v>0</v>
      </c>
      <c r="Y97" s="403">
        <f>IFERROR(SUM(Y95:Y95),"0")</f>
        <v>0</v>
      </c>
      <c r="Z97" s="38"/>
      <c r="AA97" s="404"/>
      <c r="AB97" s="404"/>
      <c r="AC97" s="404"/>
    </row>
    <row r="98" spans="1:68" ht="16.5" customHeight="1" x14ac:dyDescent="0.25">
      <c r="A98" s="463" t="s">
        <v>84</v>
      </c>
      <c r="B98" s="415"/>
      <c r="C98" s="415"/>
      <c r="D98" s="415"/>
      <c r="E98" s="415"/>
      <c r="F98" s="415"/>
      <c r="G98" s="415"/>
      <c r="H98" s="415"/>
      <c r="I98" s="415"/>
      <c r="J98" s="415"/>
      <c r="K98" s="415"/>
      <c r="L98" s="415"/>
      <c r="M98" s="415"/>
      <c r="N98" s="415"/>
      <c r="O98" s="415"/>
      <c r="P98" s="415"/>
      <c r="Q98" s="415"/>
      <c r="R98" s="415"/>
      <c r="S98" s="415"/>
      <c r="T98" s="415"/>
      <c r="U98" s="415"/>
      <c r="V98" s="415"/>
      <c r="W98" s="415"/>
      <c r="X98" s="415"/>
      <c r="Y98" s="415"/>
      <c r="Z98" s="415"/>
      <c r="AA98" s="396"/>
      <c r="AB98" s="396"/>
      <c r="AC98" s="396"/>
    </row>
    <row r="99" spans="1:68" ht="14.25" customHeight="1" x14ac:dyDescent="0.25">
      <c r="A99" s="414" t="s">
        <v>86</v>
      </c>
      <c r="B99" s="415"/>
      <c r="C99" s="415"/>
      <c r="D99" s="415"/>
      <c r="E99" s="415"/>
      <c r="F99" s="415"/>
      <c r="G99" s="415"/>
      <c r="H99" s="415"/>
      <c r="I99" s="415"/>
      <c r="J99" s="415"/>
      <c r="K99" s="415"/>
      <c r="L99" s="415"/>
      <c r="M99" s="415"/>
      <c r="N99" s="415"/>
      <c r="O99" s="415"/>
      <c r="P99" s="415"/>
      <c r="Q99" s="415"/>
      <c r="R99" s="415"/>
      <c r="S99" s="415"/>
      <c r="T99" s="415"/>
      <c r="U99" s="415"/>
      <c r="V99" s="415"/>
      <c r="W99" s="415"/>
      <c r="X99" s="415"/>
      <c r="Y99" s="415"/>
      <c r="Z99" s="415"/>
      <c r="AA99" s="397"/>
      <c r="AB99" s="397"/>
      <c r="AC99" s="397"/>
    </row>
    <row r="100" spans="1:68" ht="27" customHeight="1" x14ac:dyDescent="0.25">
      <c r="A100" s="55" t="s">
        <v>182</v>
      </c>
      <c r="B100" s="55" t="s">
        <v>183</v>
      </c>
      <c r="C100" s="32">
        <v>4301011705</v>
      </c>
      <c r="D100" s="416">
        <v>4607091384604</v>
      </c>
      <c r="E100" s="417"/>
      <c r="F100" s="400">
        <v>0.4</v>
      </c>
      <c r="G100" s="33">
        <v>10</v>
      </c>
      <c r="H100" s="400">
        <v>4</v>
      </c>
      <c r="I100" s="400">
        <v>4.21</v>
      </c>
      <c r="J100" s="33">
        <v>132</v>
      </c>
      <c r="K100" s="33" t="s">
        <v>94</v>
      </c>
      <c r="L100" s="33"/>
      <c r="M100" s="34" t="s">
        <v>90</v>
      </c>
      <c r="N100" s="34"/>
      <c r="O100" s="33">
        <v>50</v>
      </c>
      <c r="P100" s="45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00" s="406"/>
      <c r="R100" s="406"/>
      <c r="S100" s="406"/>
      <c r="T100" s="407"/>
      <c r="U100" s="35"/>
      <c r="V100" s="35"/>
      <c r="W100" s="36" t="s">
        <v>71</v>
      </c>
      <c r="X100" s="401">
        <v>0</v>
      </c>
      <c r="Y100" s="402">
        <f>IFERROR(IF(X100="",0,CEILING((X100/$H100),1)*$H100),"")</f>
        <v>0</v>
      </c>
      <c r="Z100" s="37" t="str">
        <f>IFERROR(IF(Y100=0,"",ROUNDUP(Y100/H100,0)*0.00902),"")</f>
        <v/>
      </c>
      <c r="AA100" s="57"/>
      <c r="AB100" s="58"/>
      <c r="AC100" s="142" t="s">
        <v>184</v>
      </c>
      <c r="AG100" s="65"/>
      <c r="AJ100" s="69"/>
      <c r="AK100" s="69">
        <v>0</v>
      </c>
      <c r="BB100" s="143" t="s">
        <v>1</v>
      </c>
      <c r="BM100" s="65">
        <f>IFERROR(X100*I100/H100,"0")</f>
        <v>0</v>
      </c>
      <c r="BN100" s="65">
        <f>IFERROR(Y100*I100/H100,"0")</f>
        <v>0</v>
      </c>
      <c r="BO100" s="65">
        <f>IFERROR(1/J100*(X100/H100),"0")</f>
        <v>0</v>
      </c>
      <c r="BP100" s="65">
        <f>IFERROR(1/J100*(Y100/H100),"0")</f>
        <v>0</v>
      </c>
    </row>
    <row r="101" spans="1:68" x14ac:dyDescent="0.2">
      <c r="A101" s="425"/>
      <c r="B101" s="415"/>
      <c r="C101" s="415"/>
      <c r="D101" s="415"/>
      <c r="E101" s="415"/>
      <c r="F101" s="415"/>
      <c r="G101" s="415"/>
      <c r="H101" s="415"/>
      <c r="I101" s="415"/>
      <c r="J101" s="415"/>
      <c r="K101" s="415"/>
      <c r="L101" s="415"/>
      <c r="M101" s="415"/>
      <c r="N101" s="415"/>
      <c r="O101" s="426"/>
      <c r="P101" s="411" t="s">
        <v>76</v>
      </c>
      <c r="Q101" s="412"/>
      <c r="R101" s="412"/>
      <c r="S101" s="412"/>
      <c r="T101" s="412"/>
      <c r="U101" s="412"/>
      <c r="V101" s="413"/>
      <c r="W101" s="38" t="s">
        <v>77</v>
      </c>
      <c r="X101" s="403">
        <f>IFERROR(X100/H100,"0")</f>
        <v>0</v>
      </c>
      <c r="Y101" s="403">
        <f>IFERROR(Y100/H100,"0")</f>
        <v>0</v>
      </c>
      <c r="Z101" s="403">
        <f>IFERROR(IF(Z100="",0,Z100),"0")</f>
        <v>0</v>
      </c>
      <c r="AA101" s="404"/>
      <c r="AB101" s="404"/>
      <c r="AC101" s="404"/>
    </row>
    <row r="102" spans="1:68" x14ac:dyDescent="0.2">
      <c r="A102" s="415"/>
      <c r="B102" s="415"/>
      <c r="C102" s="415"/>
      <c r="D102" s="415"/>
      <c r="E102" s="415"/>
      <c r="F102" s="415"/>
      <c r="G102" s="415"/>
      <c r="H102" s="415"/>
      <c r="I102" s="415"/>
      <c r="J102" s="415"/>
      <c r="K102" s="415"/>
      <c r="L102" s="415"/>
      <c r="M102" s="415"/>
      <c r="N102" s="415"/>
      <c r="O102" s="426"/>
      <c r="P102" s="411" t="s">
        <v>76</v>
      </c>
      <c r="Q102" s="412"/>
      <c r="R102" s="412"/>
      <c r="S102" s="412"/>
      <c r="T102" s="412"/>
      <c r="U102" s="412"/>
      <c r="V102" s="413"/>
      <c r="W102" s="38" t="s">
        <v>71</v>
      </c>
      <c r="X102" s="403">
        <f>IFERROR(SUM(X100:X100),"0")</f>
        <v>0</v>
      </c>
      <c r="Y102" s="403">
        <f>IFERROR(SUM(Y100:Y100),"0")</f>
        <v>0</v>
      </c>
      <c r="Z102" s="38"/>
      <c r="AA102" s="404"/>
      <c r="AB102" s="404"/>
      <c r="AC102" s="404"/>
    </row>
    <row r="103" spans="1:68" ht="14.25" customHeight="1" x14ac:dyDescent="0.25">
      <c r="A103" s="414" t="s">
        <v>185</v>
      </c>
      <c r="B103" s="415"/>
      <c r="C103" s="415"/>
      <c r="D103" s="415"/>
      <c r="E103" s="415"/>
      <c r="F103" s="415"/>
      <c r="G103" s="415"/>
      <c r="H103" s="415"/>
      <c r="I103" s="415"/>
      <c r="J103" s="415"/>
      <c r="K103" s="415"/>
      <c r="L103" s="415"/>
      <c r="M103" s="415"/>
      <c r="N103" s="415"/>
      <c r="O103" s="415"/>
      <c r="P103" s="415"/>
      <c r="Q103" s="415"/>
      <c r="R103" s="415"/>
      <c r="S103" s="415"/>
      <c r="T103" s="415"/>
      <c r="U103" s="415"/>
      <c r="V103" s="415"/>
      <c r="W103" s="415"/>
      <c r="X103" s="415"/>
      <c r="Y103" s="415"/>
      <c r="Z103" s="415"/>
      <c r="AA103" s="397"/>
      <c r="AB103" s="397"/>
      <c r="AC103" s="397"/>
    </row>
    <row r="104" spans="1:68" ht="16.5" customHeight="1" x14ac:dyDescent="0.25">
      <c r="A104" s="55" t="s">
        <v>186</v>
      </c>
      <c r="B104" s="55" t="s">
        <v>187</v>
      </c>
      <c r="C104" s="32">
        <v>4301030895</v>
      </c>
      <c r="D104" s="416">
        <v>4607091387667</v>
      </c>
      <c r="E104" s="417"/>
      <c r="F104" s="400">
        <v>0.9</v>
      </c>
      <c r="G104" s="33">
        <v>10</v>
      </c>
      <c r="H104" s="400">
        <v>9</v>
      </c>
      <c r="I104" s="400">
        <v>9.5850000000000009</v>
      </c>
      <c r="J104" s="33">
        <v>64</v>
      </c>
      <c r="K104" s="33" t="s">
        <v>89</v>
      </c>
      <c r="L104" s="33"/>
      <c r="M104" s="34" t="s">
        <v>90</v>
      </c>
      <c r="N104" s="34"/>
      <c r="O104" s="33">
        <v>40</v>
      </c>
      <c r="P104" s="4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4" s="406"/>
      <c r="R104" s="406"/>
      <c r="S104" s="406"/>
      <c r="T104" s="407"/>
      <c r="U104" s="35"/>
      <c r="V104" s="35"/>
      <c r="W104" s="36" t="s">
        <v>71</v>
      </c>
      <c r="X104" s="401">
        <v>0</v>
      </c>
      <c r="Y104" s="402">
        <f>IFERROR(IF(X104="",0,CEILING((X104/$H104),1)*$H104),"")</f>
        <v>0</v>
      </c>
      <c r="Z104" s="37" t="str">
        <f>IFERROR(IF(Y104=0,"",ROUNDUP(Y104/H104,0)*0.01898),"")</f>
        <v/>
      </c>
      <c r="AA104" s="57"/>
      <c r="AB104" s="58"/>
      <c r="AC104" s="144" t="s">
        <v>188</v>
      </c>
      <c r="AG104" s="65"/>
      <c r="AJ104" s="69"/>
      <c r="AK104" s="69">
        <v>0</v>
      </c>
      <c r="BB104" s="145" t="s">
        <v>1</v>
      </c>
      <c r="BM104" s="65">
        <f>IFERROR(X104*I104/H104,"0")</f>
        <v>0</v>
      </c>
      <c r="BN104" s="65">
        <f>IFERROR(Y104*I104/H104,"0")</f>
        <v>0</v>
      </c>
      <c r="BO104" s="65">
        <f>IFERROR(1/J104*(X104/H104),"0")</f>
        <v>0</v>
      </c>
      <c r="BP104" s="65">
        <f>IFERROR(1/J104*(Y104/H104),"0")</f>
        <v>0</v>
      </c>
    </row>
    <row r="105" spans="1:68" ht="16.5" customHeight="1" x14ac:dyDescent="0.25">
      <c r="A105" s="55" t="s">
        <v>189</v>
      </c>
      <c r="B105" s="55" t="s">
        <v>190</v>
      </c>
      <c r="C105" s="32">
        <v>4301030961</v>
      </c>
      <c r="D105" s="416">
        <v>4607091387636</v>
      </c>
      <c r="E105" s="417"/>
      <c r="F105" s="400">
        <v>0.7</v>
      </c>
      <c r="G105" s="33">
        <v>6</v>
      </c>
      <c r="H105" s="400">
        <v>4.2</v>
      </c>
      <c r="I105" s="400">
        <v>4.47</v>
      </c>
      <c r="J105" s="33">
        <v>182</v>
      </c>
      <c r="K105" s="33" t="s">
        <v>69</v>
      </c>
      <c r="L105" s="33"/>
      <c r="M105" s="34" t="s">
        <v>70</v>
      </c>
      <c r="N105" s="34"/>
      <c r="O105" s="33">
        <v>40</v>
      </c>
      <c r="P105" s="6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5" s="406"/>
      <c r="R105" s="406"/>
      <c r="S105" s="406"/>
      <c r="T105" s="407"/>
      <c r="U105" s="35"/>
      <c r="V105" s="35"/>
      <c r="W105" s="36" t="s">
        <v>71</v>
      </c>
      <c r="X105" s="401">
        <v>0</v>
      </c>
      <c r="Y105" s="402">
        <f>IFERROR(IF(X105="",0,CEILING((X105/$H105),1)*$H105),"")</f>
        <v>0</v>
      </c>
      <c r="Z105" s="37" t="str">
        <f>IFERROR(IF(Y105=0,"",ROUNDUP(Y105/H105,0)*0.00651),"")</f>
        <v/>
      </c>
      <c r="AA105" s="57"/>
      <c r="AB105" s="58"/>
      <c r="AC105" s="146" t="s">
        <v>191</v>
      </c>
      <c r="AG105" s="65"/>
      <c r="AJ105" s="69"/>
      <c r="AK105" s="69">
        <v>0</v>
      </c>
      <c r="BB105" s="147" t="s">
        <v>1</v>
      </c>
      <c r="BM105" s="65">
        <f>IFERROR(X105*I105/H105,"0")</f>
        <v>0</v>
      </c>
      <c r="BN105" s="65">
        <f>IFERROR(Y105*I105/H105,"0")</f>
        <v>0</v>
      </c>
      <c r="BO105" s="65">
        <f>IFERROR(1/J105*(X105/H105),"0")</f>
        <v>0</v>
      </c>
      <c r="BP105" s="65">
        <f>IFERROR(1/J105*(Y105/H105),"0")</f>
        <v>0</v>
      </c>
    </row>
    <row r="106" spans="1:68" ht="27" customHeight="1" x14ac:dyDescent="0.25">
      <c r="A106" s="55" t="s">
        <v>192</v>
      </c>
      <c r="B106" s="55" t="s">
        <v>193</v>
      </c>
      <c r="C106" s="32">
        <v>4301030963</v>
      </c>
      <c r="D106" s="416">
        <v>4607091382426</v>
      </c>
      <c r="E106" s="417"/>
      <c r="F106" s="400">
        <v>0.9</v>
      </c>
      <c r="G106" s="33">
        <v>10</v>
      </c>
      <c r="H106" s="400">
        <v>9</v>
      </c>
      <c r="I106" s="400">
        <v>9.5850000000000009</v>
      </c>
      <c r="J106" s="33">
        <v>64</v>
      </c>
      <c r="K106" s="33" t="s">
        <v>89</v>
      </c>
      <c r="L106" s="33"/>
      <c r="M106" s="34" t="s">
        <v>70</v>
      </c>
      <c r="N106" s="34"/>
      <c r="O106" s="33">
        <v>40</v>
      </c>
      <c r="P106" s="5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6" s="406"/>
      <c r="R106" s="406"/>
      <c r="S106" s="406"/>
      <c r="T106" s="407"/>
      <c r="U106" s="35"/>
      <c r="V106" s="35"/>
      <c r="W106" s="36" t="s">
        <v>71</v>
      </c>
      <c r="X106" s="401">
        <v>0</v>
      </c>
      <c r="Y106" s="402">
        <f>IFERROR(IF(X106="",0,CEILING((X106/$H106),1)*$H106),"")</f>
        <v>0</v>
      </c>
      <c r="Z106" s="37" t="str">
        <f>IFERROR(IF(Y106=0,"",ROUNDUP(Y106/H106,0)*0.01898),"")</f>
        <v/>
      </c>
      <c r="AA106" s="57"/>
      <c r="AB106" s="58"/>
      <c r="AC106" s="148" t="s">
        <v>194</v>
      </c>
      <c r="AG106" s="65"/>
      <c r="AJ106" s="69"/>
      <c r="AK106" s="69">
        <v>0</v>
      </c>
      <c r="BB106" s="149" t="s">
        <v>1</v>
      </c>
      <c r="BM106" s="65">
        <f>IFERROR(X106*I106/H106,"0")</f>
        <v>0</v>
      </c>
      <c r="BN106" s="65">
        <f>IFERROR(Y106*I106/H106,"0")</f>
        <v>0</v>
      </c>
      <c r="BO106" s="65">
        <f>IFERROR(1/J106*(X106/H106),"0")</f>
        <v>0</v>
      </c>
      <c r="BP106" s="65">
        <f>IFERROR(1/J106*(Y106/H106),"0")</f>
        <v>0</v>
      </c>
    </row>
    <row r="107" spans="1:68" x14ac:dyDescent="0.2">
      <c r="A107" s="425"/>
      <c r="B107" s="415"/>
      <c r="C107" s="415"/>
      <c r="D107" s="415"/>
      <c r="E107" s="415"/>
      <c r="F107" s="415"/>
      <c r="G107" s="415"/>
      <c r="H107" s="415"/>
      <c r="I107" s="415"/>
      <c r="J107" s="415"/>
      <c r="K107" s="415"/>
      <c r="L107" s="415"/>
      <c r="M107" s="415"/>
      <c r="N107" s="415"/>
      <c r="O107" s="426"/>
      <c r="P107" s="411" t="s">
        <v>76</v>
      </c>
      <c r="Q107" s="412"/>
      <c r="R107" s="412"/>
      <c r="S107" s="412"/>
      <c r="T107" s="412"/>
      <c r="U107" s="412"/>
      <c r="V107" s="413"/>
      <c r="W107" s="38" t="s">
        <v>77</v>
      </c>
      <c r="X107" s="403">
        <f>IFERROR(X104/H104,"0")+IFERROR(X105/H105,"0")+IFERROR(X106/H106,"0")</f>
        <v>0</v>
      </c>
      <c r="Y107" s="403">
        <f>IFERROR(Y104/H104,"0")+IFERROR(Y105/H105,"0")+IFERROR(Y106/H106,"0")</f>
        <v>0</v>
      </c>
      <c r="Z107" s="403">
        <f>IFERROR(IF(Z104="",0,Z104),"0")+IFERROR(IF(Z105="",0,Z105),"0")+IFERROR(IF(Z106="",0,Z106),"0")</f>
        <v>0</v>
      </c>
      <c r="AA107" s="404"/>
      <c r="AB107" s="404"/>
      <c r="AC107" s="404"/>
    </row>
    <row r="108" spans="1:68" x14ac:dyDescent="0.2">
      <c r="A108" s="415"/>
      <c r="B108" s="415"/>
      <c r="C108" s="415"/>
      <c r="D108" s="415"/>
      <c r="E108" s="415"/>
      <c r="F108" s="415"/>
      <c r="G108" s="415"/>
      <c r="H108" s="415"/>
      <c r="I108" s="415"/>
      <c r="J108" s="415"/>
      <c r="K108" s="415"/>
      <c r="L108" s="415"/>
      <c r="M108" s="415"/>
      <c r="N108" s="415"/>
      <c r="O108" s="426"/>
      <c r="P108" s="411" t="s">
        <v>76</v>
      </c>
      <c r="Q108" s="412"/>
      <c r="R108" s="412"/>
      <c r="S108" s="412"/>
      <c r="T108" s="412"/>
      <c r="U108" s="412"/>
      <c r="V108" s="413"/>
      <c r="W108" s="38" t="s">
        <v>71</v>
      </c>
      <c r="X108" s="403">
        <f>IFERROR(SUM(X104:X106),"0")</f>
        <v>0</v>
      </c>
      <c r="Y108" s="403">
        <f>IFERROR(SUM(Y104:Y106),"0")</f>
        <v>0</v>
      </c>
      <c r="Z108" s="38"/>
      <c r="AA108" s="404"/>
      <c r="AB108" s="404"/>
      <c r="AC108" s="404"/>
    </row>
    <row r="109" spans="1:68" ht="27.75" customHeight="1" x14ac:dyDescent="0.2">
      <c r="A109" s="439" t="s">
        <v>195</v>
      </c>
      <c r="B109" s="440"/>
      <c r="C109" s="440"/>
      <c r="D109" s="440"/>
      <c r="E109" s="440"/>
      <c r="F109" s="440"/>
      <c r="G109" s="440"/>
      <c r="H109" s="440"/>
      <c r="I109" s="440"/>
      <c r="J109" s="440"/>
      <c r="K109" s="440"/>
      <c r="L109" s="440"/>
      <c r="M109" s="440"/>
      <c r="N109" s="440"/>
      <c r="O109" s="440"/>
      <c r="P109" s="440"/>
      <c r="Q109" s="440"/>
      <c r="R109" s="440"/>
      <c r="S109" s="440"/>
      <c r="T109" s="440"/>
      <c r="U109" s="440"/>
      <c r="V109" s="440"/>
      <c r="W109" s="440"/>
      <c r="X109" s="440"/>
      <c r="Y109" s="440"/>
      <c r="Z109" s="440"/>
      <c r="AA109" s="49"/>
      <c r="AB109" s="49"/>
      <c r="AC109" s="49"/>
    </row>
    <row r="110" spans="1:68" ht="16.5" customHeight="1" x14ac:dyDescent="0.25">
      <c r="A110" s="463" t="s">
        <v>196</v>
      </c>
      <c r="B110" s="415"/>
      <c r="C110" s="415"/>
      <c r="D110" s="415"/>
      <c r="E110" s="415"/>
      <c r="F110" s="415"/>
      <c r="G110" s="415"/>
      <c r="H110" s="415"/>
      <c r="I110" s="415"/>
      <c r="J110" s="415"/>
      <c r="K110" s="415"/>
      <c r="L110" s="415"/>
      <c r="M110" s="415"/>
      <c r="N110" s="415"/>
      <c r="O110" s="415"/>
      <c r="P110" s="415"/>
      <c r="Q110" s="415"/>
      <c r="R110" s="415"/>
      <c r="S110" s="415"/>
      <c r="T110" s="415"/>
      <c r="U110" s="415"/>
      <c r="V110" s="415"/>
      <c r="W110" s="415"/>
      <c r="X110" s="415"/>
      <c r="Y110" s="415"/>
      <c r="Z110" s="415"/>
      <c r="AA110" s="396"/>
      <c r="AB110" s="396"/>
      <c r="AC110" s="396"/>
    </row>
    <row r="111" spans="1:68" ht="14.25" customHeight="1" x14ac:dyDescent="0.25">
      <c r="A111" s="414" t="s">
        <v>185</v>
      </c>
      <c r="B111" s="415"/>
      <c r="C111" s="415"/>
      <c r="D111" s="415"/>
      <c r="E111" s="415"/>
      <c r="F111" s="415"/>
      <c r="G111" s="415"/>
      <c r="H111" s="415"/>
      <c r="I111" s="415"/>
      <c r="J111" s="415"/>
      <c r="K111" s="415"/>
      <c r="L111" s="415"/>
      <c r="M111" s="415"/>
      <c r="N111" s="415"/>
      <c r="O111" s="415"/>
      <c r="P111" s="415"/>
      <c r="Q111" s="415"/>
      <c r="R111" s="415"/>
      <c r="S111" s="415"/>
      <c r="T111" s="415"/>
      <c r="U111" s="415"/>
      <c r="V111" s="415"/>
      <c r="W111" s="415"/>
      <c r="X111" s="415"/>
      <c r="Y111" s="415"/>
      <c r="Z111" s="415"/>
      <c r="AA111" s="397"/>
      <c r="AB111" s="397"/>
      <c r="AC111" s="397"/>
    </row>
    <row r="112" spans="1:68" ht="27" customHeight="1" x14ac:dyDescent="0.25">
      <c r="A112" s="55" t="s">
        <v>197</v>
      </c>
      <c r="B112" s="55" t="s">
        <v>198</v>
      </c>
      <c r="C112" s="32">
        <v>4301031191</v>
      </c>
      <c r="D112" s="416">
        <v>4680115880993</v>
      </c>
      <c r="E112" s="417"/>
      <c r="F112" s="400">
        <v>0.7</v>
      </c>
      <c r="G112" s="33">
        <v>6</v>
      </c>
      <c r="H112" s="400">
        <v>4.2</v>
      </c>
      <c r="I112" s="400">
        <v>4.47</v>
      </c>
      <c r="J112" s="33">
        <v>132</v>
      </c>
      <c r="K112" s="33" t="s">
        <v>94</v>
      </c>
      <c r="L112" s="33"/>
      <c r="M112" s="34" t="s">
        <v>70</v>
      </c>
      <c r="N112" s="34"/>
      <c r="O112" s="33">
        <v>40</v>
      </c>
      <c r="P112" s="6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12" s="406"/>
      <c r="R112" s="406"/>
      <c r="S112" s="406"/>
      <c r="T112" s="407"/>
      <c r="U112" s="35"/>
      <c r="V112" s="35"/>
      <c r="W112" s="36" t="s">
        <v>71</v>
      </c>
      <c r="X112" s="401">
        <v>0</v>
      </c>
      <c r="Y112" s="402">
        <f t="shared" ref="Y112:Y119" si="5">IFERROR(IF(X112="",0,CEILING((X112/$H112),1)*$H112),"")</f>
        <v>0</v>
      </c>
      <c r="Z112" s="37" t="str">
        <f>IFERROR(IF(Y112=0,"",ROUNDUP(Y112/H112,0)*0.00902),"")</f>
        <v/>
      </c>
      <c r="AA112" s="57"/>
      <c r="AB112" s="58"/>
      <c r="AC112" s="150" t="s">
        <v>199</v>
      </c>
      <c r="AG112" s="65"/>
      <c r="AJ112" s="69"/>
      <c r="AK112" s="69">
        <v>0</v>
      </c>
      <c r="BB112" s="151" t="s">
        <v>1</v>
      </c>
      <c r="BM112" s="65">
        <f t="shared" ref="BM112:BM119" si="6">IFERROR(X112*I112/H112,"0")</f>
        <v>0</v>
      </c>
      <c r="BN112" s="65">
        <f t="shared" ref="BN112:BN119" si="7">IFERROR(Y112*I112/H112,"0")</f>
        <v>0</v>
      </c>
      <c r="BO112" s="65">
        <f t="shared" ref="BO112:BO119" si="8">IFERROR(1/J112*(X112/H112),"0")</f>
        <v>0</v>
      </c>
      <c r="BP112" s="65">
        <f t="shared" ref="BP112:BP119" si="9">IFERROR(1/J112*(Y112/H112),"0")</f>
        <v>0</v>
      </c>
    </row>
    <row r="113" spans="1:68" ht="27" customHeight="1" x14ac:dyDescent="0.25">
      <c r="A113" s="55" t="s">
        <v>200</v>
      </c>
      <c r="B113" s="55" t="s">
        <v>201</v>
      </c>
      <c r="C113" s="32">
        <v>4301031204</v>
      </c>
      <c r="D113" s="416">
        <v>4680115881761</v>
      </c>
      <c r="E113" s="417"/>
      <c r="F113" s="400">
        <v>0.7</v>
      </c>
      <c r="G113" s="33">
        <v>6</v>
      </c>
      <c r="H113" s="400">
        <v>4.2</v>
      </c>
      <c r="I113" s="400">
        <v>4.47</v>
      </c>
      <c r="J113" s="33">
        <v>132</v>
      </c>
      <c r="K113" s="33" t="s">
        <v>94</v>
      </c>
      <c r="L113" s="33"/>
      <c r="M113" s="34" t="s">
        <v>70</v>
      </c>
      <c r="N113" s="34"/>
      <c r="O113" s="33">
        <v>40</v>
      </c>
      <c r="P113" s="4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13" s="406"/>
      <c r="R113" s="406"/>
      <c r="S113" s="406"/>
      <c r="T113" s="407"/>
      <c r="U113" s="35"/>
      <c r="V113" s="35"/>
      <c r="W113" s="36" t="s">
        <v>71</v>
      </c>
      <c r="X113" s="401">
        <v>100</v>
      </c>
      <c r="Y113" s="402">
        <f t="shared" si="5"/>
        <v>100.80000000000001</v>
      </c>
      <c r="Z113" s="37">
        <f>IFERROR(IF(Y113=0,"",ROUNDUP(Y113/H113,0)*0.00902),"")</f>
        <v>0.21648000000000001</v>
      </c>
      <c r="AA113" s="57"/>
      <c r="AB113" s="58"/>
      <c r="AC113" s="152" t="s">
        <v>202</v>
      </c>
      <c r="AG113" s="65"/>
      <c r="AJ113" s="69"/>
      <c r="AK113" s="69">
        <v>0</v>
      </c>
      <c r="BB113" s="153" t="s">
        <v>1</v>
      </c>
      <c r="BM113" s="65">
        <f t="shared" si="6"/>
        <v>106.42857142857143</v>
      </c>
      <c r="BN113" s="65">
        <f t="shared" si="7"/>
        <v>107.28</v>
      </c>
      <c r="BO113" s="65">
        <f t="shared" si="8"/>
        <v>0.18037518037518038</v>
      </c>
      <c r="BP113" s="65">
        <f t="shared" si="9"/>
        <v>0.18181818181818182</v>
      </c>
    </row>
    <row r="114" spans="1:68" ht="27" customHeight="1" x14ac:dyDescent="0.25">
      <c r="A114" s="55" t="s">
        <v>203</v>
      </c>
      <c r="B114" s="55" t="s">
        <v>204</v>
      </c>
      <c r="C114" s="32">
        <v>4301031201</v>
      </c>
      <c r="D114" s="416">
        <v>4680115881563</v>
      </c>
      <c r="E114" s="417"/>
      <c r="F114" s="400">
        <v>0.7</v>
      </c>
      <c r="G114" s="33">
        <v>6</v>
      </c>
      <c r="H114" s="400">
        <v>4.2</v>
      </c>
      <c r="I114" s="400">
        <v>4.41</v>
      </c>
      <c r="J114" s="33">
        <v>132</v>
      </c>
      <c r="K114" s="33" t="s">
        <v>94</v>
      </c>
      <c r="L114" s="33"/>
      <c r="M114" s="34" t="s">
        <v>70</v>
      </c>
      <c r="N114" s="34"/>
      <c r="O114" s="33">
        <v>40</v>
      </c>
      <c r="P114" s="6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14" s="406"/>
      <c r="R114" s="406"/>
      <c r="S114" s="406"/>
      <c r="T114" s="407"/>
      <c r="U114" s="35"/>
      <c r="V114" s="35"/>
      <c r="W114" s="36" t="s">
        <v>71</v>
      </c>
      <c r="X114" s="401">
        <v>0</v>
      </c>
      <c r="Y114" s="402">
        <f t="shared" si="5"/>
        <v>0</v>
      </c>
      <c r="Z114" s="37" t="str">
        <f>IFERROR(IF(Y114=0,"",ROUNDUP(Y114/H114,0)*0.00902),"")</f>
        <v/>
      </c>
      <c r="AA114" s="57"/>
      <c r="AB114" s="58"/>
      <c r="AC114" s="154" t="s">
        <v>205</v>
      </c>
      <c r="AG114" s="65"/>
      <c r="AJ114" s="69"/>
      <c r="AK114" s="69">
        <v>0</v>
      </c>
      <c r="BB114" s="155" t="s">
        <v>1</v>
      </c>
      <c r="BM114" s="65">
        <f t="shared" si="6"/>
        <v>0</v>
      </c>
      <c r="BN114" s="65">
        <f t="shared" si="7"/>
        <v>0</v>
      </c>
      <c r="BO114" s="65">
        <f t="shared" si="8"/>
        <v>0</v>
      </c>
      <c r="BP114" s="65">
        <f t="shared" si="9"/>
        <v>0</v>
      </c>
    </row>
    <row r="115" spans="1:68" ht="27" customHeight="1" x14ac:dyDescent="0.25">
      <c r="A115" s="55" t="s">
        <v>206</v>
      </c>
      <c r="B115" s="55" t="s">
        <v>207</v>
      </c>
      <c r="C115" s="32">
        <v>4301031199</v>
      </c>
      <c r="D115" s="416">
        <v>4680115880986</v>
      </c>
      <c r="E115" s="417"/>
      <c r="F115" s="400">
        <v>0.35</v>
      </c>
      <c r="G115" s="33">
        <v>6</v>
      </c>
      <c r="H115" s="400">
        <v>2.1</v>
      </c>
      <c r="I115" s="400">
        <v>2.23</v>
      </c>
      <c r="J115" s="33">
        <v>234</v>
      </c>
      <c r="K115" s="33" t="s">
        <v>169</v>
      </c>
      <c r="L115" s="33"/>
      <c r="M115" s="34" t="s">
        <v>70</v>
      </c>
      <c r="N115" s="34"/>
      <c r="O115" s="33">
        <v>40</v>
      </c>
      <c r="P115" s="5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15" s="406"/>
      <c r="R115" s="406"/>
      <c r="S115" s="406"/>
      <c r="T115" s="407"/>
      <c r="U115" s="35"/>
      <c r="V115" s="35"/>
      <c r="W115" s="36" t="s">
        <v>71</v>
      </c>
      <c r="X115" s="401">
        <v>0</v>
      </c>
      <c r="Y115" s="402">
        <f t="shared" si="5"/>
        <v>0</v>
      </c>
      <c r="Z115" s="37" t="str">
        <f>IFERROR(IF(Y115=0,"",ROUNDUP(Y115/H115,0)*0.00502),"")</f>
        <v/>
      </c>
      <c r="AA115" s="57"/>
      <c r="AB115" s="58"/>
      <c r="AC115" s="156" t="s">
        <v>199</v>
      </c>
      <c r="AG115" s="65"/>
      <c r="AJ115" s="69"/>
      <c r="AK115" s="69">
        <v>0</v>
      </c>
      <c r="BB115" s="157" t="s">
        <v>1</v>
      </c>
      <c r="BM115" s="65">
        <f t="shared" si="6"/>
        <v>0</v>
      </c>
      <c r="BN115" s="65">
        <f t="shared" si="7"/>
        <v>0</v>
      </c>
      <c r="BO115" s="65">
        <f t="shared" si="8"/>
        <v>0</v>
      </c>
      <c r="BP115" s="65">
        <f t="shared" si="9"/>
        <v>0</v>
      </c>
    </row>
    <row r="116" spans="1:68" ht="27" customHeight="1" x14ac:dyDescent="0.25">
      <c r="A116" s="55" t="s">
        <v>208</v>
      </c>
      <c r="B116" s="55" t="s">
        <v>209</v>
      </c>
      <c r="C116" s="32">
        <v>4301031205</v>
      </c>
      <c r="D116" s="416">
        <v>4680115881785</v>
      </c>
      <c r="E116" s="417"/>
      <c r="F116" s="400">
        <v>0.35</v>
      </c>
      <c r="G116" s="33">
        <v>6</v>
      </c>
      <c r="H116" s="400">
        <v>2.1</v>
      </c>
      <c r="I116" s="400">
        <v>2.23</v>
      </c>
      <c r="J116" s="33">
        <v>234</v>
      </c>
      <c r="K116" s="33" t="s">
        <v>169</v>
      </c>
      <c r="L116" s="33"/>
      <c r="M116" s="34" t="s">
        <v>70</v>
      </c>
      <c r="N116" s="34"/>
      <c r="O116" s="33">
        <v>40</v>
      </c>
      <c r="P116" s="4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16" s="406"/>
      <c r="R116" s="406"/>
      <c r="S116" s="406"/>
      <c r="T116" s="407"/>
      <c r="U116" s="35"/>
      <c r="V116" s="35"/>
      <c r="W116" s="36" t="s">
        <v>71</v>
      </c>
      <c r="X116" s="401">
        <v>100</v>
      </c>
      <c r="Y116" s="402">
        <f t="shared" si="5"/>
        <v>100.80000000000001</v>
      </c>
      <c r="Z116" s="37">
        <f>IFERROR(IF(Y116=0,"",ROUNDUP(Y116/H116,0)*0.00502),"")</f>
        <v>0.24096000000000001</v>
      </c>
      <c r="AA116" s="57"/>
      <c r="AB116" s="58"/>
      <c r="AC116" s="158" t="s">
        <v>202</v>
      </c>
      <c r="AG116" s="65"/>
      <c r="AJ116" s="69"/>
      <c r="AK116" s="69">
        <v>0</v>
      </c>
      <c r="BB116" s="159" t="s">
        <v>1</v>
      </c>
      <c r="BM116" s="65">
        <f t="shared" si="6"/>
        <v>106.19047619047619</v>
      </c>
      <c r="BN116" s="65">
        <f t="shared" si="7"/>
        <v>107.04</v>
      </c>
      <c r="BO116" s="65">
        <f t="shared" si="8"/>
        <v>0.20350020350020354</v>
      </c>
      <c r="BP116" s="65">
        <f t="shared" si="9"/>
        <v>0.20512820512820515</v>
      </c>
    </row>
    <row r="117" spans="1:68" ht="37.5" customHeight="1" x14ac:dyDescent="0.25">
      <c r="A117" s="55" t="s">
        <v>210</v>
      </c>
      <c r="B117" s="55" t="s">
        <v>211</v>
      </c>
      <c r="C117" s="32">
        <v>4301031202</v>
      </c>
      <c r="D117" s="416">
        <v>4680115881679</v>
      </c>
      <c r="E117" s="417"/>
      <c r="F117" s="400">
        <v>0.35</v>
      </c>
      <c r="G117" s="33">
        <v>6</v>
      </c>
      <c r="H117" s="400">
        <v>2.1</v>
      </c>
      <c r="I117" s="400">
        <v>2.2000000000000002</v>
      </c>
      <c r="J117" s="33">
        <v>234</v>
      </c>
      <c r="K117" s="33" t="s">
        <v>169</v>
      </c>
      <c r="L117" s="33"/>
      <c r="M117" s="34" t="s">
        <v>70</v>
      </c>
      <c r="N117" s="34"/>
      <c r="O117" s="33">
        <v>40</v>
      </c>
      <c r="P117" s="5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17" s="406"/>
      <c r="R117" s="406"/>
      <c r="S117" s="406"/>
      <c r="T117" s="407"/>
      <c r="U117" s="35"/>
      <c r="V117" s="35"/>
      <c r="W117" s="36" t="s">
        <v>71</v>
      </c>
      <c r="X117" s="401">
        <v>100</v>
      </c>
      <c r="Y117" s="402">
        <f t="shared" si="5"/>
        <v>100.80000000000001</v>
      </c>
      <c r="Z117" s="37">
        <f>IFERROR(IF(Y117=0,"",ROUNDUP(Y117/H117,0)*0.00502),"")</f>
        <v>0.24096000000000001</v>
      </c>
      <c r="AA117" s="57"/>
      <c r="AB117" s="58"/>
      <c r="AC117" s="160" t="s">
        <v>205</v>
      </c>
      <c r="AG117" s="65"/>
      <c r="AJ117" s="69"/>
      <c r="AK117" s="69">
        <v>0</v>
      </c>
      <c r="BB117" s="161" t="s">
        <v>1</v>
      </c>
      <c r="BM117" s="65">
        <f t="shared" si="6"/>
        <v>104.76190476190477</v>
      </c>
      <c r="BN117" s="65">
        <f t="shared" si="7"/>
        <v>105.60000000000002</v>
      </c>
      <c r="BO117" s="65">
        <f t="shared" si="8"/>
        <v>0.20350020350020354</v>
      </c>
      <c r="BP117" s="65">
        <f t="shared" si="9"/>
        <v>0.20512820512820515</v>
      </c>
    </row>
    <row r="118" spans="1:68" ht="27" customHeight="1" x14ac:dyDescent="0.25">
      <c r="A118" s="55" t="s">
        <v>212</v>
      </c>
      <c r="B118" s="55" t="s">
        <v>213</v>
      </c>
      <c r="C118" s="32">
        <v>4301031158</v>
      </c>
      <c r="D118" s="416">
        <v>4680115880191</v>
      </c>
      <c r="E118" s="417"/>
      <c r="F118" s="400">
        <v>0.4</v>
      </c>
      <c r="G118" s="33">
        <v>6</v>
      </c>
      <c r="H118" s="400">
        <v>2.4</v>
      </c>
      <c r="I118" s="400">
        <v>2.58</v>
      </c>
      <c r="J118" s="33">
        <v>182</v>
      </c>
      <c r="K118" s="33" t="s">
        <v>69</v>
      </c>
      <c r="L118" s="33"/>
      <c r="M118" s="34" t="s">
        <v>70</v>
      </c>
      <c r="N118" s="34"/>
      <c r="O118" s="33">
        <v>40</v>
      </c>
      <c r="P118" s="50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18" s="406"/>
      <c r="R118" s="406"/>
      <c r="S118" s="406"/>
      <c r="T118" s="407"/>
      <c r="U118" s="35"/>
      <c r="V118" s="35"/>
      <c r="W118" s="36" t="s">
        <v>71</v>
      </c>
      <c r="X118" s="401">
        <v>0</v>
      </c>
      <c r="Y118" s="402">
        <f t="shared" si="5"/>
        <v>0</v>
      </c>
      <c r="Z118" s="37" t="str">
        <f>IFERROR(IF(Y118=0,"",ROUNDUP(Y118/H118,0)*0.00651),"")</f>
        <v/>
      </c>
      <c r="AA118" s="57"/>
      <c r="AB118" s="58"/>
      <c r="AC118" s="162" t="s">
        <v>205</v>
      </c>
      <c r="AG118" s="65"/>
      <c r="AJ118" s="69"/>
      <c r="AK118" s="69">
        <v>0</v>
      </c>
      <c r="BB118" s="163" t="s">
        <v>1</v>
      </c>
      <c r="BM118" s="65">
        <f t="shared" si="6"/>
        <v>0</v>
      </c>
      <c r="BN118" s="65">
        <f t="shared" si="7"/>
        <v>0</v>
      </c>
      <c r="BO118" s="65">
        <f t="shared" si="8"/>
        <v>0</v>
      </c>
      <c r="BP118" s="65">
        <f t="shared" si="9"/>
        <v>0</v>
      </c>
    </row>
    <row r="119" spans="1:68" ht="27" customHeight="1" x14ac:dyDescent="0.25">
      <c r="A119" s="55" t="s">
        <v>214</v>
      </c>
      <c r="B119" s="55" t="s">
        <v>215</v>
      </c>
      <c r="C119" s="32">
        <v>4301031245</v>
      </c>
      <c r="D119" s="416">
        <v>4680115883963</v>
      </c>
      <c r="E119" s="417"/>
      <c r="F119" s="400">
        <v>0.28000000000000003</v>
      </c>
      <c r="G119" s="33">
        <v>6</v>
      </c>
      <c r="H119" s="400">
        <v>1.68</v>
      </c>
      <c r="I119" s="400">
        <v>1.78</v>
      </c>
      <c r="J119" s="33">
        <v>234</v>
      </c>
      <c r="K119" s="33" t="s">
        <v>169</v>
      </c>
      <c r="L119" s="33"/>
      <c r="M119" s="34" t="s">
        <v>70</v>
      </c>
      <c r="N119" s="34"/>
      <c r="O119" s="33">
        <v>40</v>
      </c>
      <c r="P119" s="50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19" s="406"/>
      <c r="R119" s="406"/>
      <c r="S119" s="406"/>
      <c r="T119" s="407"/>
      <c r="U119" s="35"/>
      <c r="V119" s="35"/>
      <c r="W119" s="36" t="s">
        <v>71</v>
      </c>
      <c r="X119" s="401">
        <v>0</v>
      </c>
      <c r="Y119" s="402">
        <f t="shared" si="5"/>
        <v>0</v>
      </c>
      <c r="Z119" s="37" t="str">
        <f>IFERROR(IF(Y119=0,"",ROUNDUP(Y119/H119,0)*0.00502),"")</f>
        <v/>
      </c>
      <c r="AA119" s="57"/>
      <c r="AB119" s="58"/>
      <c r="AC119" s="164" t="s">
        <v>216</v>
      </c>
      <c r="AG119" s="65"/>
      <c r="AJ119" s="69"/>
      <c r="AK119" s="69">
        <v>0</v>
      </c>
      <c r="BB119" s="165" t="s">
        <v>1</v>
      </c>
      <c r="BM119" s="65">
        <f t="shared" si="6"/>
        <v>0</v>
      </c>
      <c r="BN119" s="65">
        <f t="shared" si="7"/>
        <v>0</v>
      </c>
      <c r="BO119" s="65">
        <f t="shared" si="8"/>
        <v>0</v>
      </c>
      <c r="BP119" s="65">
        <f t="shared" si="9"/>
        <v>0</v>
      </c>
    </row>
    <row r="120" spans="1:68" x14ac:dyDescent="0.2">
      <c r="A120" s="425"/>
      <c r="B120" s="415"/>
      <c r="C120" s="415"/>
      <c r="D120" s="415"/>
      <c r="E120" s="415"/>
      <c r="F120" s="415"/>
      <c r="G120" s="415"/>
      <c r="H120" s="415"/>
      <c r="I120" s="415"/>
      <c r="J120" s="415"/>
      <c r="K120" s="415"/>
      <c r="L120" s="415"/>
      <c r="M120" s="415"/>
      <c r="N120" s="415"/>
      <c r="O120" s="426"/>
      <c r="P120" s="411" t="s">
        <v>76</v>
      </c>
      <c r="Q120" s="412"/>
      <c r="R120" s="412"/>
      <c r="S120" s="412"/>
      <c r="T120" s="412"/>
      <c r="U120" s="412"/>
      <c r="V120" s="413"/>
      <c r="W120" s="38" t="s">
        <v>77</v>
      </c>
      <c r="X120" s="403">
        <f>IFERROR(X112/H112,"0")+IFERROR(X113/H113,"0")+IFERROR(X114/H114,"0")+IFERROR(X115/H115,"0")+IFERROR(X116/H116,"0")+IFERROR(X117/H117,"0")+IFERROR(X118/H118,"0")+IFERROR(X119/H119,"0")</f>
        <v>119.04761904761905</v>
      </c>
      <c r="Y120" s="403">
        <f>IFERROR(Y112/H112,"0")+IFERROR(Y113/H113,"0")+IFERROR(Y114/H114,"0")+IFERROR(Y115/H115,"0")+IFERROR(Y116/H116,"0")+IFERROR(Y117/H117,"0")+IFERROR(Y118/H118,"0")+IFERROR(Y119/H119,"0")</f>
        <v>120</v>
      </c>
      <c r="Z120" s="403">
        <f>IFERROR(IF(Z112="",0,Z112),"0")+IFERROR(IF(Z113="",0,Z113),"0")+IFERROR(IF(Z114="",0,Z114),"0")+IFERROR(IF(Z115="",0,Z115),"0")+IFERROR(IF(Z116="",0,Z116),"0")+IFERROR(IF(Z117="",0,Z117),"0")+IFERROR(IF(Z118="",0,Z118),"0")+IFERROR(IF(Z119="",0,Z119),"0")</f>
        <v>0.69840000000000002</v>
      </c>
      <c r="AA120" s="404"/>
      <c r="AB120" s="404"/>
      <c r="AC120" s="404"/>
    </row>
    <row r="121" spans="1:68" x14ac:dyDescent="0.2">
      <c r="A121" s="415"/>
      <c r="B121" s="415"/>
      <c r="C121" s="415"/>
      <c r="D121" s="415"/>
      <c r="E121" s="415"/>
      <c r="F121" s="415"/>
      <c r="G121" s="415"/>
      <c r="H121" s="415"/>
      <c r="I121" s="415"/>
      <c r="J121" s="415"/>
      <c r="K121" s="415"/>
      <c r="L121" s="415"/>
      <c r="M121" s="415"/>
      <c r="N121" s="415"/>
      <c r="O121" s="426"/>
      <c r="P121" s="411" t="s">
        <v>76</v>
      </c>
      <c r="Q121" s="412"/>
      <c r="R121" s="412"/>
      <c r="S121" s="412"/>
      <c r="T121" s="412"/>
      <c r="U121" s="412"/>
      <c r="V121" s="413"/>
      <c r="W121" s="38" t="s">
        <v>71</v>
      </c>
      <c r="X121" s="403">
        <f>IFERROR(SUM(X112:X119),"0")</f>
        <v>300</v>
      </c>
      <c r="Y121" s="403">
        <f>IFERROR(SUM(Y112:Y119),"0")</f>
        <v>302.40000000000003</v>
      </c>
      <c r="Z121" s="38"/>
      <c r="AA121" s="404"/>
      <c r="AB121" s="404"/>
      <c r="AC121" s="404"/>
    </row>
    <row r="122" spans="1:68" ht="14.25" customHeight="1" x14ac:dyDescent="0.25">
      <c r="A122" s="414" t="s">
        <v>78</v>
      </c>
      <c r="B122" s="415"/>
      <c r="C122" s="415"/>
      <c r="D122" s="415"/>
      <c r="E122" s="415"/>
      <c r="F122" s="415"/>
      <c r="G122" s="415"/>
      <c r="H122" s="415"/>
      <c r="I122" s="415"/>
      <c r="J122" s="415"/>
      <c r="K122" s="415"/>
      <c r="L122" s="415"/>
      <c r="M122" s="415"/>
      <c r="N122" s="415"/>
      <c r="O122" s="415"/>
      <c r="P122" s="415"/>
      <c r="Q122" s="415"/>
      <c r="R122" s="415"/>
      <c r="S122" s="415"/>
      <c r="T122" s="415"/>
      <c r="U122" s="415"/>
      <c r="V122" s="415"/>
      <c r="W122" s="415"/>
      <c r="X122" s="415"/>
      <c r="Y122" s="415"/>
      <c r="Z122" s="415"/>
      <c r="AA122" s="397"/>
      <c r="AB122" s="397"/>
      <c r="AC122" s="397"/>
    </row>
    <row r="123" spans="1:68" ht="27" customHeight="1" x14ac:dyDescent="0.25">
      <c r="A123" s="55" t="s">
        <v>217</v>
      </c>
      <c r="B123" s="55" t="s">
        <v>218</v>
      </c>
      <c r="C123" s="32">
        <v>4301032053</v>
      </c>
      <c r="D123" s="416">
        <v>4680115886780</v>
      </c>
      <c r="E123" s="417"/>
      <c r="F123" s="400">
        <v>7.0000000000000007E-2</v>
      </c>
      <c r="G123" s="33">
        <v>18</v>
      </c>
      <c r="H123" s="400">
        <v>1.26</v>
      </c>
      <c r="I123" s="400">
        <v>1.45</v>
      </c>
      <c r="J123" s="33">
        <v>216</v>
      </c>
      <c r="K123" s="33" t="s">
        <v>219</v>
      </c>
      <c r="L123" s="33"/>
      <c r="M123" s="34" t="s">
        <v>220</v>
      </c>
      <c r="N123" s="34"/>
      <c r="O123" s="33">
        <v>60</v>
      </c>
      <c r="P123" s="63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23" s="406"/>
      <c r="R123" s="406"/>
      <c r="S123" s="406"/>
      <c r="T123" s="407"/>
      <c r="U123" s="35"/>
      <c r="V123" s="35"/>
      <c r="W123" s="36" t="s">
        <v>71</v>
      </c>
      <c r="X123" s="401">
        <v>0</v>
      </c>
      <c r="Y123" s="402">
        <f>IFERROR(IF(X123="",0,CEILING((X123/$H123),1)*$H123),"")</f>
        <v>0</v>
      </c>
      <c r="Z123" s="37" t="str">
        <f>IFERROR(IF(Y123=0,"",ROUNDUP(Y123/H123,0)*0.0059),"")</f>
        <v/>
      </c>
      <c r="AA123" s="57"/>
      <c r="AB123" s="58"/>
      <c r="AC123" s="166" t="s">
        <v>221</v>
      </c>
      <c r="AG123" s="65"/>
      <c r="AJ123" s="69"/>
      <c r="AK123" s="69">
        <v>0</v>
      </c>
      <c r="BB123" s="167" t="s">
        <v>1</v>
      </c>
      <c r="BM123" s="65">
        <f>IFERROR(X123*I123/H123,"0")</f>
        <v>0</v>
      </c>
      <c r="BN123" s="65">
        <f>IFERROR(Y123*I123/H123,"0")</f>
        <v>0</v>
      </c>
      <c r="BO123" s="65">
        <f>IFERROR(1/J123*(X123/H123),"0")</f>
        <v>0</v>
      </c>
      <c r="BP123" s="65">
        <f>IFERROR(1/J123*(Y123/H123),"0")</f>
        <v>0</v>
      </c>
    </row>
    <row r="124" spans="1:68" ht="27" customHeight="1" x14ac:dyDescent="0.25">
      <c r="A124" s="55" t="s">
        <v>222</v>
      </c>
      <c r="B124" s="55" t="s">
        <v>223</v>
      </c>
      <c r="C124" s="32">
        <v>4301032051</v>
      </c>
      <c r="D124" s="416">
        <v>4680115886742</v>
      </c>
      <c r="E124" s="417"/>
      <c r="F124" s="400">
        <v>7.0000000000000007E-2</v>
      </c>
      <c r="G124" s="33">
        <v>18</v>
      </c>
      <c r="H124" s="400">
        <v>1.26</v>
      </c>
      <c r="I124" s="400">
        <v>1.45</v>
      </c>
      <c r="J124" s="33">
        <v>216</v>
      </c>
      <c r="K124" s="33" t="s">
        <v>219</v>
      </c>
      <c r="L124" s="33"/>
      <c r="M124" s="34" t="s">
        <v>220</v>
      </c>
      <c r="N124" s="34"/>
      <c r="O124" s="33">
        <v>90</v>
      </c>
      <c r="P124" s="65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24" s="406"/>
      <c r="R124" s="406"/>
      <c r="S124" s="406"/>
      <c r="T124" s="407"/>
      <c r="U124" s="35"/>
      <c r="V124" s="35"/>
      <c r="W124" s="36" t="s">
        <v>71</v>
      </c>
      <c r="X124" s="401">
        <v>0</v>
      </c>
      <c r="Y124" s="402">
        <f>IFERROR(IF(X124="",0,CEILING((X124/$H124),1)*$H124),"")</f>
        <v>0</v>
      </c>
      <c r="Z124" s="37" t="str">
        <f>IFERROR(IF(Y124=0,"",ROUNDUP(Y124/H124,0)*0.0059),"")</f>
        <v/>
      </c>
      <c r="AA124" s="57"/>
      <c r="AB124" s="58"/>
      <c r="AC124" s="168" t="s">
        <v>224</v>
      </c>
      <c r="AG124" s="65"/>
      <c r="AJ124" s="69"/>
      <c r="AK124" s="69">
        <v>0</v>
      </c>
      <c r="BB124" s="169" t="s">
        <v>1</v>
      </c>
      <c r="BM124" s="65">
        <f>IFERROR(X124*I124/H124,"0")</f>
        <v>0</v>
      </c>
      <c r="BN124" s="65">
        <f>IFERROR(Y124*I124/H124,"0")</f>
        <v>0</v>
      </c>
      <c r="BO124" s="65">
        <f>IFERROR(1/J124*(X124/H124),"0")</f>
        <v>0</v>
      </c>
      <c r="BP124" s="65">
        <f>IFERROR(1/J124*(Y124/H124),"0")</f>
        <v>0</v>
      </c>
    </row>
    <row r="125" spans="1:68" ht="27" customHeight="1" x14ac:dyDescent="0.25">
      <c r="A125" s="55" t="s">
        <v>225</v>
      </c>
      <c r="B125" s="55" t="s">
        <v>226</v>
      </c>
      <c r="C125" s="32">
        <v>4301032052</v>
      </c>
      <c r="D125" s="416">
        <v>4680115886766</v>
      </c>
      <c r="E125" s="417"/>
      <c r="F125" s="400">
        <v>7.0000000000000007E-2</v>
      </c>
      <c r="G125" s="33">
        <v>18</v>
      </c>
      <c r="H125" s="400">
        <v>1.26</v>
      </c>
      <c r="I125" s="400">
        <v>1.45</v>
      </c>
      <c r="J125" s="33">
        <v>216</v>
      </c>
      <c r="K125" s="33" t="s">
        <v>219</v>
      </c>
      <c r="L125" s="33"/>
      <c r="M125" s="34" t="s">
        <v>220</v>
      </c>
      <c r="N125" s="34"/>
      <c r="O125" s="33">
        <v>90</v>
      </c>
      <c r="P125" s="60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25" s="406"/>
      <c r="R125" s="406"/>
      <c r="S125" s="406"/>
      <c r="T125" s="407"/>
      <c r="U125" s="35"/>
      <c r="V125" s="35"/>
      <c r="W125" s="36" t="s">
        <v>71</v>
      </c>
      <c r="X125" s="401">
        <v>0</v>
      </c>
      <c r="Y125" s="402">
        <f>IFERROR(IF(X125="",0,CEILING((X125/$H125),1)*$H125),"")</f>
        <v>0</v>
      </c>
      <c r="Z125" s="37" t="str">
        <f>IFERROR(IF(Y125=0,"",ROUNDUP(Y125/H125,0)*0.0059),"")</f>
        <v/>
      </c>
      <c r="AA125" s="57"/>
      <c r="AB125" s="58"/>
      <c r="AC125" s="170" t="s">
        <v>224</v>
      </c>
      <c r="AG125" s="65"/>
      <c r="AJ125" s="69"/>
      <c r="AK125" s="69">
        <v>0</v>
      </c>
      <c r="BB125" s="171" t="s">
        <v>1</v>
      </c>
      <c r="BM125" s="65">
        <f>IFERROR(X125*I125/H125,"0")</f>
        <v>0</v>
      </c>
      <c r="BN125" s="65">
        <f>IFERROR(Y125*I125/H125,"0")</f>
        <v>0</v>
      </c>
      <c r="BO125" s="65">
        <f>IFERROR(1/J125*(X125/H125),"0")</f>
        <v>0</v>
      </c>
      <c r="BP125" s="65">
        <f>IFERROR(1/J125*(Y125/H125),"0")</f>
        <v>0</v>
      </c>
    </row>
    <row r="126" spans="1:68" x14ac:dyDescent="0.2">
      <c r="A126" s="425"/>
      <c r="B126" s="415"/>
      <c r="C126" s="415"/>
      <c r="D126" s="415"/>
      <c r="E126" s="415"/>
      <c r="F126" s="415"/>
      <c r="G126" s="415"/>
      <c r="H126" s="415"/>
      <c r="I126" s="415"/>
      <c r="J126" s="415"/>
      <c r="K126" s="415"/>
      <c r="L126" s="415"/>
      <c r="M126" s="415"/>
      <c r="N126" s="415"/>
      <c r="O126" s="426"/>
      <c r="P126" s="411" t="s">
        <v>76</v>
      </c>
      <c r="Q126" s="412"/>
      <c r="R126" s="412"/>
      <c r="S126" s="412"/>
      <c r="T126" s="412"/>
      <c r="U126" s="412"/>
      <c r="V126" s="413"/>
      <c r="W126" s="38" t="s">
        <v>77</v>
      </c>
      <c r="X126" s="403">
        <f>IFERROR(X123/H123,"0")+IFERROR(X124/H124,"0")+IFERROR(X125/H125,"0")</f>
        <v>0</v>
      </c>
      <c r="Y126" s="403">
        <f>IFERROR(Y123/H123,"0")+IFERROR(Y124/H124,"0")+IFERROR(Y125/H125,"0")</f>
        <v>0</v>
      </c>
      <c r="Z126" s="403">
        <f>IFERROR(IF(Z123="",0,Z123),"0")+IFERROR(IF(Z124="",0,Z124),"0")+IFERROR(IF(Z125="",0,Z125),"0")</f>
        <v>0</v>
      </c>
      <c r="AA126" s="404"/>
      <c r="AB126" s="404"/>
      <c r="AC126" s="404"/>
    </row>
    <row r="127" spans="1:68" x14ac:dyDescent="0.2">
      <c r="A127" s="415"/>
      <c r="B127" s="415"/>
      <c r="C127" s="415"/>
      <c r="D127" s="415"/>
      <c r="E127" s="415"/>
      <c r="F127" s="415"/>
      <c r="G127" s="415"/>
      <c r="H127" s="415"/>
      <c r="I127" s="415"/>
      <c r="J127" s="415"/>
      <c r="K127" s="415"/>
      <c r="L127" s="415"/>
      <c r="M127" s="415"/>
      <c r="N127" s="415"/>
      <c r="O127" s="426"/>
      <c r="P127" s="411" t="s">
        <v>76</v>
      </c>
      <c r="Q127" s="412"/>
      <c r="R127" s="412"/>
      <c r="S127" s="412"/>
      <c r="T127" s="412"/>
      <c r="U127" s="412"/>
      <c r="V127" s="413"/>
      <c r="W127" s="38" t="s">
        <v>71</v>
      </c>
      <c r="X127" s="403">
        <f>IFERROR(SUM(X123:X125),"0")</f>
        <v>0</v>
      </c>
      <c r="Y127" s="403">
        <f>IFERROR(SUM(Y123:Y125),"0")</f>
        <v>0</v>
      </c>
      <c r="Z127" s="38"/>
      <c r="AA127" s="404"/>
      <c r="AB127" s="404"/>
      <c r="AC127" s="404"/>
    </row>
    <row r="128" spans="1:68" ht="14.25" customHeight="1" x14ac:dyDescent="0.25">
      <c r="A128" s="414" t="s">
        <v>227</v>
      </c>
      <c r="B128" s="415"/>
      <c r="C128" s="415"/>
      <c r="D128" s="415"/>
      <c r="E128" s="415"/>
      <c r="F128" s="415"/>
      <c r="G128" s="415"/>
      <c r="H128" s="415"/>
      <c r="I128" s="415"/>
      <c r="J128" s="415"/>
      <c r="K128" s="415"/>
      <c r="L128" s="415"/>
      <c r="M128" s="415"/>
      <c r="N128" s="415"/>
      <c r="O128" s="415"/>
      <c r="P128" s="415"/>
      <c r="Q128" s="415"/>
      <c r="R128" s="415"/>
      <c r="S128" s="415"/>
      <c r="T128" s="415"/>
      <c r="U128" s="415"/>
      <c r="V128" s="415"/>
      <c r="W128" s="415"/>
      <c r="X128" s="415"/>
      <c r="Y128" s="415"/>
      <c r="Z128" s="415"/>
      <c r="AA128" s="397"/>
      <c r="AB128" s="397"/>
      <c r="AC128" s="397"/>
    </row>
    <row r="129" spans="1:68" ht="27" customHeight="1" x14ac:dyDescent="0.25">
      <c r="A129" s="55" t="s">
        <v>228</v>
      </c>
      <c r="B129" s="55" t="s">
        <v>229</v>
      </c>
      <c r="C129" s="32">
        <v>4301170013</v>
      </c>
      <c r="D129" s="416">
        <v>4680115886797</v>
      </c>
      <c r="E129" s="417"/>
      <c r="F129" s="400">
        <v>7.0000000000000007E-2</v>
      </c>
      <c r="G129" s="33">
        <v>18</v>
      </c>
      <c r="H129" s="400">
        <v>1.26</v>
      </c>
      <c r="I129" s="400">
        <v>1.45</v>
      </c>
      <c r="J129" s="33">
        <v>216</v>
      </c>
      <c r="K129" s="33" t="s">
        <v>219</v>
      </c>
      <c r="L129" s="33"/>
      <c r="M129" s="34" t="s">
        <v>220</v>
      </c>
      <c r="N129" s="34"/>
      <c r="O129" s="33">
        <v>90</v>
      </c>
      <c r="P129" s="4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29" s="406"/>
      <c r="R129" s="406"/>
      <c r="S129" s="406"/>
      <c r="T129" s="407"/>
      <c r="U129" s="35"/>
      <c r="V129" s="35"/>
      <c r="W129" s="36" t="s">
        <v>71</v>
      </c>
      <c r="X129" s="401">
        <v>0</v>
      </c>
      <c r="Y129" s="402">
        <f>IFERROR(IF(X129="",0,CEILING((X129/$H129),1)*$H129),"")</f>
        <v>0</v>
      </c>
      <c r="Z129" s="37" t="str">
        <f>IFERROR(IF(Y129=0,"",ROUNDUP(Y129/H129,0)*0.0059),"")</f>
        <v/>
      </c>
      <c r="AA129" s="57"/>
      <c r="AB129" s="58"/>
      <c r="AC129" s="172" t="s">
        <v>224</v>
      </c>
      <c r="AG129" s="65"/>
      <c r="AJ129" s="69"/>
      <c r="AK129" s="69">
        <v>0</v>
      </c>
      <c r="BB129" s="173" t="s">
        <v>1</v>
      </c>
      <c r="BM129" s="65">
        <f>IFERROR(X129*I129/H129,"0")</f>
        <v>0</v>
      </c>
      <c r="BN129" s="65">
        <f>IFERROR(Y129*I129/H129,"0")</f>
        <v>0</v>
      </c>
      <c r="BO129" s="65">
        <f>IFERROR(1/J129*(X129/H129),"0")</f>
        <v>0</v>
      </c>
      <c r="BP129" s="65">
        <f>IFERROR(1/J129*(Y129/H129),"0")</f>
        <v>0</v>
      </c>
    </row>
    <row r="130" spans="1:68" x14ac:dyDescent="0.2">
      <c r="A130" s="425"/>
      <c r="B130" s="415"/>
      <c r="C130" s="415"/>
      <c r="D130" s="415"/>
      <c r="E130" s="415"/>
      <c r="F130" s="415"/>
      <c r="G130" s="415"/>
      <c r="H130" s="415"/>
      <c r="I130" s="415"/>
      <c r="J130" s="415"/>
      <c r="K130" s="415"/>
      <c r="L130" s="415"/>
      <c r="M130" s="415"/>
      <c r="N130" s="415"/>
      <c r="O130" s="426"/>
      <c r="P130" s="411" t="s">
        <v>76</v>
      </c>
      <c r="Q130" s="412"/>
      <c r="R130" s="412"/>
      <c r="S130" s="412"/>
      <c r="T130" s="412"/>
      <c r="U130" s="412"/>
      <c r="V130" s="413"/>
      <c r="W130" s="38" t="s">
        <v>77</v>
      </c>
      <c r="X130" s="403">
        <f>IFERROR(X129/H129,"0")</f>
        <v>0</v>
      </c>
      <c r="Y130" s="403">
        <f>IFERROR(Y129/H129,"0")</f>
        <v>0</v>
      </c>
      <c r="Z130" s="403">
        <f>IFERROR(IF(Z129="",0,Z129),"0")</f>
        <v>0</v>
      </c>
      <c r="AA130" s="404"/>
      <c r="AB130" s="404"/>
      <c r="AC130" s="404"/>
    </row>
    <row r="131" spans="1:68" x14ac:dyDescent="0.2">
      <c r="A131" s="415"/>
      <c r="B131" s="415"/>
      <c r="C131" s="415"/>
      <c r="D131" s="415"/>
      <c r="E131" s="415"/>
      <c r="F131" s="415"/>
      <c r="G131" s="415"/>
      <c r="H131" s="415"/>
      <c r="I131" s="415"/>
      <c r="J131" s="415"/>
      <c r="K131" s="415"/>
      <c r="L131" s="415"/>
      <c r="M131" s="415"/>
      <c r="N131" s="415"/>
      <c r="O131" s="426"/>
      <c r="P131" s="411" t="s">
        <v>76</v>
      </c>
      <c r="Q131" s="412"/>
      <c r="R131" s="412"/>
      <c r="S131" s="412"/>
      <c r="T131" s="412"/>
      <c r="U131" s="412"/>
      <c r="V131" s="413"/>
      <c r="W131" s="38" t="s">
        <v>71</v>
      </c>
      <c r="X131" s="403">
        <f>IFERROR(SUM(X129:X129),"0")</f>
        <v>0</v>
      </c>
      <c r="Y131" s="403">
        <f>IFERROR(SUM(Y129:Y129),"0")</f>
        <v>0</v>
      </c>
      <c r="Z131" s="38"/>
      <c r="AA131" s="404"/>
      <c r="AB131" s="404"/>
      <c r="AC131" s="404"/>
    </row>
    <row r="132" spans="1:68" ht="16.5" customHeight="1" x14ac:dyDescent="0.25">
      <c r="A132" s="463" t="s">
        <v>230</v>
      </c>
      <c r="B132" s="415"/>
      <c r="C132" s="415"/>
      <c r="D132" s="415"/>
      <c r="E132" s="415"/>
      <c r="F132" s="415"/>
      <c r="G132" s="415"/>
      <c r="H132" s="415"/>
      <c r="I132" s="415"/>
      <c r="J132" s="415"/>
      <c r="K132" s="415"/>
      <c r="L132" s="415"/>
      <c r="M132" s="415"/>
      <c r="N132" s="415"/>
      <c r="O132" s="415"/>
      <c r="P132" s="415"/>
      <c r="Q132" s="415"/>
      <c r="R132" s="415"/>
      <c r="S132" s="415"/>
      <c r="T132" s="415"/>
      <c r="U132" s="415"/>
      <c r="V132" s="415"/>
      <c r="W132" s="415"/>
      <c r="X132" s="415"/>
      <c r="Y132" s="415"/>
      <c r="Z132" s="415"/>
      <c r="AA132" s="396"/>
      <c r="AB132" s="396"/>
      <c r="AC132" s="396"/>
    </row>
    <row r="133" spans="1:68" ht="14.25" customHeight="1" x14ac:dyDescent="0.25">
      <c r="A133" s="414" t="s">
        <v>86</v>
      </c>
      <c r="B133" s="415"/>
      <c r="C133" s="415"/>
      <c r="D133" s="415"/>
      <c r="E133" s="415"/>
      <c r="F133" s="415"/>
      <c r="G133" s="415"/>
      <c r="H133" s="415"/>
      <c r="I133" s="415"/>
      <c r="J133" s="415"/>
      <c r="K133" s="415"/>
      <c r="L133" s="415"/>
      <c r="M133" s="415"/>
      <c r="N133" s="415"/>
      <c r="O133" s="415"/>
      <c r="P133" s="415"/>
      <c r="Q133" s="415"/>
      <c r="R133" s="415"/>
      <c r="S133" s="415"/>
      <c r="T133" s="415"/>
      <c r="U133" s="415"/>
      <c r="V133" s="415"/>
      <c r="W133" s="415"/>
      <c r="X133" s="415"/>
      <c r="Y133" s="415"/>
      <c r="Z133" s="415"/>
      <c r="AA133" s="397"/>
      <c r="AB133" s="397"/>
      <c r="AC133" s="397"/>
    </row>
    <row r="134" spans="1:68" ht="16.5" customHeight="1" x14ac:dyDescent="0.25">
      <c r="A134" s="55" t="s">
        <v>231</v>
      </c>
      <c r="B134" s="55" t="s">
        <v>232</v>
      </c>
      <c r="C134" s="32">
        <v>4301011450</v>
      </c>
      <c r="D134" s="416">
        <v>4680115881402</v>
      </c>
      <c r="E134" s="417"/>
      <c r="F134" s="400">
        <v>1.35</v>
      </c>
      <c r="G134" s="33">
        <v>8</v>
      </c>
      <c r="H134" s="400">
        <v>10.8</v>
      </c>
      <c r="I134" s="400">
        <v>11.234999999999999</v>
      </c>
      <c r="J134" s="33">
        <v>64</v>
      </c>
      <c r="K134" s="33" t="s">
        <v>89</v>
      </c>
      <c r="L134" s="33"/>
      <c r="M134" s="34" t="s">
        <v>90</v>
      </c>
      <c r="N134" s="34"/>
      <c r="O134" s="33">
        <v>55</v>
      </c>
      <c r="P134" s="6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34" s="406"/>
      <c r="R134" s="406"/>
      <c r="S134" s="406"/>
      <c r="T134" s="407"/>
      <c r="U134" s="35"/>
      <c r="V134" s="35"/>
      <c r="W134" s="36" t="s">
        <v>71</v>
      </c>
      <c r="X134" s="401">
        <v>0</v>
      </c>
      <c r="Y134" s="402">
        <f>IFERROR(IF(X134="",0,CEILING((X134/$H134),1)*$H134),"")</f>
        <v>0</v>
      </c>
      <c r="Z134" s="37" t="str">
        <f>IFERROR(IF(Y134=0,"",ROUNDUP(Y134/H134,0)*0.01898),"")</f>
        <v/>
      </c>
      <c r="AA134" s="57"/>
      <c r="AB134" s="58"/>
      <c r="AC134" s="174" t="s">
        <v>233</v>
      </c>
      <c r="AG134" s="65"/>
      <c r="AJ134" s="69"/>
      <c r="AK134" s="69">
        <v>0</v>
      </c>
      <c r="BB134" s="175" t="s">
        <v>1</v>
      </c>
      <c r="BM134" s="65">
        <f>IFERROR(X134*I134/H134,"0")</f>
        <v>0</v>
      </c>
      <c r="BN134" s="65">
        <f>IFERROR(Y134*I134/H134,"0")</f>
        <v>0</v>
      </c>
      <c r="BO134" s="65">
        <f>IFERROR(1/J134*(X134/H134),"0")</f>
        <v>0</v>
      </c>
      <c r="BP134" s="65">
        <f>IFERROR(1/J134*(Y134/H134),"0")</f>
        <v>0</v>
      </c>
    </row>
    <row r="135" spans="1:68" ht="27" customHeight="1" x14ac:dyDescent="0.25">
      <c r="A135" s="55" t="s">
        <v>234</v>
      </c>
      <c r="B135" s="55" t="s">
        <v>235</v>
      </c>
      <c r="C135" s="32">
        <v>4301011768</v>
      </c>
      <c r="D135" s="416">
        <v>4680115881396</v>
      </c>
      <c r="E135" s="417"/>
      <c r="F135" s="400">
        <v>0.45</v>
      </c>
      <c r="G135" s="33">
        <v>6</v>
      </c>
      <c r="H135" s="400">
        <v>2.7</v>
      </c>
      <c r="I135" s="400">
        <v>2.88</v>
      </c>
      <c r="J135" s="33">
        <v>182</v>
      </c>
      <c r="K135" s="33" t="s">
        <v>69</v>
      </c>
      <c r="L135" s="33"/>
      <c r="M135" s="34" t="s">
        <v>90</v>
      </c>
      <c r="N135" s="34"/>
      <c r="O135" s="33">
        <v>55</v>
      </c>
      <c r="P135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35" s="406"/>
      <c r="R135" s="406"/>
      <c r="S135" s="406"/>
      <c r="T135" s="407"/>
      <c r="U135" s="35"/>
      <c r="V135" s="35"/>
      <c r="W135" s="36" t="s">
        <v>71</v>
      </c>
      <c r="X135" s="401">
        <v>0</v>
      </c>
      <c r="Y135" s="402">
        <f>IFERROR(IF(X135="",0,CEILING((X135/$H135),1)*$H135),"")</f>
        <v>0</v>
      </c>
      <c r="Z135" s="37" t="str">
        <f>IFERROR(IF(Y135=0,"",ROUNDUP(Y135/H135,0)*0.00651),"")</f>
        <v/>
      </c>
      <c r="AA135" s="57"/>
      <c r="AB135" s="58"/>
      <c r="AC135" s="176" t="s">
        <v>233</v>
      </c>
      <c r="AG135" s="65"/>
      <c r="AJ135" s="69"/>
      <c r="AK135" s="69">
        <v>0</v>
      </c>
      <c r="BB135" s="177" t="s">
        <v>1</v>
      </c>
      <c r="BM135" s="65">
        <f>IFERROR(X135*I135/H135,"0")</f>
        <v>0</v>
      </c>
      <c r="BN135" s="65">
        <f>IFERROR(Y135*I135/H135,"0")</f>
        <v>0</v>
      </c>
      <c r="BO135" s="65">
        <f>IFERROR(1/J135*(X135/H135),"0")</f>
        <v>0</v>
      </c>
      <c r="BP135" s="65">
        <f>IFERROR(1/J135*(Y135/H135),"0")</f>
        <v>0</v>
      </c>
    </row>
    <row r="136" spans="1:68" x14ac:dyDescent="0.2">
      <c r="A136" s="425"/>
      <c r="B136" s="415"/>
      <c r="C136" s="415"/>
      <c r="D136" s="415"/>
      <c r="E136" s="415"/>
      <c r="F136" s="415"/>
      <c r="G136" s="415"/>
      <c r="H136" s="415"/>
      <c r="I136" s="415"/>
      <c r="J136" s="415"/>
      <c r="K136" s="415"/>
      <c r="L136" s="415"/>
      <c r="M136" s="415"/>
      <c r="N136" s="415"/>
      <c r="O136" s="426"/>
      <c r="P136" s="411" t="s">
        <v>76</v>
      </c>
      <c r="Q136" s="412"/>
      <c r="R136" s="412"/>
      <c r="S136" s="412"/>
      <c r="T136" s="412"/>
      <c r="U136" s="412"/>
      <c r="V136" s="413"/>
      <c r="W136" s="38" t="s">
        <v>77</v>
      </c>
      <c r="X136" s="403">
        <f>IFERROR(X134/H134,"0")+IFERROR(X135/H135,"0")</f>
        <v>0</v>
      </c>
      <c r="Y136" s="403">
        <f>IFERROR(Y134/H134,"0")+IFERROR(Y135/H135,"0")</f>
        <v>0</v>
      </c>
      <c r="Z136" s="403">
        <f>IFERROR(IF(Z134="",0,Z134),"0")+IFERROR(IF(Z135="",0,Z135),"0")</f>
        <v>0</v>
      </c>
      <c r="AA136" s="404"/>
      <c r="AB136" s="404"/>
      <c r="AC136" s="404"/>
    </row>
    <row r="137" spans="1:68" x14ac:dyDescent="0.2">
      <c r="A137" s="415"/>
      <c r="B137" s="415"/>
      <c r="C137" s="415"/>
      <c r="D137" s="415"/>
      <c r="E137" s="415"/>
      <c r="F137" s="415"/>
      <c r="G137" s="415"/>
      <c r="H137" s="415"/>
      <c r="I137" s="415"/>
      <c r="J137" s="415"/>
      <c r="K137" s="415"/>
      <c r="L137" s="415"/>
      <c r="M137" s="415"/>
      <c r="N137" s="415"/>
      <c r="O137" s="426"/>
      <c r="P137" s="411" t="s">
        <v>76</v>
      </c>
      <c r="Q137" s="412"/>
      <c r="R137" s="412"/>
      <c r="S137" s="412"/>
      <c r="T137" s="412"/>
      <c r="U137" s="412"/>
      <c r="V137" s="413"/>
      <c r="W137" s="38" t="s">
        <v>71</v>
      </c>
      <c r="X137" s="403">
        <f>IFERROR(SUM(X134:X135),"0")</f>
        <v>0</v>
      </c>
      <c r="Y137" s="403">
        <f>IFERROR(SUM(Y134:Y135),"0")</f>
        <v>0</v>
      </c>
      <c r="Z137" s="38"/>
      <c r="AA137" s="404"/>
      <c r="AB137" s="404"/>
      <c r="AC137" s="404"/>
    </row>
    <row r="138" spans="1:68" ht="14.25" customHeight="1" x14ac:dyDescent="0.25">
      <c r="A138" s="414" t="s">
        <v>120</v>
      </c>
      <c r="B138" s="415"/>
      <c r="C138" s="415"/>
      <c r="D138" s="415"/>
      <c r="E138" s="415"/>
      <c r="F138" s="415"/>
      <c r="G138" s="415"/>
      <c r="H138" s="415"/>
      <c r="I138" s="415"/>
      <c r="J138" s="415"/>
      <c r="K138" s="415"/>
      <c r="L138" s="415"/>
      <c r="M138" s="415"/>
      <c r="N138" s="415"/>
      <c r="O138" s="415"/>
      <c r="P138" s="415"/>
      <c r="Q138" s="415"/>
      <c r="R138" s="415"/>
      <c r="S138" s="415"/>
      <c r="T138" s="415"/>
      <c r="U138" s="415"/>
      <c r="V138" s="415"/>
      <c r="W138" s="415"/>
      <c r="X138" s="415"/>
      <c r="Y138" s="415"/>
      <c r="Z138" s="415"/>
      <c r="AA138" s="397"/>
      <c r="AB138" s="397"/>
      <c r="AC138" s="397"/>
    </row>
    <row r="139" spans="1:68" ht="16.5" customHeight="1" x14ac:dyDescent="0.25">
      <c r="A139" s="55" t="s">
        <v>236</v>
      </c>
      <c r="B139" s="55" t="s">
        <v>237</v>
      </c>
      <c r="C139" s="32">
        <v>4301020262</v>
      </c>
      <c r="D139" s="416">
        <v>4680115882935</v>
      </c>
      <c r="E139" s="417"/>
      <c r="F139" s="400">
        <v>1.35</v>
      </c>
      <c r="G139" s="33">
        <v>8</v>
      </c>
      <c r="H139" s="400">
        <v>10.8</v>
      </c>
      <c r="I139" s="400">
        <v>11.234999999999999</v>
      </c>
      <c r="J139" s="33">
        <v>64</v>
      </c>
      <c r="K139" s="33" t="s">
        <v>89</v>
      </c>
      <c r="L139" s="33"/>
      <c r="M139" s="34" t="s">
        <v>95</v>
      </c>
      <c r="N139" s="34"/>
      <c r="O139" s="33">
        <v>50</v>
      </c>
      <c r="P139" s="60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39" s="406"/>
      <c r="R139" s="406"/>
      <c r="S139" s="406"/>
      <c r="T139" s="407"/>
      <c r="U139" s="35"/>
      <c r="V139" s="35"/>
      <c r="W139" s="36" t="s">
        <v>71</v>
      </c>
      <c r="X139" s="401">
        <v>80</v>
      </c>
      <c r="Y139" s="402">
        <f>IFERROR(IF(X139="",0,CEILING((X139/$H139),1)*$H139),"")</f>
        <v>86.4</v>
      </c>
      <c r="Z139" s="37">
        <f>IFERROR(IF(Y139=0,"",ROUNDUP(Y139/H139,0)*0.01898),"")</f>
        <v>0.15184</v>
      </c>
      <c r="AA139" s="57"/>
      <c r="AB139" s="58"/>
      <c r="AC139" s="178" t="s">
        <v>238</v>
      </c>
      <c r="AG139" s="65"/>
      <c r="AJ139" s="69"/>
      <c r="AK139" s="69">
        <v>0</v>
      </c>
      <c r="BB139" s="179" t="s">
        <v>1</v>
      </c>
      <c r="BM139" s="65">
        <f>IFERROR(X139*I139/H139,"0")</f>
        <v>83.222222222222214</v>
      </c>
      <c r="BN139" s="65">
        <f>IFERROR(Y139*I139/H139,"0")</f>
        <v>89.88</v>
      </c>
      <c r="BO139" s="65">
        <f>IFERROR(1/J139*(X139/H139),"0")</f>
        <v>0.11574074074074073</v>
      </c>
      <c r="BP139" s="65">
        <f>IFERROR(1/J139*(Y139/H139),"0")</f>
        <v>0.125</v>
      </c>
    </row>
    <row r="140" spans="1:68" ht="16.5" customHeight="1" x14ac:dyDescent="0.25">
      <c r="A140" s="55" t="s">
        <v>239</v>
      </c>
      <c r="B140" s="55" t="s">
        <v>240</v>
      </c>
      <c r="C140" s="32">
        <v>4301020220</v>
      </c>
      <c r="D140" s="416">
        <v>4680115880764</v>
      </c>
      <c r="E140" s="417"/>
      <c r="F140" s="400">
        <v>0.35</v>
      </c>
      <c r="G140" s="33">
        <v>6</v>
      </c>
      <c r="H140" s="400">
        <v>2.1</v>
      </c>
      <c r="I140" s="400">
        <v>2.2799999999999998</v>
      </c>
      <c r="J140" s="33">
        <v>182</v>
      </c>
      <c r="K140" s="33" t="s">
        <v>69</v>
      </c>
      <c r="L140" s="33"/>
      <c r="M140" s="34" t="s">
        <v>90</v>
      </c>
      <c r="N140" s="34"/>
      <c r="O140" s="33">
        <v>50</v>
      </c>
      <c r="P140" s="5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40" s="406"/>
      <c r="R140" s="406"/>
      <c r="S140" s="406"/>
      <c r="T140" s="407"/>
      <c r="U140" s="35"/>
      <c r="V140" s="35"/>
      <c r="W140" s="36" t="s">
        <v>71</v>
      </c>
      <c r="X140" s="401">
        <v>0</v>
      </c>
      <c r="Y140" s="402">
        <f>IFERROR(IF(X140="",0,CEILING((X140/$H140),1)*$H140),"")</f>
        <v>0</v>
      </c>
      <c r="Z140" s="37" t="str">
        <f>IFERROR(IF(Y140=0,"",ROUNDUP(Y140/H140,0)*0.00651),"")</f>
        <v/>
      </c>
      <c r="AA140" s="57"/>
      <c r="AB140" s="58"/>
      <c r="AC140" s="180" t="s">
        <v>238</v>
      </c>
      <c r="AG140" s="65"/>
      <c r="AJ140" s="69"/>
      <c r="AK140" s="69">
        <v>0</v>
      </c>
      <c r="BB140" s="181" t="s">
        <v>1</v>
      </c>
      <c r="BM140" s="65">
        <f>IFERROR(X140*I140/H140,"0")</f>
        <v>0</v>
      </c>
      <c r="BN140" s="65">
        <f>IFERROR(Y140*I140/H140,"0")</f>
        <v>0</v>
      </c>
      <c r="BO140" s="65">
        <f>IFERROR(1/J140*(X140/H140),"0")</f>
        <v>0</v>
      </c>
      <c r="BP140" s="65">
        <f>IFERROR(1/J140*(Y140/H140),"0")</f>
        <v>0</v>
      </c>
    </row>
    <row r="141" spans="1:68" x14ac:dyDescent="0.2">
      <c r="A141" s="425"/>
      <c r="B141" s="415"/>
      <c r="C141" s="415"/>
      <c r="D141" s="415"/>
      <c r="E141" s="415"/>
      <c r="F141" s="415"/>
      <c r="G141" s="415"/>
      <c r="H141" s="415"/>
      <c r="I141" s="415"/>
      <c r="J141" s="415"/>
      <c r="K141" s="415"/>
      <c r="L141" s="415"/>
      <c r="M141" s="415"/>
      <c r="N141" s="415"/>
      <c r="O141" s="426"/>
      <c r="P141" s="411" t="s">
        <v>76</v>
      </c>
      <c r="Q141" s="412"/>
      <c r="R141" s="412"/>
      <c r="S141" s="412"/>
      <c r="T141" s="412"/>
      <c r="U141" s="412"/>
      <c r="V141" s="413"/>
      <c r="W141" s="38" t="s">
        <v>77</v>
      </c>
      <c r="X141" s="403">
        <f>IFERROR(X139/H139,"0")+IFERROR(X140/H140,"0")</f>
        <v>7.4074074074074066</v>
      </c>
      <c r="Y141" s="403">
        <f>IFERROR(Y139/H139,"0")+IFERROR(Y140/H140,"0")</f>
        <v>8</v>
      </c>
      <c r="Z141" s="403">
        <f>IFERROR(IF(Z139="",0,Z139),"0")+IFERROR(IF(Z140="",0,Z140),"0")</f>
        <v>0.15184</v>
      </c>
      <c r="AA141" s="404"/>
      <c r="AB141" s="404"/>
      <c r="AC141" s="404"/>
    </row>
    <row r="142" spans="1:68" x14ac:dyDescent="0.2">
      <c r="A142" s="415"/>
      <c r="B142" s="415"/>
      <c r="C142" s="415"/>
      <c r="D142" s="415"/>
      <c r="E142" s="415"/>
      <c r="F142" s="415"/>
      <c r="G142" s="415"/>
      <c r="H142" s="415"/>
      <c r="I142" s="415"/>
      <c r="J142" s="415"/>
      <c r="K142" s="415"/>
      <c r="L142" s="415"/>
      <c r="M142" s="415"/>
      <c r="N142" s="415"/>
      <c r="O142" s="426"/>
      <c r="P142" s="411" t="s">
        <v>76</v>
      </c>
      <c r="Q142" s="412"/>
      <c r="R142" s="412"/>
      <c r="S142" s="412"/>
      <c r="T142" s="412"/>
      <c r="U142" s="412"/>
      <c r="V142" s="413"/>
      <c r="W142" s="38" t="s">
        <v>71</v>
      </c>
      <c r="X142" s="403">
        <f>IFERROR(SUM(X139:X140),"0")</f>
        <v>80</v>
      </c>
      <c r="Y142" s="403">
        <f>IFERROR(SUM(Y139:Y140),"0")</f>
        <v>86.4</v>
      </c>
      <c r="Z142" s="38"/>
      <c r="AA142" s="404"/>
      <c r="AB142" s="404"/>
      <c r="AC142" s="404"/>
    </row>
    <row r="143" spans="1:68" ht="14.25" customHeight="1" x14ac:dyDescent="0.25">
      <c r="A143" s="414" t="s">
        <v>185</v>
      </c>
      <c r="B143" s="415"/>
      <c r="C143" s="415"/>
      <c r="D143" s="415"/>
      <c r="E143" s="415"/>
      <c r="F143" s="415"/>
      <c r="G143" s="415"/>
      <c r="H143" s="415"/>
      <c r="I143" s="415"/>
      <c r="J143" s="415"/>
      <c r="K143" s="415"/>
      <c r="L143" s="415"/>
      <c r="M143" s="415"/>
      <c r="N143" s="415"/>
      <c r="O143" s="415"/>
      <c r="P143" s="415"/>
      <c r="Q143" s="415"/>
      <c r="R143" s="415"/>
      <c r="S143" s="415"/>
      <c r="T143" s="415"/>
      <c r="U143" s="415"/>
      <c r="V143" s="415"/>
      <c r="W143" s="415"/>
      <c r="X143" s="415"/>
      <c r="Y143" s="415"/>
      <c r="Z143" s="415"/>
      <c r="AA143" s="397"/>
      <c r="AB143" s="397"/>
      <c r="AC143" s="397"/>
    </row>
    <row r="144" spans="1:68" ht="27" customHeight="1" x14ac:dyDescent="0.25">
      <c r="A144" s="55" t="s">
        <v>241</v>
      </c>
      <c r="B144" s="55" t="s">
        <v>242</v>
      </c>
      <c r="C144" s="32">
        <v>4301031224</v>
      </c>
      <c r="D144" s="416">
        <v>4680115882683</v>
      </c>
      <c r="E144" s="417"/>
      <c r="F144" s="400">
        <v>0.9</v>
      </c>
      <c r="G144" s="33">
        <v>6</v>
      </c>
      <c r="H144" s="400">
        <v>5.4</v>
      </c>
      <c r="I144" s="400">
        <v>5.61</v>
      </c>
      <c r="J144" s="33">
        <v>132</v>
      </c>
      <c r="K144" s="33" t="s">
        <v>94</v>
      </c>
      <c r="L144" s="33"/>
      <c r="M144" s="34" t="s">
        <v>70</v>
      </c>
      <c r="N144" s="34"/>
      <c r="O144" s="33">
        <v>40</v>
      </c>
      <c r="P144" s="4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44" s="406"/>
      <c r="R144" s="406"/>
      <c r="S144" s="406"/>
      <c r="T144" s="407"/>
      <c r="U144" s="35"/>
      <c r="V144" s="35"/>
      <c r="W144" s="36" t="s">
        <v>71</v>
      </c>
      <c r="X144" s="401">
        <v>0</v>
      </c>
      <c r="Y144" s="402">
        <f>IFERROR(IF(X144="",0,CEILING((X144/$H144),1)*$H144),"")</f>
        <v>0</v>
      </c>
      <c r="Z144" s="37" t="str">
        <f>IFERROR(IF(Y144=0,"",ROUNDUP(Y144/H144,0)*0.00902),"")</f>
        <v/>
      </c>
      <c r="AA144" s="57"/>
      <c r="AB144" s="58"/>
      <c r="AC144" s="182" t="s">
        <v>243</v>
      </c>
      <c r="AG144" s="65"/>
      <c r="AJ144" s="69"/>
      <c r="AK144" s="69">
        <v>0</v>
      </c>
      <c r="BB144" s="183" t="s">
        <v>1</v>
      </c>
      <c r="BM144" s="65">
        <f>IFERROR(X144*I144/H144,"0")</f>
        <v>0</v>
      </c>
      <c r="BN144" s="65">
        <f>IFERROR(Y144*I144/H144,"0")</f>
        <v>0</v>
      </c>
      <c r="BO144" s="65">
        <f>IFERROR(1/J144*(X144/H144),"0")</f>
        <v>0</v>
      </c>
      <c r="BP144" s="65">
        <f>IFERROR(1/J144*(Y144/H144),"0")</f>
        <v>0</v>
      </c>
    </row>
    <row r="145" spans="1:68" ht="27" customHeight="1" x14ac:dyDescent="0.25">
      <c r="A145" s="55" t="s">
        <v>244</v>
      </c>
      <c r="B145" s="55" t="s">
        <v>245</v>
      </c>
      <c r="C145" s="32">
        <v>4301031230</v>
      </c>
      <c r="D145" s="416">
        <v>4680115882690</v>
      </c>
      <c r="E145" s="417"/>
      <c r="F145" s="400">
        <v>0.9</v>
      </c>
      <c r="G145" s="33">
        <v>6</v>
      </c>
      <c r="H145" s="400">
        <v>5.4</v>
      </c>
      <c r="I145" s="400">
        <v>5.61</v>
      </c>
      <c r="J145" s="33">
        <v>132</v>
      </c>
      <c r="K145" s="33" t="s">
        <v>94</v>
      </c>
      <c r="L145" s="33"/>
      <c r="M145" s="34" t="s">
        <v>70</v>
      </c>
      <c r="N145" s="34"/>
      <c r="O145" s="33">
        <v>40</v>
      </c>
      <c r="P145" s="4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45" s="406"/>
      <c r="R145" s="406"/>
      <c r="S145" s="406"/>
      <c r="T145" s="407"/>
      <c r="U145" s="35"/>
      <c r="V145" s="35"/>
      <c r="W145" s="36" t="s">
        <v>71</v>
      </c>
      <c r="X145" s="401">
        <v>0</v>
      </c>
      <c r="Y145" s="402">
        <f>IFERROR(IF(X145="",0,CEILING((X145/$H145),1)*$H145),"")</f>
        <v>0</v>
      </c>
      <c r="Z145" s="37" t="str">
        <f>IFERROR(IF(Y145=0,"",ROUNDUP(Y145/H145,0)*0.00902),"")</f>
        <v/>
      </c>
      <c r="AA145" s="57"/>
      <c r="AB145" s="58"/>
      <c r="AC145" s="184" t="s">
        <v>246</v>
      </c>
      <c r="AG145" s="65"/>
      <c r="AJ145" s="69"/>
      <c r="AK145" s="69">
        <v>0</v>
      </c>
      <c r="BB145" s="185" t="s">
        <v>1</v>
      </c>
      <c r="BM145" s="65">
        <f>IFERROR(X145*I145/H145,"0")</f>
        <v>0</v>
      </c>
      <c r="BN145" s="65">
        <f>IFERROR(Y145*I145/H145,"0")</f>
        <v>0</v>
      </c>
      <c r="BO145" s="65">
        <f>IFERROR(1/J145*(X145/H145),"0")</f>
        <v>0</v>
      </c>
      <c r="BP145" s="65">
        <f>IFERROR(1/J145*(Y145/H145),"0")</f>
        <v>0</v>
      </c>
    </row>
    <row r="146" spans="1:68" ht="27" customHeight="1" x14ac:dyDescent="0.25">
      <c r="A146" s="55" t="s">
        <v>247</v>
      </c>
      <c r="B146" s="55" t="s">
        <v>248</v>
      </c>
      <c r="C146" s="32">
        <v>4301031220</v>
      </c>
      <c r="D146" s="416">
        <v>4680115882669</v>
      </c>
      <c r="E146" s="417"/>
      <c r="F146" s="400">
        <v>0.9</v>
      </c>
      <c r="G146" s="33">
        <v>6</v>
      </c>
      <c r="H146" s="400">
        <v>5.4</v>
      </c>
      <c r="I146" s="400">
        <v>5.61</v>
      </c>
      <c r="J146" s="33">
        <v>132</v>
      </c>
      <c r="K146" s="33" t="s">
        <v>94</v>
      </c>
      <c r="L146" s="33"/>
      <c r="M146" s="34" t="s">
        <v>70</v>
      </c>
      <c r="N146" s="34"/>
      <c r="O146" s="33">
        <v>40</v>
      </c>
      <c r="P146" s="6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46" s="406"/>
      <c r="R146" s="406"/>
      <c r="S146" s="406"/>
      <c r="T146" s="407"/>
      <c r="U146" s="35"/>
      <c r="V146" s="35"/>
      <c r="W146" s="36" t="s">
        <v>71</v>
      </c>
      <c r="X146" s="401">
        <v>0</v>
      </c>
      <c r="Y146" s="402">
        <f>IFERROR(IF(X146="",0,CEILING((X146/$H146),1)*$H146),"")</f>
        <v>0</v>
      </c>
      <c r="Z146" s="37" t="str">
        <f>IFERROR(IF(Y146=0,"",ROUNDUP(Y146/H146,0)*0.00902),"")</f>
        <v/>
      </c>
      <c r="AA146" s="57"/>
      <c r="AB146" s="58"/>
      <c r="AC146" s="186" t="s">
        <v>249</v>
      </c>
      <c r="AG146" s="65"/>
      <c r="AJ146" s="69"/>
      <c r="AK146" s="69">
        <v>0</v>
      </c>
      <c r="BB146" s="187" t="s">
        <v>1</v>
      </c>
      <c r="BM146" s="65">
        <f>IFERROR(X146*I146/H146,"0")</f>
        <v>0</v>
      </c>
      <c r="BN146" s="65">
        <f>IFERROR(Y146*I146/H146,"0")</f>
        <v>0</v>
      </c>
      <c r="BO146" s="65">
        <f>IFERROR(1/J146*(X146/H146),"0")</f>
        <v>0</v>
      </c>
      <c r="BP146" s="65">
        <f>IFERROR(1/J146*(Y146/H146),"0")</f>
        <v>0</v>
      </c>
    </row>
    <row r="147" spans="1:68" ht="27" customHeight="1" x14ac:dyDescent="0.25">
      <c r="A147" s="55" t="s">
        <v>250</v>
      </c>
      <c r="B147" s="55" t="s">
        <v>251</v>
      </c>
      <c r="C147" s="32">
        <v>4301031221</v>
      </c>
      <c r="D147" s="416">
        <v>4680115882676</v>
      </c>
      <c r="E147" s="417"/>
      <c r="F147" s="400">
        <v>0.9</v>
      </c>
      <c r="G147" s="33">
        <v>6</v>
      </c>
      <c r="H147" s="400">
        <v>5.4</v>
      </c>
      <c r="I147" s="400">
        <v>5.61</v>
      </c>
      <c r="J147" s="33">
        <v>132</v>
      </c>
      <c r="K147" s="33" t="s">
        <v>94</v>
      </c>
      <c r="L147" s="33"/>
      <c r="M147" s="34" t="s">
        <v>70</v>
      </c>
      <c r="N147" s="34"/>
      <c r="O147" s="33">
        <v>40</v>
      </c>
      <c r="P147" s="44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47" s="406"/>
      <c r="R147" s="406"/>
      <c r="S147" s="406"/>
      <c r="T147" s="407"/>
      <c r="U147" s="35"/>
      <c r="V147" s="35"/>
      <c r="W147" s="36" t="s">
        <v>71</v>
      </c>
      <c r="X147" s="401">
        <v>0</v>
      </c>
      <c r="Y147" s="402">
        <f>IFERROR(IF(X147="",0,CEILING((X147/$H147),1)*$H147),"")</f>
        <v>0</v>
      </c>
      <c r="Z147" s="37" t="str">
        <f>IFERROR(IF(Y147=0,"",ROUNDUP(Y147/H147,0)*0.00902),"")</f>
        <v/>
      </c>
      <c r="AA147" s="57"/>
      <c r="AB147" s="58"/>
      <c r="AC147" s="188" t="s">
        <v>252</v>
      </c>
      <c r="AG147" s="65"/>
      <c r="AJ147" s="69"/>
      <c r="AK147" s="69">
        <v>0</v>
      </c>
      <c r="BB147" s="189" t="s">
        <v>1</v>
      </c>
      <c r="BM147" s="65">
        <f>IFERROR(X147*I147/H147,"0")</f>
        <v>0</v>
      </c>
      <c r="BN147" s="65">
        <f>IFERROR(Y147*I147/H147,"0")</f>
        <v>0</v>
      </c>
      <c r="BO147" s="65">
        <f>IFERROR(1/J147*(X147/H147),"0")</f>
        <v>0</v>
      </c>
      <c r="BP147" s="65">
        <f>IFERROR(1/J147*(Y147/H147),"0")</f>
        <v>0</v>
      </c>
    </row>
    <row r="148" spans="1:68" x14ac:dyDescent="0.2">
      <c r="A148" s="425"/>
      <c r="B148" s="415"/>
      <c r="C148" s="415"/>
      <c r="D148" s="415"/>
      <c r="E148" s="415"/>
      <c r="F148" s="415"/>
      <c r="G148" s="415"/>
      <c r="H148" s="415"/>
      <c r="I148" s="415"/>
      <c r="J148" s="415"/>
      <c r="K148" s="415"/>
      <c r="L148" s="415"/>
      <c r="M148" s="415"/>
      <c r="N148" s="415"/>
      <c r="O148" s="426"/>
      <c r="P148" s="411" t="s">
        <v>76</v>
      </c>
      <c r="Q148" s="412"/>
      <c r="R148" s="412"/>
      <c r="S148" s="412"/>
      <c r="T148" s="412"/>
      <c r="U148" s="412"/>
      <c r="V148" s="413"/>
      <c r="W148" s="38" t="s">
        <v>77</v>
      </c>
      <c r="X148" s="403">
        <f>IFERROR(X144/H144,"0")+IFERROR(X145/H145,"0")+IFERROR(X146/H146,"0")+IFERROR(X147/H147,"0")</f>
        <v>0</v>
      </c>
      <c r="Y148" s="403">
        <f>IFERROR(Y144/H144,"0")+IFERROR(Y145/H145,"0")+IFERROR(Y146/H146,"0")+IFERROR(Y147/H147,"0")</f>
        <v>0</v>
      </c>
      <c r="Z148" s="403">
        <f>IFERROR(IF(Z144="",0,Z144),"0")+IFERROR(IF(Z145="",0,Z145),"0")+IFERROR(IF(Z146="",0,Z146),"0")+IFERROR(IF(Z147="",0,Z147),"0")</f>
        <v>0</v>
      </c>
      <c r="AA148" s="404"/>
      <c r="AB148" s="404"/>
      <c r="AC148" s="404"/>
    </row>
    <row r="149" spans="1:68" x14ac:dyDescent="0.2">
      <c r="A149" s="415"/>
      <c r="B149" s="415"/>
      <c r="C149" s="415"/>
      <c r="D149" s="415"/>
      <c r="E149" s="415"/>
      <c r="F149" s="415"/>
      <c r="G149" s="415"/>
      <c r="H149" s="415"/>
      <c r="I149" s="415"/>
      <c r="J149" s="415"/>
      <c r="K149" s="415"/>
      <c r="L149" s="415"/>
      <c r="M149" s="415"/>
      <c r="N149" s="415"/>
      <c r="O149" s="426"/>
      <c r="P149" s="411" t="s">
        <v>76</v>
      </c>
      <c r="Q149" s="412"/>
      <c r="R149" s="412"/>
      <c r="S149" s="412"/>
      <c r="T149" s="412"/>
      <c r="U149" s="412"/>
      <c r="V149" s="413"/>
      <c r="W149" s="38" t="s">
        <v>71</v>
      </c>
      <c r="X149" s="403">
        <f>IFERROR(SUM(X144:X147),"0")</f>
        <v>0</v>
      </c>
      <c r="Y149" s="403">
        <f>IFERROR(SUM(Y144:Y147),"0")</f>
        <v>0</v>
      </c>
      <c r="Z149" s="38"/>
      <c r="AA149" s="404"/>
      <c r="AB149" s="404"/>
      <c r="AC149" s="404"/>
    </row>
    <row r="150" spans="1:68" ht="14.25" customHeight="1" x14ac:dyDescent="0.25">
      <c r="A150" s="414" t="s">
        <v>66</v>
      </c>
      <c r="B150" s="415"/>
      <c r="C150" s="415"/>
      <c r="D150" s="415"/>
      <c r="E150" s="415"/>
      <c r="F150" s="415"/>
      <c r="G150" s="415"/>
      <c r="H150" s="415"/>
      <c r="I150" s="415"/>
      <c r="J150" s="415"/>
      <c r="K150" s="415"/>
      <c r="L150" s="415"/>
      <c r="M150" s="415"/>
      <c r="N150" s="415"/>
      <c r="O150" s="415"/>
      <c r="P150" s="415"/>
      <c r="Q150" s="415"/>
      <c r="R150" s="415"/>
      <c r="S150" s="415"/>
      <c r="T150" s="415"/>
      <c r="U150" s="415"/>
      <c r="V150" s="415"/>
      <c r="W150" s="415"/>
      <c r="X150" s="415"/>
      <c r="Y150" s="415"/>
      <c r="Z150" s="415"/>
      <c r="AA150" s="397"/>
      <c r="AB150" s="397"/>
      <c r="AC150" s="397"/>
    </row>
    <row r="151" spans="1:68" ht="27" customHeight="1" x14ac:dyDescent="0.25">
      <c r="A151" s="55" t="s">
        <v>253</v>
      </c>
      <c r="B151" s="55" t="s">
        <v>254</v>
      </c>
      <c r="C151" s="32">
        <v>4301051408</v>
      </c>
      <c r="D151" s="416">
        <v>4680115881594</v>
      </c>
      <c r="E151" s="417"/>
      <c r="F151" s="400">
        <v>1.35</v>
      </c>
      <c r="G151" s="33">
        <v>6</v>
      </c>
      <c r="H151" s="400">
        <v>8.1</v>
      </c>
      <c r="I151" s="400">
        <v>8.6189999999999998</v>
      </c>
      <c r="J151" s="33">
        <v>64</v>
      </c>
      <c r="K151" s="33" t="s">
        <v>89</v>
      </c>
      <c r="L151" s="33"/>
      <c r="M151" s="34" t="s">
        <v>95</v>
      </c>
      <c r="N151" s="34"/>
      <c r="O151" s="33">
        <v>40</v>
      </c>
      <c r="P151" s="6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51" s="406"/>
      <c r="R151" s="406"/>
      <c r="S151" s="406"/>
      <c r="T151" s="407"/>
      <c r="U151" s="35"/>
      <c r="V151" s="35"/>
      <c r="W151" s="36" t="s">
        <v>71</v>
      </c>
      <c r="X151" s="401">
        <v>0</v>
      </c>
      <c r="Y151" s="402">
        <f t="shared" ref="Y151:Y158" si="10">IFERROR(IF(X151="",0,CEILING((X151/$H151),1)*$H151),"")</f>
        <v>0</v>
      </c>
      <c r="Z151" s="37" t="str">
        <f>IFERROR(IF(Y151=0,"",ROUNDUP(Y151/H151,0)*0.01898),"")</f>
        <v/>
      </c>
      <c r="AA151" s="57"/>
      <c r="AB151" s="58"/>
      <c r="AC151" s="190" t="s">
        <v>255</v>
      </c>
      <c r="AG151" s="65"/>
      <c r="AJ151" s="69"/>
      <c r="AK151" s="69">
        <v>0</v>
      </c>
      <c r="BB151" s="191" t="s">
        <v>1</v>
      </c>
      <c r="BM151" s="65">
        <f t="shared" ref="BM151:BM158" si="11">IFERROR(X151*I151/H151,"0")</f>
        <v>0</v>
      </c>
      <c r="BN151" s="65">
        <f t="shared" ref="BN151:BN158" si="12">IFERROR(Y151*I151/H151,"0")</f>
        <v>0</v>
      </c>
      <c r="BO151" s="65">
        <f t="shared" ref="BO151:BO158" si="13">IFERROR(1/J151*(X151/H151),"0")</f>
        <v>0</v>
      </c>
      <c r="BP151" s="65">
        <f t="shared" ref="BP151:BP158" si="14">IFERROR(1/J151*(Y151/H151),"0")</f>
        <v>0</v>
      </c>
    </row>
    <row r="152" spans="1:68" ht="27" customHeight="1" x14ac:dyDescent="0.25">
      <c r="A152" s="55" t="s">
        <v>256</v>
      </c>
      <c r="B152" s="55" t="s">
        <v>257</v>
      </c>
      <c r="C152" s="32">
        <v>4301051411</v>
      </c>
      <c r="D152" s="416">
        <v>4680115881617</v>
      </c>
      <c r="E152" s="417"/>
      <c r="F152" s="400">
        <v>1.35</v>
      </c>
      <c r="G152" s="33">
        <v>6</v>
      </c>
      <c r="H152" s="400">
        <v>8.1</v>
      </c>
      <c r="I152" s="400">
        <v>8.6010000000000009</v>
      </c>
      <c r="J152" s="33">
        <v>64</v>
      </c>
      <c r="K152" s="33" t="s">
        <v>89</v>
      </c>
      <c r="L152" s="33"/>
      <c r="M152" s="34" t="s">
        <v>95</v>
      </c>
      <c r="N152" s="34"/>
      <c r="O152" s="33">
        <v>40</v>
      </c>
      <c r="P152" s="43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52" s="406"/>
      <c r="R152" s="406"/>
      <c r="S152" s="406"/>
      <c r="T152" s="407"/>
      <c r="U152" s="35"/>
      <c r="V152" s="35"/>
      <c r="W152" s="36" t="s">
        <v>71</v>
      </c>
      <c r="X152" s="401">
        <v>150</v>
      </c>
      <c r="Y152" s="402">
        <f t="shared" si="10"/>
        <v>153.9</v>
      </c>
      <c r="Z152" s="37">
        <f>IFERROR(IF(Y152=0,"",ROUNDUP(Y152/H152,0)*0.01898),"")</f>
        <v>0.36062</v>
      </c>
      <c r="AA152" s="57"/>
      <c r="AB152" s="58"/>
      <c r="AC152" s="192" t="s">
        <v>258</v>
      </c>
      <c r="AG152" s="65"/>
      <c r="AJ152" s="69"/>
      <c r="AK152" s="69">
        <v>0</v>
      </c>
      <c r="BB152" s="193" t="s">
        <v>1</v>
      </c>
      <c r="BM152" s="65">
        <f t="shared" si="11"/>
        <v>159.2777777777778</v>
      </c>
      <c r="BN152" s="65">
        <f t="shared" si="12"/>
        <v>163.41900000000004</v>
      </c>
      <c r="BO152" s="65">
        <f t="shared" si="13"/>
        <v>0.28935185185185186</v>
      </c>
      <c r="BP152" s="65">
        <f t="shared" si="14"/>
        <v>0.296875</v>
      </c>
    </row>
    <row r="153" spans="1:68" ht="16.5" customHeight="1" x14ac:dyDescent="0.25">
      <c r="A153" s="55" t="s">
        <v>259</v>
      </c>
      <c r="B153" s="55" t="s">
        <v>260</v>
      </c>
      <c r="C153" s="32">
        <v>4301051656</v>
      </c>
      <c r="D153" s="416">
        <v>4680115880573</v>
      </c>
      <c r="E153" s="417"/>
      <c r="F153" s="400">
        <v>1.45</v>
      </c>
      <c r="G153" s="33">
        <v>6</v>
      </c>
      <c r="H153" s="400">
        <v>8.6999999999999993</v>
      </c>
      <c r="I153" s="400">
        <v>9.2189999999999994</v>
      </c>
      <c r="J153" s="33">
        <v>64</v>
      </c>
      <c r="K153" s="33" t="s">
        <v>89</v>
      </c>
      <c r="L153" s="33"/>
      <c r="M153" s="34" t="s">
        <v>95</v>
      </c>
      <c r="N153" s="34"/>
      <c r="O153" s="33">
        <v>45</v>
      </c>
      <c r="P153" s="54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153" s="406"/>
      <c r="R153" s="406"/>
      <c r="S153" s="406"/>
      <c r="T153" s="407"/>
      <c r="U153" s="35"/>
      <c r="V153" s="35"/>
      <c r="W153" s="36" t="s">
        <v>71</v>
      </c>
      <c r="X153" s="401">
        <v>50</v>
      </c>
      <c r="Y153" s="402">
        <f t="shared" si="10"/>
        <v>52.199999999999996</v>
      </c>
      <c r="Z153" s="37">
        <f>IFERROR(IF(Y153=0,"",ROUNDUP(Y153/H153,0)*0.01898),"")</f>
        <v>0.11388000000000001</v>
      </c>
      <c r="AA153" s="57"/>
      <c r="AB153" s="58"/>
      <c r="AC153" s="194" t="s">
        <v>261</v>
      </c>
      <c r="AG153" s="65"/>
      <c r="AJ153" s="69"/>
      <c r="AK153" s="69">
        <v>0</v>
      </c>
      <c r="BB153" s="195" t="s">
        <v>1</v>
      </c>
      <c r="BM153" s="65">
        <f t="shared" si="11"/>
        <v>52.982758620689658</v>
      </c>
      <c r="BN153" s="65">
        <f t="shared" si="12"/>
        <v>55.313999999999993</v>
      </c>
      <c r="BO153" s="65">
        <f t="shared" si="13"/>
        <v>8.9798850574712652E-2</v>
      </c>
      <c r="BP153" s="65">
        <f t="shared" si="14"/>
        <v>9.375E-2</v>
      </c>
    </row>
    <row r="154" spans="1:68" ht="27" customHeight="1" x14ac:dyDescent="0.25">
      <c r="A154" s="55" t="s">
        <v>262</v>
      </c>
      <c r="B154" s="55" t="s">
        <v>263</v>
      </c>
      <c r="C154" s="32">
        <v>4301051407</v>
      </c>
      <c r="D154" s="416">
        <v>4680115882195</v>
      </c>
      <c r="E154" s="417"/>
      <c r="F154" s="400">
        <v>0.4</v>
      </c>
      <c r="G154" s="33">
        <v>6</v>
      </c>
      <c r="H154" s="400">
        <v>2.4</v>
      </c>
      <c r="I154" s="400">
        <v>2.67</v>
      </c>
      <c r="J154" s="33">
        <v>182</v>
      </c>
      <c r="K154" s="33" t="s">
        <v>69</v>
      </c>
      <c r="L154" s="33"/>
      <c r="M154" s="34" t="s">
        <v>95</v>
      </c>
      <c r="N154" s="34"/>
      <c r="O154" s="33">
        <v>40</v>
      </c>
      <c r="P154" s="5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54" s="406"/>
      <c r="R154" s="406"/>
      <c r="S154" s="406"/>
      <c r="T154" s="407"/>
      <c r="U154" s="35"/>
      <c r="V154" s="35"/>
      <c r="W154" s="36" t="s">
        <v>71</v>
      </c>
      <c r="X154" s="401">
        <v>0</v>
      </c>
      <c r="Y154" s="402">
        <f t="shared" si="10"/>
        <v>0</v>
      </c>
      <c r="Z154" s="37" t="str">
        <f>IFERROR(IF(Y154=0,"",ROUNDUP(Y154/H154,0)*0.00651),"")</f>
        <v/>
      </c>
      <c r="AA154" s="57"/>
      <c r="AB154" s="58"/>
      <c r="AC154" s="196" t="s">
        <v>255</v>
      </c>
      <c r="AG154" s="65"/>
      <c r="AJ154" s="69"/>
      <c r="AK154" s="69">
        <v>0</v>
      </c>
      <c r="BB154" s="197" t="s">
        <v>1</v>
      </c>
      <c r="BM154" s="65">
        <f t="shared" si="11"/>
        <v>0</v>
      </c>
      <c r="BN154" s="65">
        <f t="shared" si="12"/>
        <v>0</v>
      </c>
      <c r="BO154" s="65">
        <f t="shared" si="13"/>
        <v>0</v>
      </c>
      <c r="BP154" s="65">
        <f t="shared" si="14"/>
        <v>0</v>
      </c>
    </row>
    <row r="155" spans="1:68" ht="27" customHeight="1" x14ac:dyDescent="0.25">
      <c r="A155" s="55" t="s">
        <v>264</v>
      </c>
      <c r="B155" s="55" t="s">
        <v>265</v>
      </c>
      <c r="C155" s="32">
        <v>4301051752</v>
      </c>
      <c r="D155" s="416">
        <v>4680115882607</v>
      </c>
      <c r="E155" s="417"/>
      <c r="F155" s="400">
        <v>0.3</v>
      </c>
      <c r="G155" s="33">
        <v>6</v>
      </c>
      <c r="H155" s="400">
        <v>1.8</v>
      </c>
      <c r="I155" s="400">
        <v>2.052</v>
      </c>
      <c r="J155" s="33">
        <v>182</v>
      </c>
      <c r="K155" s="33" t="s">
        <v>69</v>
      </c>
      <c r="L155" s="33"/>
      <c r="M155" s="34" t="s">
        <v>115</v>
      </c>
      <c r="N155" s="34"/>
      <c r="O155" s="33">
        <v>45</v>
      </c>
      <c r="P155" s="42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155" s="406"/>
      <c r="R155" s="406"/>
      <c r="S155" s="406"/>
      <c r="T155" s="407"/>
      <c r="U155" s="35"/>
      <c r="V155" s="35"/>
      <c r="W155" s="36" t="s">
        <v>71</v>
      </c>
      <c r="X155" s="401">
        <v>0</v>
      </c>
      <c r="Y155" s="402">
        <f t="shared" si="10"/>
        <v>0</v>
      </c>
      <c r="Z155" s="37" t="str">
        <f>IFERROR(IF(Y155=0,"",ROUNDUP(Y155/H155,0)*0.00651),"")</f>
        <v/>
      </c>
      <c r="AA155" s="57"/>
      <c r="AB155" s="58"/>
      <c r="AC155" s="198" t="s">
        <v>266</v>
      </c>
      <c r="AG155" s="65"/>
      <c r="AJ155" s="69"/>
      <c r="AK155" s="69">
        <v>0</v>
      </c>
      <c r="BB155" s="199" t="s">
        <v>1</v>
      </c>
      <c r="BM155" s="65">
        <f t="shared" si="11"/>
        <v>0</v>
      </c>
      <c r="BN155" s="65">
        <f t="shared" si="12"/>
        <v>0</v>
      </c>
      <c r="BO155" s="65">
        <f t="shared" si="13"/>
        <v>0</v>
      </c>
      <c r="BP155" s="65">
        <f t="shared" si="14"/>
        <v>0</v>
      </c>
    </row>
    <row r="156" spans="1:68" ht="27" customHeight="1" x14ac:dyDescent="0.25">
      <c r="A156" s="55" t="s">
        <v>267</v>
      </c>
      <c r="B156" s="55" t="s">
        <v>268</v>
      </c>
      <c r="C156" s="32">
        <v>4301051666</v>
      </c>
      <c r="D156" s="416">
        <v>4680115880092</v>
      </c>
      <c r="E156" s="417"/>
      <c r="F156" s="400">
        <v>0.4</v>
      </c>
      <c r="G156" s="33">
        <v>6</v>
      </c>
      <c r="H156" s="400">
        <v>2.4</v>
      </c>
      <c r="I156" s="400">
        <v>2.6520000000000001</v>
      </c>
      <c r="J156" s="33">
        <v>182</v>
      </c>
      <c r="K156" s="33" t="s">
        <v>69</v>
      </c>
      <c r="L156" s="33"/>
      <c r="M156" s="34" t="s">
        <v>95</v>
      </c>
      <c r="N156" s="34"/>
      <c r="O156" s="33">
        <v>45</v>
      </c>
      <c r="P156" s="56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156" s="406"/>
      <c r="R156" s="406"/>
      <c r="S156" s="406"/>
      <c r="T156" s="407"/>
      <c r="U156" s="35"/>
      <c r="V156" s="35"/>
      <c r="W156" s="36" t="s">
        <v>71</v>
      </c>
      <c r="X156" s="401">
        <v>0</v>
      </c>
      <c r="Y156" s="402">
        <f t="shared" si="10"/>
        <v>0</v>
      </c>
      <c r="Z156" s="37" t="str">
        <f>IFERROR(IF(Y156=0,"",ROUNDUP(Y156/H156,0)*0.00651),"")</f>
        <v/>
      </c>
      <c r="AA156" s="57"/>
      <c r="AB156" s="58"/>
      <c r="AC156" s="200" t="s">
        <v>261</v>
      </c>
      <c r="AG156" s="65"/>
      <c r="AJ156" s="69"/>
      <c r="AK156" s="69">
        <v>0</v>
      </c>
      <c r="BB156" s="201" t="s">
        <v>1</v>
      </c>
      <c r="BM156" s="65">
        <f t="shared" si="11"/>
        <v>0</v>
      </c>
      <c r="BN156" s="65">
        <f t="shared" si="12"/>
        <v>0</v>
      </c>
      <c r="BO156" s="65">
        <f t="shared" si="13"/>
        <v>0</v>
      </c>
      <c r="BP156" s="65">
        <f t="shared" si="14"/>
        <v>0</v>
      </c>
    </row>
    <row r="157" spans="1:68" ht="27" customHeight="1" x14ac:dyDescent="0.25">
      <c r="A157" s="55" t="s">
        <v>269</v>
      </c>
      <c r="B157" s="55" t="s">
        <v>270</v>
      </c>
      <c r="C157" s="32">
        <v>4301051668</v>
      </c>
      <c r="D157" s="416">
        <v>4680115880221</v>
      </c>
      <c r="E157" s="417"/>
      <c r="F157" s="400">
        <v>0.4</v>
      </c>
      <c r="G157" s="33">
        <v>6</v>
      </c>
      <c r="H157" s="400">
        <v>2.4</v>
      </c>
      <c r="I157" s="400">
        <v>2.6520000000000001</v>
      </c>
      <c r="J157" s="33">
        <v>182</v>
      </c>
      <c r="K157" s="33" t="s">
        <v>69</v>
      </c>
      <c r="L157" s="33"/>
      <c r="M157" s="34" t="s">
        <v>95</v>
      </c>
      <c r="N157" s="34"/>
      <c r="O157" s="33">
        <v>45</v>
      </c>
      <c r="P157" s="4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157" s="406"/>
      <c r="R157" s="406"/>
      <c r="S157" s="406"/>
      <c r="T157" s="407"/>
      <c r="U157" s="35"/>
      <c r="V157" s="35"/>
      <c r="W157" s="36" t="s">
        <v>71</v>
      </c>
      <c r="X157" s="401">
        <v>0</v>
      </c>
      <c r="Y157" s="402">
        <f t="shared" si="10"/>
        <v>0</v>
      </c>
      <c r="Z157" s="37" t="str">
        <f>IFERROR(IF(Y157=0,"",ROUNDUP(Y157/H157,0)*0.00651),"")</f>
        <v/>
      </c>
      <c r="AA157" s="57"/>
      <c r="AB157" s="58"/>
      <c r="AC157" s="202" t="s">
        <v>261</v>
      </c>
      <c r="AG157" s="65"/>
      <c r="AJ157" s="69"/>
      <c r="AK157" s="69">
        <v>0</v>
      </c>
      <c r="BB157" s="203" t="s">
        <v>1</v>
      </c>
      <c r="BM157" s="65">
        <f t="shared" si="11"/>
        <v>0</v>
      </c>
      <c r="BN157" s="65">
        <f t="shared" si="12"/>
        <v>0</v>
      </c>
      <c r="BO157" s="65">
        <f t="shared" si="13"/>
        <v>0</v>
      </c>
      <c r="BP157" s="65">
        <f t="shared" si="14"/>
        <v>0</v>
      </c>
    </row>
    <row r="158" spans="1:68" ht="27" customHeight="1" x14ac:dyDescent="0.25">
      <c r="A158" s="55" t="s">
        <v>271</v>
      </c>
      <c r="B158" s="55" t="s">
        <v>272</v>
      </c>
      <c r="C158" s="32">
        <v>4301051410</v>
      </c>
      <c r="D158" s="416">
        <v>4680115882164</v>
      </c>
      <c r="E158" s="417"/>
      <c r="F158" s="400">
        <v>0.4</v>
      </c>
      <c r="G158" s="33">
        <v>6</v>
      </c>
      <c r="H158" s="400">
        <v>2.4</v>
      </c>
      <c r="I158" s="400">
        <v>2.6579999999999999</v>
      </c>
      <c r="J158" s="33">
        <v>182</v>
      </c>
      <c r="K158" s="33" t="s">
        <v>69</v>
      </c>
      <c r="L158" s="33"/>
      <c r="M158" s="34" t="s">
        <v>95</v>
      </c>
      <c r="N158" s="34"/>
      <c r="O158" s="33">
        <v>40</v>
      </c>
      <c r="P158" s="4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158" s="406"/>
      <c r="R158" s="406"/>
      <c r="S158" s="406"/>
      <c r="T158" s="407"/>
      <c r="U158" s="35"/>
      <c r="V158" s="35"/>
      <c r="W158" s="36" t="s">
        <v>71</v>
      </c>
      <c r="X158" s="401">
        <v>0</v>
      </c>
      <c r="Y158" s="402">
        <f t="shared" si="10"/>
        <v>0</v>
      </c>
      <c r="Z158" s="37" t="str">
        <f>IFERROR(IF(Y158=0,"",ROUNDUP(Y158/H158,0)*0.00651),"")</f>
        <v/>
      </c>
      <c r="AA158" s="57"/>
      <c r="AB158" s="58"/>
      <c r="AC158" s="204" t="s">
        <v>273</v>
      </c>
      <c r="AG158" s="65"/>
      <c r="AJ158" s="69"/>
      <c r="AK158" s="69">
        <v>0</v>
      </c>
      <c r="BB158" s="205" t="s">
        <v>1</v>
      </c>
      <c r="BM158" s="65">
        <f t="shared" si="11"/>
        <v>0</v>
      </c>
      <c r="BN158" s="65">
        <f t="shared" si="12"/>
        <v>0</v>
      </c>
      <c r="BO158" s="65">
        <f t="shared" si="13"/>
        <v>0</v>
      </c>
      <c r="BP158" s="65">
        <f t="shared" si="14"/>
        <v>0</v>
      </c>
    </row>
    <row r="159" spans="1:68" x14ac:dyDescent="0.2">
      <c r="A159" s="425"/>
      <c r="B159" s="415"/>
      <c r="C159" s="415"/>
      <c r="D159" s="415"/>
      <c r="E159" s="415"/>
      <c r="F159" s="415"/>
      <c r="G159" s="415"/>
      <c r="H159" s="415"/>
      <c r="I159" s="415"/>
      <c r="J159" s="415"/>
      <c r="K159" s="415"/>
      <c r="L159" s="415"/>
      <c r="M159" s="415"/>
      <c r="N159" s="415"/>
      <c r="O159" s="426"/>
      <c r="P159" s="411" t="s">
        <v>76</v>
      </c>
      <c r="Q159" s="412"/>
      <c r="R159" s="412"/>
      <c r="S159" s="412"/>
      <c r="T159" s="412"/>
      <c r="U159" s="412"/>
      <c r="V159" s="413"/>
      <c r="W159" s="38" t="s">
        <v>77</v>
      </c>
      <c r="X159" s="403">
        <f>IFERROR(X151/H151,"0")+IFERROR(X152/H152,"0")+IFERROR(X153/H153,"0")+IFERROR(X154/H154,"0")+IFERROR(X155/H155,"0")+IFERROR(X156/H156,"0")+IFERROR(X157/H157,"0")+IFERROR(X158/H158,"0")</f>
        <v>24.265644955300129</v>
      </c>
      <c r="Y159" s="403">
        <f>IFERROR(Y151/H151,"0")+IFERROR(Y152/H152,"0")+IFERROR(Y153/H153,"0")+IFERROR(Y154/H154,"0")+IFERROR(Y155/H155,"0")+IFERROR(Y156/H156,"0")+IFERROR(Y157/H157,"0")+IFERROR(Y158/H158,"0")</f>
        <v>25</v>
      </c>
      <c r="Z159" s="403">
        <f>IFERROR(IF(Z151="",0,Z151),"0")+IFERROR(IF(Z152="",0,Z152),"0")+IFERROR(IF(Z153="",0,Z153),"0")+IFERROR(IF(Z154="",0,Z154),"0")+IFERROR(IF(Z155="",0,Z155),"0")+IFERROR(IF(Z156="",0,Z156),"0")+IFERROR(IF(Z157="",0,Z157),"0")+IFERROR(IF(Z158="",0,Z158),"0")</f>
        <v>0.47450000000000003</v>
      </c>
      <c r="AA159" s="404"/>
      <c r="AB159" s="404"/>
      <c r="AC159" s="404"/>
    </row>
    <row r="160" spans="1:68" x14ac:dyDescent="0.2">
      <c r="A160" s="415"/>
      <c r="B160" s="415"/>
      <c r="C160" s="415"/>
      <c r="D160" s="415"/>
      <c r="E160" s="415"/>
      <c r="F160" s="415"/>
      <c r="G160" s="415"/>
      <c r="H160" s="415"/>
      <c r="I160" s="415"/>
      <c r="J160" s="415"/>
      <c r="K160" s="415"/>
      <c r="L160" s="415"/>
      <c r="M160" s="415"/>
      <c r="N160" s="415"/>
      <c r="O160" s="426"/>
      <c r="P160" s="411" t="s">
        <v>76</v>
      </c>
      <c r="Q160" s="412"/>
      <c r="R160" s="412"/>
      <c r="S160" s="412"/>
      <c r="T160" s="412"/>
      <c r="U160" s="412"/>
      <c r="V160" s="413"/>
      <c r="W160" s="38" t="s">
        <v>71</v>
      </c>
      <c r="X160" s="403">
        <f>IFERROR(SUM(X151:X158),"0")</f>
        <v>200</v>
      </c>
      <c r="Y160" s="403">
        <f>IFERROR(SUM(Y151:Y158),"0")</f>
        <v>206.1</v>
      </c>
      <c r="Z160" s="38"/>
      <c r="AA160" s="404"/>
      <c r="AB160" s="404"/>
      <c r="AC160" s="404"/>
    </row>
    <row r="161" spans="1:68" ht="14.25" customHeight="1" x14ac:dyDescent="0.25">
      <c r="A161" s="414" t="s">
        <v>131</v>
      </c>
      <c r="B161" s="415"/>
      <c r="C161" s="415"/>
      <c r="D161" s="415"/>
      <c r="E161" s="415"/>
      <c r="F161" s="415"/>
      <c r="G161" s="415"/>
      <c r="H161" s="415"/>
      <c r="I161" s="415"/>
      <c r="J161" s="415"/>
      <c r="K161" s="415"/>
      <c r="L161" s="415"/>
      <c r="M161" s="415"/>
      <c r="N161" s="415"/>
      <c r="O161" s="415"/>
      <c r="P161" s="415"/>
      <c r="Q161" s="415"/>
      <c r="R161" s="415"/>
      <c r="S161" s="415"/>
      <c r="T161" s="415"/>
      <c r="U161" s="415"/>
      <c r="V161" s="415"/>
      <c r="W161" s="415"/>
      <c r="X161" s="415"/>
      <c r="Y161" s="415"/>
      <c r="Z161" s="415"/>
      <c r="AA161" s="397"/>
      <c r="AB161" s="397"/>
      <c r="AC161" s="397"/>
    </row>
    <row r="162" spans="1:68" ht="27" customHeight="1" x14ac:dyDescent="0.25">
      <c r="A162" s="55" t="s">
        <v>274</v>
      </c>
      <c r="B162" s="55" t="s">
        <v>275</v>
      </c>
      <c r="C162" s="32">
        <v>4301060389</v>
      </c>
      <c r="D162" s="416">
        <v>4680115880801</v>
      </c>
      <c r="E162" s="417"/>
      <c r="F162" s="400">
        <v>0.4</v>
      </c>
      <c r="G162" s="33">
        <v>6</v>
      </c>
      <c r="H162" s="400">
        <v>2.4</v>
      </c>
      <c r="I162" s="400">
        <v>2.6520000000000001</v>
      </c>
      <c r="J162" s="33">
        <v>182</v>
      </c>
      <c r="K162" s="33" t="s">
        <v>69</v>
      </c>
      <c r="L162" s="33"/>
      <c r="M162" s="34" t="s">
        <v>95</v>
      </c>
      <c r="N162" s="34"/>
      <c r="O162" s="33">
        <v>40</v>
      </c>
      <c r="P162" s="58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162" s="406"/>
      <c r="R162" s="406"/>
      <c r="S162" s="406"/>
      <c r="T162" s="407"/>
      <c r="U162" s="35"/>
      <c r="V162" s="35"/>
      <c r="W162" s="36" t="s">
        <v>71</v>
      </c>
      <c r="X162" s="401">
        <v>0</v>
      </c>
      <c r="Y162" s="402">
        <f>IFERROR(IF(X162="",0,CEILING((X162/$H162),1)*$H162),"")</f>
        <v>0</v>
      </c>
      <c r="Z162" s="37" t="str">
        <f>IFERROR(IF(Y162=0,"",ROUNDUP(Y162/H162,0)*0.00651),"")</f>
        <v/>
      </c>
      <c r="AA162" s="57"/>
      <c r="AB162" s="58"/>
      <c r="AC162" s="206" t="s">
        <v>276</v>
      </c>
      <c r="AG162" s="65"/>
      <c r="AJ162" s="69"/>
      <c r="AK162" s="69">
        <v>0</v>
      </c>
      <c r="BB162" s="207" t="s">
        <v>1</v>
      </c>
      <c r="BM162" s="65">
        <f>IFERROR(X162*I162/H162,"0")</f>
        <v>0</v>
      </c>
      <c r="BN162" s="65">
        <f>IFERROR(Y162*I162/H162,"0")</f>
        <v>0</v>
      </c>
      <c r="BO162" s="65">
        <f>IFERROR(1/J162*(X162/H162),"0")</f>
        <v>0</v>
      </c>
      <c r="BP162" s="65">
        <f>IFERROR(1/J162*(Y162/H162),"0")</f>
        <v>0</v>
      </c>
    </row>
    <row r="163" spans="1:68" x14ac:dyDescent="0.2">
      <c r="A163" s="425"/>
      <c r="B163" s="415"/>
      <c r="C163" s="415"/>
      <c r="D163" s="415"/>
      <c r="E163" s="415"/>
      <c r="F163" s="415"/>
      <c r="G163" s="415"/>
      <c r="H163" s="415"/>
      <c r="I163" s="415"/>
      <c r="J163" s="415"/>
      <c r="K163" s="415"/>
      <c r="L163" s="415"/>
      <c r="M163" s="415"/>
      <c r="N163" s="415"/>
      <c r="O163" s="426"/>
      <c r="P163" s="411" t="s">
        <v>76</v>
      </c>
      <c r="Q163" s="412"/>
      <c r="R163" s="412"/>
      <c r="S163" s="412"/>
      <c r="T163" s="412"/>
      <c r="U163" s="412"/>
      <c r="V163" s="413"/>
      <c r="W163" s="38" t="s">
        <v>77</v>
      </c>
      <c r="X163" s="403">
        <f>IFERROR(X162/H162,"0")</f>
        <v>0</v>
      </c>
      <c r="Y163" s="403">
        <f>IFERROR(Y162/H162,"0")</f>
        <v>0</v>
      </c>
      <c r="Z163" s="403">
        <f>IFERROR(IF(Z162="",0,Z162),"0")</f>
        <v>0</v>
      </c>
      <c r="AA163" s="404"/>
      <c r="AB163" s="404"/>
      <c r="AC163" s="404"/>
    </row>
    <row r="164" spans="1:68" x14ac:dyDescent="0.2">
      <c r="A164" s="415"/>
      <c r="B164" s="415"/>
      <c r="C164" s="415"/>
      <c r="D164" s="415"/>
      <c r="E164" s="415"/>
      <c r="F164" s="415"/>
      <c r="G164" s="415"/>
      <c r="H164" s="415"/>
      <c r="I164" s="415"/>
      <c r="J164" s="415"/>
      <c r="K164" s="415"/>
      <c r="L164" s="415"/>
      <c r="M164" s="415"/>
      <c r="N164" s="415"/>
      <c r="O164" s="426"/>
      <c r="P164" s="411" t="s">
        <v>76</v>
      </c>
      <c r="Q164" s="412"/>
      <c r="R164" s="412"/>
      <c r="S164" s="412"/>
      <c r="T164" s="412"/>
      <c r="U164" s="412"/>
      <c r="V164" s="413"/>
      <c r="W164" s="38" t="s">
        <v>71</v>
      </c>
      <c r="X164" s="403">
        <f>IFERROR(SUM(X162:X162),"0")</f>
        <v>0</v>
      </c>
      <c r="Y164" s="403">
        <f>IFERROR(SUM(Y162:Y162),"0")</f>
        <v>0</v>
      </c>
      <c r="Z164" s="38"/>
      <c r="AA164" s="404"/>
      <c r="AB164" s="404"/>
      <c r="AC164" s="404"/>
    </row>
    <row r="165" spans="1:68" ht="16.5" customHeight="1" x14ac:dyDescent="0.25">
      <c r="A165" s="463" t="s">
        <v>277</v>
      </c>
      <c r="B165" s="415"/>
      <c r="C165" s="415"/>
      <c r="D165" s="415"/>
      <c r="E165" s="415"/>
      <c r="F165" s="415"/>
      <c r="G165" s="415"/>
      <c r="H165" s="415"/>
      <c r="I165" s="415"/>
      <c r="J165" s="415"/>
      <c r="K165" s="415"/>
      <c r="L165" s="415"/>
      <c r="M165" s="415"/>
      <c r="N165" s="415"/>
      <c r="O165" s="415"/>
      <c r="P165" s="415"/>
      <c r="Q165" s="415"/>
      <c r="R165" s="415"/>
      <c r="S165" s="415"/>
      <c r="T165" s="415"/>
      <c r="U165" s="415"/>
      <c r="V165" s="415"/>
      <c r="W165" s="415"/>
      <c r="X165" s="415"/>
      <c r="Y165" s="415"/>
      <c r="Z165" s="415"/>
      <c r="AA165" s="396"/>
      <c r="AB165" s="396"/>
      <c r="AC165" s="396"/>
    </row>
    <row r="166" spans="1:68" ht="14.25" customHeight="1" x14ac:dyDescent="0.25">
      <c r="A166" s="414" t="s">
        <v>86</v>
      </c>
      <c r="B166" s="415"/>
      <c r="C166" s="415"/>
      <c r="D166" s="415"/>
      <c r="E166" s="415"/>
      <c r="F166" s="415"/>
      <c r="G166" s="415"/>
      <c r="H166" s="415"/>
      <c r="I166" s="415"/>
      <c r="J166" s="415"/>
      <c r="K166" s="415"/>
      <c r="L166" s="415"/>
      <c r="M166" s="415"/>
      <c r="N166" s="415"/>
      <c r="O166" s="415"/>
      <c r="P166" s="415"/>
      <c r="Q166" s="415"/>
      <c r="R166" s="415"/>
      <c r="S166" s="415"/>
      <c r="T166" s="415"/>
      <c r="U166" s="415"/>
      <c r="V166" s="415"/>
      <c r="W166" s="415"/>
      <c r="X166" s="415"/>
      <c r="Y166" s="415"/>
      <c r="Z166" s="415"/>
      <c r="AA166" s="397"/>
      <c r="AB166" s="397"/>
      <c r="AC166" s="397"/>
    </row>
    <row r="167" spans="1:68" ht="27" customHeight="1" x14ac:dyDescent="0.25">
      <c r="A167" s="55" t="s">
        <v>278</v>
      </c>
      <c r="B167" s="55" t="s">
        <v>279</v>
      </c>
      <c r="C167" s="32">
        <v>4301011826</v>
      </c>
      <c r="D167" s="416">
        <v>4680115884137</v>
      </c>
      <c r="E167" s="417"/>
      <c r="F167" s="400">
        <v>1.45</v>
      </c>
      <c r="G167" s="33">
        <v>8</v>
      </c>
      <c r="H167" s="400">
        <v>11.6</v>
      </c>
      <c r="I167" s="400">
        <v>12.035</v>
      </c>
      <c r="J167" s="33">
        <v>64</v>
      </c>
      <c r="K167" s="33" t="s">
        <v>89</v>
      </c>
      <c r="L167" s="33"/>
      <c r="M167" s="34" t="s">
        <v>90</v>
      </c>
      <c r="N167" s="34"/>
      <c r="O167" s="33">
        <v>55</v>
      </c>
      <c r="P167" s="5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167" s="406"/>
      <c r="R167" s="406"/>
      <c r="S167" s="406"/>
      <c r="T167" s="407"/>
      <c r="U167" s="35"/>
      <c r="V167" s="35"/>
      <c r="W167" s="36" t="s">
        <v>71</v>
      </c>
      <c r="X167" s="401">
        <v>0</v>
      </c>
      <c r="Y167" s="402">
        <f t="shared" ref="Y167:Y172" si="15">IFERROR(IF(X167="",0,CEILING((X167/$H167),1)*$H167),"")</f>
        <v>0</v>
      </c>
      <c r="Z167" s="37" t="str">
        <f>IFERROR(IF(Y167=0,"",ROUNDUP(Y167/H167,0)*0.01898),"")</f>
        <v/>
      </c>
      <c r="AA167" s="57"/>
      <c r="AB167" s="58"/>
      <c r="AC167" s="208" t="s">
        <v>280</v>
      </c>
      <c r="AG167" s="65"/>
      <c r="AJ167" s="69"/>
      <c r="AK167" s="69">
        <v>0</v>
      </c>
      <c r="BB167" s="209" t="s">
        <v>1</v>
      </c>
      <c r="BM167" s="65">
        <f t="shared" ref="BM167:BM172" si="16">IFERROR(X167*I167/H167,"0")</f>
        <v>0</v>
      </c>
      <c r="BN167" s="65">
        <f t="shared" ref="BN167:BN172" si="17">IFERROR(Y167*I167/H167,"0")</f>
        <v>0</v>
      </c>
      <c r="BO167" s="65">
        <f t="shared" ref="BO167:BO172" si="18">IFERROR(1/J167*(X167/H167),"0")</f>
        <v>0</v>
      </c>
      <c r="BP167" s="65">
        <f t="shared" ref="BP167:BP172" si="19">IFERROR(1/J167*(Y167/H167),"0")</f>
        <v>0</v>
      </c>
    </row>
    <row r="168" spans="1:68" ht="27" customHeight="1" x14ac:dyDescent="0.25">
      <c r="A168" s="55" t="s">
        <v>281</v>
      </c>
      <c r="B168" s="55" t="s">
        <v>282</v>
      </c>
      <c r="C168" s="32">
        <v>4301011724</v>
      </c>
      <c r="D168" s="416">
        <v>4680115884236</v>
      </c>
      <c r="E168" s="417"/>
      <c r="F168" s="400">
        <v>1.45</v>
      </c>
      <c r="G168" s="33">
        <v>8</v>
      </c>
      <c r="H168" s="400">
        <v>11.6</v>
      </c>
      <c r="I168" s="400">
        <v>12.035</v>
      </c>
      <c r="J168" s="33">
        <v>64</v>
      </c>
      <c r="K168" s="33" t="s">
        <v>89</v>
      </c>
      <c r="L168" s="33"/>
      <c r="M168" s="34" t="s">
        <v>90</v>
      </c>
      <c r="N168" s="34"/>
      <c r="O168" s="33">
        <v>55</v>
      </c>
      <c r="P168" s="4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168" s="406"/>
      <c r="R168" s="406"/>
      <c r="S168" s="406"/>
      <c r="T168" s="407"/>
      <c r="U168" s="35"/>
      <c r="V168" s="35"/>
      <c r="W168" s="36" t="s">
        <v>71</v>
      </c>
      <c r="X168" s="401">
        <v>0</v>
      </c>
      <c r="Y168" s="402">
        <f t="shared" si="15"/>
        <v>0</v>
      </c>
      <c r="Z168" s="37" t="str">
        <f>IFERROR(IF(Y168=0,"",ROUNDUP(Y168/H168,0)*0.01898),"")</f>
        <v/>
      </c>
      <c r="AA168" s="57"/>
      <c r="AB168" s="58"/>
      <c r="AC168" s="210" t="s">
        <v>283</v>
      </c>
      <c r="AG168" s="65"/>
      <c r="AJ168" s="69"/>
      <c r="AK168" s="69">
        <v>0</v>
      </c>
      <c r="BB168" s="211" t="s">
        <v>1</v>
      </c>
      <c r="BM168" s="65">
        <f t="shared" si="16"/>
        <v>0</v>
      </c>
      <c r="BN168" s="65">
        <f t="shared" si="17"/>
        <v>0</v>
      </c>
      <c r="BO168" s="65">
        <f t="shared" si="18"/>
        <v>0</v>
      </c>
      <c r="BP168" s="65">
        <f t="shared" si="19"/>
        <v>0</v>
      </c>
    </row>
    <row r="169" spans="1:68" ht="27" customHeight="1" x14ac:dyDescent="0.25">
      <c r="A169" s="55" t="s">
        <v>284</v>
      </c>
      <c r="B169" s="55" t="s">
        <v>285</v>
      </c>
      <c r="C169" s="32">
        <v>4301011721</v>
      </c>
      <c r="D169" s="416">
        <v>4680115884175</v>
      </c>
      <c r="E169" s="417"/>
      <c r="F169" s="400">
        <v>1.45</v>
      </c>
      <c r="G169" s="33">
        <v>8</v>
      </c>
      <c r="H169" s="400">
        <v>11.6</v>
      </c>
      <c r="I169" s="400">
        <v>12.035</v>
      </c>
      <c r="J169" s="33">
        <v>64</v>
      </c>
      <c r="K169" s="33" t="s">
        <v>89</v>
      </c>
      <c r="L169" s="33"/>
      <c r="M169" s="34" t="s">
        <v>90</v>
      </c>
      <c r="N169" s="34"/>
      <c r="O169" s="33">
        <v>55</v>
      </c>
      <c r="P169" s="5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169" s="406"/>
      <c r="R169" s="406"/>
      <c r="S169" s="406"/>
      <c r="T169" s="407"/>
      <c r="U169" s="35"/>
      <c r="V169" s="35"/>
      <c r="W169" s="36" t="s">
        <v>71</v>
      </c>
      <c r="X169" s="401">
        <v>0</v>
      </c>
      <c r="Y169" s="402">
        <f t="shared" si="15"/>
        <v>0</v>
      </c>
      <c r="Z169" s="37" t="str">
        <f>IFERROR(IF(Y169=0,"",ROUNDUP(Y169/H169,0)*0.01898),"")</f>
        <v/>
      </c>
      <c r="AA169" s="57"/>
      <c r="AB169" s="58"/>
      <c r="AC169" s="212" t="s">
        <v>286</v>
      </c>
      <c r="AG169" s="65"/>
      <c r="AJ169" s="69"/>
      <c r="AK169" s="69">
        <v>0</v>
      </c>
      <c r="BB169" s="213" t="s">
        <v>1</v>
      </c>
      <c r="BM169" s="65">
        <f t="shared" si="16"/>
        <v>0</v>
      </c>
      <c r="BN169" s="65">
        <f t="shared" si="17"/>
        <v>0</v>
      </c>
      <c r="BO169" s="65">
        <f t="shared" si="18"/>
        <v>0</v>
      </c>
      <c r="BP169" s="65">
        <f t="shared" si="19"/>
        <v>0</v>
      </c>
    </row>
    <row r="170" spans="1:68" ht="27" customHeight="1" x14ac:dyDescent="0.25">
      <c r="A170" s="55" t="s">
        <v>287</v>
      </c>
      <c r="B170" s="55" t="s">
        <v>288</v>
      </c>
      <c r="C170" s="32">
        <v>4301011824</v>
      </c>
      <c r="D170" s="416">
        <v>4680115884144</v>
      </c>
      <c r="E170" s="417"/>
      <c r="F170" s="400">
        <v>0.4</v>
      </c>
      <c r="G170" s="33">
        <v>10</v>
      </c>
      <c r="H170" s="400">
        <v>4</v>
      </c>
      <c r="I170" s="400">
        <v>4.21</v>
      </c>
      <c r="J170" s="33">
        <v>132</v>
      </c>
      <c r="K170" s="33" t="s">
        <v>94</v>
      </c>
      <c r="L170" s="33"/>
      <c r="M170" s="34" t="s">
        <v>90</v>
      </c>
      <c r="N170" s="34"/>
      <c r="O170" s="33">
        <v>55</v>
      </c>
      <c r="P170" s="43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170" s="406"/>
      <c r="R170" s="406"/>
      <c r="S170" s="406"/>
      <c r="T170" s="407"/>
      <c r="U170" s="35"/>
      <c r="V170" s="35"/>
      <c r="W170" s="36" t="s">
        <v>71</v>
      </c>
      <c r="X170" s="401">
        <v>0</v>
      </c>
      <c r="Y170" s="402">
        <f t="shared" si="15"/>
        <v>0</v>
      </c>
      <c r="Z170" s="37" t="str">
        <f>IFERROR(IF(Y170=0,"",ROUNDUP(Y170/H170,0)*0.00902),"")</f>
        <v/>
      </c>
      <c r="AA170" s="57"/>
      <c r="AB170" s="58"/>
      <c r="AC170" s="214" t="s">
        <v>280</v>
      </c>
      <c r="AG170" s="65"/>
      <c r="AJ170" s="69"/>
      <c r="AK170" s="69">
        <v>0</v>
      </c>
      <c r="BB170" s="215" t="s">
        <v>1</v>
      </c>
      <c r="BM170" s="65">
        <f t="shared" si="16"/>
        <v>0</v>
      </c>
      <c r="BN170" s="65">
        <f t="shared" si="17"/>
        <v>0</v>
      </c>
      <c r="BO170" s="65">
        <f t="shared" si="18"/>
        <v>0</v>
      </c>
      <c r="BP170" s="65">
        <f t="shared" si="19"/>
        <v>0</v>
      </c>
    </row>
    <row r="171" spans="1:68" ht="27" customHeight="1" x14ac:dyDescent="0.25">
      <c r="A171" s="55" t="s">
        <v>289</v>
      </c>
      <c r="B171" s="55" t="s">
        <v>290</v>
      </c>
      <c r="C171" s="32">
        <v>4301011726</v>
      </c>
      <c r="D171" s="416">
        <v>4680115884182</v>
      </c>
      <c r="E171" s="417"/>
      <c r="F171" s="400">
        <v>0.37</v>
      </c>
      <c r="G171" s="33">
        <v>10</v>
      </c>
      <c r="H171" s="400">
        <v>3.7</v>
      </c>
      <c r="I171" s="400">
        <v>3.91</v>
      </c>
      <c r="J171" s="33">
        <v>132</v>
      </c>
      <c r="K171" s="33" t="s">
        <v>94</v>
      </c>
      <c r="L171" s="33"/>
      <c r="M171" s="34" t="s">
        <v>90</v>
      </c>
      <c r="N171" s="34"/>
      <c r="O171" s="33">
        <v>55</v>
      </c>
      <c r="P171" s="46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171" s="406"/>
      <c r="R171" s="406"/>
      <c r="S171" s="406"/>
      <c r="T171" s="407"/>
      <c r="U171" s="35"/>
      <c r="V171" s="35"/>
      <c r="W171" s="36" t="s">
        <v>71</v>
      </c>
      <c r="X171" s="401">
        <v>0</v>
      </c>
      <c r="Y171" s="402">
        <f t="shared" si="15"/>
        <v>0</v>
      </c>
      <c r="Z171" s="37" t="str">
        <f>IFERROR(IF(Y171=0,"",ROUNDUP(Y171/H171,0)*0.00902),"")</f>
        <v/>
      </c>
      <c r="AA171" s="57"/>
      <c r="AB171" s="58"/>
      <c r="AC171" s="216" t="s">
        <v>283</v>
      </c>
      <c r="AG171" s="65"/>
      <c r="AJ171" s="69"/>
      <c r="AK171" s="69">
        <v>0</v>
      </c>
      <c r="BB171" s="217" t="s">
        <v>1</v>
      </c>
      <c r="BM171" s="65">
        <f t="shared" si="16"/>
        <v>0</v>
      </c>
      <c r="BN171" s="65">
        <f t="shared" si="17"/>
        <v>0</v>
      </c>
      <c r="BO171" s="65">
        <f t="shared" si="18"/>
        <v>0</v>
      </c>
      <c r="BP171" s="65">
        <f t="shared" si="19"/>
        <v>0</v>
      </c>
    </row>
    <row r="172" spans="1:68" ht="27" customHeight="1" x14ac:dyDescent="0.25">
      <c r="A172" s="55" t="s">
        <v>291</v>
      </c>
      <c r="B172" s="55" t="s">
        <v>292</v>
      </c>
      <c r="C172" s="32">
        <v>4301011722</v>
      </c>
      <c r="D172" s="416">
        <v>4680115884205</v>
      </c>
      <c r="E172" s="417"/>
      <c r="F172" s="400">
        <v>0.4</v>
      </c>
      <c r="G172" s="33">
        <v>10</v>
      </c>
      <c r="H172" s="400">
        <v>4</v>
      </c>
      <c r="I172" s="400">
        <v>4.21</v>
      </c>
      <c r="J172" s="33">
        <v>132</v>
      </c>
      <c r="K172" s="33" t="s">
        <v>94</v>
      </c>
      <c r="L172" s="33"/>
      <c r="M172" s="34" t="s">
        <v>90</v>
      </c>
      <c r="N172" s="34"/>
      <c r="O172" s="33">
        <v>55</v>
      </c>
      <c r="P172" s="4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172" s="406"/>
      <c r="R172" s="406"/>
      <c r="S172" s="406"/>
      <c r="T172" s="407"/>
      <c r="U172" s="35"/>
      <c r="V172" s="35"/>
      <c r="W172" s="36" t="s">
        <v>71</v>
      </c>
      <c r="X172" s="401">
        <v>0</v>
      </c>
      <c r="Y172" s="402">
        <f t="shared" si="15"/>
        <v>0</v>
      </c>
      <c r="Z172" s="37" t="str">
        <f>IFERROR(IF(Y172=0,"",ROUNDUP(Y172/H172,0)*0.00902),"")</f>
        <v/>
      </c>
      <c r="AA172" s="57"/>
      <c r="AB172" s="58"/>
      <c r="AC172" s="218" t="s">
        <v>286</v>
      </c>
      <c r="AG172" s="65"/>
      <c r="AJ172" s="69"/>
      <c r="AK172" s="69">
        <v>0</v>
      </c>
      <c r="BB172" s="219" t="s">
        <v>1</v>
      </c>
      <c r="BM172" s="65">
        <f t="shared" si="16"/>
        <v>0</v>
      </c>
      <c r="BN172" s="65">
        <f t="shared" si="17"/>
        <v>0</v>
      </c>
      <c r="BO172" s="65">
        <f t="shared" si="18"/>
        <v>0</v>
      </c>
      <c r="BP172" s="65">
        <f t="shared" si="19"/>
        <v>0</v>
      </c>
    </row>
    <row r="173" spans="1:68" x14ac:dyDescent="0.2">
      <c r="A173" s="425"/>
      <c r="B173" s="415"/>
      <c r="C173" s="415"/>
      <c r="D173" s="415"/>
      <c r="E173" s="415"/>
      <c r="F173" s="415"/>
      <c r="G173" s="415"/>
      <c r="H173" s="415"/>
      <c r="I173" s="415"/>
      <c r="J173" s="415"/>
      <c r="K173" s="415"/>
      <c r="L173" s="415"/>
      <c r="M173" s="415"/>
      <c r="N173" s="415"/>
      <c r="O173" s="426"/>
      <c r="P173" s="411" t="s">
        <v>76</v>
      </c>
      <c r="Q173" s="412"/>
      <c r="R173" s="412"/>
      <c r="S173" s="412"/>
      <c r="T173" s="412"/>
      <c r="U173" s="412"/>
      <c r="V173" s="413"/>
      <c r="W173" s="38" t="s">
        <v>77</v>
      </c>
      <c r="X173" s="403">
        <f>IFERROR(X167/H167,"0")+IFERROR(X168/H168,"0")+IFERROR(X169/H169,"0")+IFERROR(X170/H170,"0")+IFERROR(X171/H171,"0")+IFERROR(X172/H172,"0")</f>
        <v>0</v>
      </c>
      <c r="Y173" s="403">
        <f>IFERROR(Y167/H167,"0")+IFERROR(Y168/H168,"0")+IFERROR(Y169/H169,"0")+IFERROR(Y170/H170,"0")+IFERROR(Y171/H171,"0")+IFERROR(Y172/H172,"0")</f>
        <v>0</v>
      </c>
      <c r="Z173" s="403">
        <f>IFERROR(IF(Z167="",0,Z167),"0")+IFERROR(IF(Z168="",0,Z168),"0")+IFERROR(IF(Z169="",0,Z169),"0")+IFERROR(IF(Z170="",0,Z170),"0")+IFERROR(IF(Z171="",0,Z171),"0")+IFERROR(IF(Z172="",0,Z172),"0")</f>
        <v>0</v>
      </c>
      <c r="AA173" s="404"/>
      <c r="AB173" s="404"/>
      <c r="AC173" s="404"/>
    </row>
    <row r="174" spans="1:68" x14ac:dyDescent="0.2">
      <c r="A174" s="415"/>
      <c r="B174" s="415"/>
      <c r="C174" s="415"/>
      <c r="D174" s="415"/>
      <c r="E174" s="415"/>
      <c r="F174" s="415"/>
      <c r="G174" s="415"/>
      <c r="H174" s="415"/>
      <c r="I174" s="415"/>
      <c r="J174" s="415"/>
      <c r="K174" s="415"/>
      <c r="L174" s="415"/>
      <c r="M174" s="415"/>
      <c r="N174" s="415"/>
      <c r="O174" s="426"/>
      <c r="P174" s="411" t="s">
        <v>76</v>
      </c>
      <c r="Q174" s="412"/>
      <c r="R174" s="412"/>
      <c r="S174" s="412"/>
      <c r="T174" s="412"/>
      <c r="U174" s="412"/>
      <c r="V174" s="413"/>
      <c r="W174" s="38" t="s">
        <v>71</v>
      </c>
      <c r="X174" s="403">
        <f>IFERROR(SUM(X167:X172),"0")</f>
        <v>0</v>
      </c>
      <c r="Y174" s="403">
        <f>IFERROR(SUM(Y167:Y172),"0")</f>
        <v>0</v>
      </c>
      <c r="Z174" s="38"/>
      <c r="AA174" s="404"/>
      <c r="AB174" s="404"/>
      <c r="AC174" s="404"/>
    </row>
    <row r="175" spans="1:68" ht="16.5" customHeight="1" x14ac:dyDescent="0.25">
      <c r="A175" s="463" t="s">
        <v>293</v>
      </c>
      <c r="B175" s="415"/>
      <c r="C175" s="415"/>
      <c r="D175" s="415"/>
      <c r="E175" s="415"/>
      <c r="F175" s="415"/>
      <c r="G175" s="415"/>
      <c r="H175" s="415"/>
      <c r="I175" s="415"/>
      <c r="J175" s="415"/>
      <c r="K175" s="415"/>
      <c r="L175" s="415"/>
      <c r="M175" s="415"/>
      <c r="N175" s="415"/>
      <c r="O175" s="415"/>
      <c r="P175" s="415"/>
      <c r="Q175" s="415"/>
      <c r="R175" s="415"/>
      <c r="S175" s="415"/>
      <c r="T175" s="415"/>
      <c r="U175" s="415"/>
      <c r="V175" s="415"/>
      <c r="W175" s="415"/>
      <c r="X175" s="415"/>
      <c r="Y175" s="415"/>
      <c r="Z175" s="415"/>
      <c r="AA175" s="396"/>
      <c r="AB175" s="396"/>
      <c r="AC175" s="396"/>
    </row>
    <row r="176" spans="1:68" ht="14.25" customHeight="1" x14ac:dyDescent="0.25">
      <c r="A176" s="414" t="s">
        <v>86</v>
      </c>
      <c r="B176" s="415"/>
      <c r="C176" s="415"/>
      <c r="D176" s="415"/>
      <c r="E176" s="415"/>
      <c r="F176" s="415"/>
      <c r="G176" s="415"/>
      <c r="H176" s="415"/>
      <c r="I176" s="415"/>
      <c r="J176" s="415"/>
      <c r="K176" s="415"/>
      <c r="L176" s="415"/>
      <c r="M176" s="415"/>
      <c r="N176" s="415"/>
      <c r="O176" s="415"/>
      <c r="P176" s="415"/>
      <c r="Q176" s="415"/>
      <c r="R176" s="415"/>
      <c r="S176" s="415"/>
      <c r="T176" s="415"/>
      <c r="U176" s="415"/>
      <c r="V176" s="415"/>
      <c r="W176" s="415"/>
      <c r="X176" s="415"/>
      <c r="Y176" s="415"/>
      <c r="Z176" s="415"/>
      <c r="AA176" s="397"/>
      <c r="AB176" s="397"/>
      <c r="AC176" s="397"/>
    </row>
    <row r="177" spans="1:68" ht="27" customHeight="1" x14ac:dyDescent="0.25">
      <c r="A177" s="55" t="s">
        <v>294</v>
      </c>
      <c r="B177" s="55" t="s">
        <v>295</v>
      </c>
      <c r="C177" s="32">
        <v>4301011855</v>
      </c>
      <c r="D177" s="416">
        <v>4680115885837</v>
      </c>
      <c r="E177" s="417"/>
      <c r="F177" s="400">
        <v>1.35</v>
      </c>
      <c r="G177" s="33">
        <v>8</v>
      </c>
      <c r="H177" s="400">
        <v>10.8</v>
      </c>
      <c r="I177" s="400">
        <v>11.234999999999999</v>
      </c>
      <c r="J177" s="33">
        <v>64</v>
      </c>
      <c r="K177" s="33" t="s">
        <v>89</v>
      </c>
      <c r="L177" s="33"/>
      <c r="M177" s="34" t="s">
        <v>90</v>
      </c>
      <c r="N177" s="34"/>
      <c r="O177" s="33">
        <v>55</v>
      </c>
      <c r="P177" s="5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177" s="406"/>
      <c r="R177" s="406"/>
      <c r="S177" s="406"/>
      <c r="T177" s="407"/>
      <c r="U177" s="35"/>
      <c r="V177" s="35"/>
      <c r="W177" s="36" t="s">
        <v>71</v>
      </c>
      <c r="X177" s="401">
        <v>0</v>
      </c>
      <c r="Y177" s="402">
        <f>IFERROR(IF(X177="",0,CEILING((X177/$H177),1)*$H177),"")</f>
        <v>0</v>
      </c>
      <c r="Z177" s="37" t="str">
        <f>IFERROR(IF(Y177=0,"",ROUNDUP(Y177/H177,0)*0.01898),"")</f>
        <v/>
      </c>
      <c r="AA177" s="57"/>
      <c r="AB177" s="58"/>
      <c r="AC177" s="220" t="s">
        <v>296</v>
      </c>
      <c r="AG177" s="65"/>
      <c r="AJ177" s="69"/>
      <c r="AK177" s="69">
        <v>0</v>
      </c>
      <c r="BB177" s="221" t="s">
        <v>1</v>
      </c>
      <c r="BM177" s="65">
        <f>IFERROR(X177*I177/H177,"0")</f>
        <v>0</v>
      </c>
      <c r="BN177" s="65">
        <f>IFERROR(Y177*I177/H177,"0")</f>
        <v>0</v>
      </c>
      <c r="BO177" s="65">
        <f>IFERROR(1/J177*(X177/H177),"0")</f>
        <v>0</v>
      </c>
      <c r="BP177" s="65">
        <f>IFERROR(1/J177*(Y177/H177),"0")</f>
        <v>0</v>
      </c>
    </row>
    <row r="178" spans="1:68" ht="27" customHeight="1" x14ac:dyDescent="0.25">
      <c r="A178" s="55" t="s">
        <v>297</v>
      </c>
      <c r="B178" s="55" t="s">
        <v>298</v>
      </c>
      <c r="C178" s="32">
        <v>4301011850</v>
      </c>
      <c r="D178" s="416">
        <v>4680115885806</v>
      </c>
      <c r="E178" s="417"/>
      <c r="F178" s="400">
        <v>1.35</v>
      </c>
      <c r="G178" s="33">
        <v>8</v>
      </c>
      <c r="H178" s="400">
        <v>10.8</v>
      </c>
      <c r="I178" s="400">
        <v>11.234999999999999</v>
      </c>
      <c r="J178" s="33">
        <v>64</v>
      </c>
      <c r="K178" s="33" t="s">
        <v>89</v>
      </c>
      <c r="L178" s="33"/>
      <c r="M178" s="34" t="s">
        <v>90</v>
      </c>
      <c r="N178" s="34"/>
      <c r="O178" s="33">
        <v>55</v>
      </c>
      <c r="P178" s="60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178" s="406"/>
      <c r="R178" s="406"/>
      <c r="S178" s="406"/>
      <c r="T178" s="407"/>
      <c r="U178" s="35"/>
      <c r="V178" s="35"/>
      <c r="W178" s="36" t="s">
        <v>71</v>
      </c>
      <c r="X178" s="401">
        <v>0</v>
      </c>
      <c r="Y178" s="402">
        <f>IFERROR(IF(X178="",0,CEILING((X178/$H178),1)*$H178),"")</f>
        <v>0</v>
      </c>
      <c r="Z178" s="37" t="str">
        <f>IFERROR(IF(Y178=0,"",ROUNDUP(Y178/H178,0)*0.01898),"")</f>
        <v/>
      </c>
      <c r="AA178" s="57"/>
      <c r="AB178" s="58"/>
      <c r="AC178" s="222" t="s">
        <v>299</v>
      </c>
      <c r="AG178" s="65"/>
      <c r="AJ178" s="69"/>
      <c r="AK178" s="69">
        <v>0</v>
      </c>
      <c r="BB178" s="223" t="s">
        <v>1</v>
      </c>
      <c r="BM178" s="65">
        <f>IFERROR(X178*I178/H178,"0")</f>
        <v>0</v>
      </c>
      <c r="BN178" s="65">
        <f>IFERROR(Y178*I178/H178,"0")</f>
        <v>0</v>
      </c>
      <c r="BO178" s="65">
        <f>IFERROR(1/J178*(X178/H178),"0")</f>
        <v>0</v>
      </c>
      <c r="BP178" s="65">
        <f>IFERROR(1/J178*(Y178/H178),"0")</f>
        <v>0</v>
      </c>
    </row>
    <row r="179" spans="1:68" ht="37.5" customHeight="1" x14ac:dyDescent="0.25">
      <c r="A179" s="55" t="s">
        <v>300</v>
      </c>
      <c r="B179" s="55" t="s">
        <v>301</v>
      </c>
      <c r="C179" s="32">
        <v>4301011853</v>
      </c>
      <c r="D179" s="416">
        <v>4680115885851</v>
      </c>
      <c r="E179" s="417"/>
      <c r="F179" s="400">
        <v>1.35</v>
      </c>
      <c r="G179" s="33">
        <v>8</v>
      </c>
      <c r="H179" s="400">
        <v>10.8</v>
      </c>
      <c r="I179" s="400">
        <v>11.234999999999999</v>
      </c>
      <c r="J179" s="33">
        <v>64</v>
      </c>
      <c r="K179" s="33" t="s">
        <v>89</v>
      </c>
      <c r="L179" s="33"/>
      <c r="M179" s="34" t="s">
        <v>90</v>
      </c>
      <c r="N179" s="34"/>
      <c r="O179" s="33">
        <v>55</v>
      </c>
      <c r="P179" s="5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179" s="406"/>
      <c r="R179" s="406"/>
      <c r="S179" s="406"/>
      <c r="T179" s="407"/>
      <c r="U179" s="35"/>
      <c r="V179" s="35"/>
      <c r="W179" s="36" t="s">
        <v>71</v>
      </c>
      <c r="X179" s="401">
        <v>0</v>
      </c>
      <c r="Y179" s="402">
        <f>IFERROR(IF(X179="",0,CEILING((X179/$H179),1)*$H179),"")</f>
        <v>0</v>
      </c>
      <c r="Z179" s="37" t="str">
        <f>IFERROR(IF(Y179=0,"",ROUNDUP(Y179/H179,0)*0.01898),"")</f>
        <v/>
      </c>
      <c r="AA179" s="57"/>
      <c r="AB179" s="58"/>
      <c r="AC179" s="224" t="s">
        <v>302</v>
      </c>
      <c r="AG179" s="65"/>
      <c r="AJ179" s="69"/>
      <c r="AK179" s="69">
        <v>0</v>
      </c>
      <c r="BB179" s="225" t="s">
        <v>1</v>
      </c>
      <c r="BM179" s="65">
        <f>IFERROR(X179*I179/H179,"0")</f>
        <v>0</v>
      </c>
      <c r="BN179" s="65">
        <f>IFERROR(Y179*I179/H179,"0")</f>
        <v>0</v>
      </c>
      <c r="BO179" s="65">
        <f>IFERROR(1/J179*(X179/H179),"0")</f>
        <v>0</v>
      </c>
      <c r="BP179" s="65">
        <f>IFERROR(1/J179*(Y179/H179),"0")</f>
        <v>0</v>
      </c>
    </row>
    <row r="180" spans="1:68" ht="27" customHeight="1" x14ac:dyDescent="0.25">
      <c r="A180" s="55" t="s">
        <v>303</v>
      </c>
      <c r="B180" s="55" t="s">
        <v>304</v>
      </c>
      <c r="C180" s="32">
        <v>4301011852</v>
      </c>
      <c r="D180" s="416">
        <v>4680115885844</v>
      </c>
      <c r="E180" s="417"/>
      <c r="F180" s="400">
        <v>0.4</v>
      </c>
      <c r="G180" s="33">
        <v>10</v>
      </c>
      <c r="H180" s="400">
        <v>4</v>
      </c>
      <c r="I180" s="400">
        <v>4.21</v>
      </c>
      <c r="J180" s="33">
        <v>132</v>
      </c>
      <c r="K180" s="33" t="s">
        <v>94</v>
      </c>
      <c r="L180" s="33"/>
      <c r="M180" s="34" t="s">
        <v>90</v>
      </c>
      <c r="N180" s="34"/>
      <c r="O180" s="33">
        <v>55</v>
      </c>
      <c r="P180" s="4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180" s="406"/>
      <c r="R180" s="406"/>
      <c r="S180" s="406"/>
      <c r="T180" s="407"/>
      <c r="U180" s="35"/>
      <c r="V180" s="35"/>
      <c r="W180" s="36" t="s">
        <v>71</v>
      </c>
      <c r="X180" s="401">
        <v>0</v>
      </c>
      <c r="Y180" s="402">
        <f>IFERROR(IF(X180="",0,CEILING((X180/$H180),1)*$H180),"")</f>
        <v>0</v>
      </c>
      <c r="Z180" s="37" t="str">
        <f>IFERROR(IF(Y180=0,"",ROUNDUP(Y180/H180,0)*0.00902),"")</f>
        <v/>
      </c>
      <c r="AA180" s="57"/>
      <c r="AB180" s="58"/>
      <c r="AC180" s="226" t="s">
        <v>305</v>
      </c>
      <c r="AG180" s="65"/>
      <c r="AJ180" s="69"/>
      <c r="AK180" s="69">
        <v>0</v>
      </c>
      <c r="BB180" s="227" t="s">
        <v>1</v>
      </c>
      <c r="BM180" s="65">
        <f>IFERROR(X180*I180/H180,"0")</f>
        <v>0</v>
      </c>
      <c r="BN180" s="65">
        <f>IFERROR(Y180*I180/H180,"0")</f>
        <v>0</v>
      </c>
      <c r="BO180" s="65">
        <f>IFERROR(1/J180*(X180/H180),"0")</f>
        <v>0</v>
      </c>
      <c r="BP180" s="65">
        <f>IFERROR(1/J180*(Y180/H180),"0")</f>
        <v>0</v>
      </c>
    </row>
    <row r="181" spans="1:68" ht="27" customHeight="1" x14ac:dyDescent="0.25">
      <c r="A181" s="55" t="s">
        <v>306</v>
      </c>
      <c r="B181" s="55" t="s">
        <v>307</v>
      </c>
      <c r="C181" s="32">
        <v>4301011851</v>
      </c>
      <c r="D181" s="416">
        <v>4680115885820</v>
      </c>
      <c r="E181" s="417"/>
      <c r="F181" s="400">
        <v>0.4</v>
      </c>
      <c r="G181" s="33">
        <v>10</v>
      </c>
      <c r="H181" s="400">
        <v>4</v>
      </c>
      <c r="I181" s="400">
        <v>4.21</v>
      </c>
      <c r="J181" s="33">
        <v>132</v>
      </c>
      <c r="K181" s="33" t="s">
        <v>94</v>
      </c>
      <c r="L181" s="33"/>
      <c r="M181" s="34" t="s">
        <v>90</v>
      </c>
      <c r="N181" s="34"/>
      <c r="O181" s="33">
        <v>55</v>
      </c>
      <c r="P181" s="63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181" s="406"/>
      <c r="R181" s="406"/>
      <c r="S181" s="406"/>
      <c r="T181" s="407"/>
      <c r="U181" s="35"/>
      <c r="V181" s="35"/>
      <c r="W181" s="36" t="s">
        <v>71</v>
      </c>
      <c r="X181" s="401">
        <v>0</v>
      </c>
      <c r="Y181" s="402">
        <f>IFERROR(IF(X181="",0,CEILING((X181/$H181),1)*$H181),"")</f>
        <v>0</v>
      </c>
      <c r="Z181" s="37" t="str">
        <f>IFERROR(IF(Y181=0,"",ROUNDUP(Y181/H181,0)*0.00902),"")</f>
        <v/>
      </c>
      <c r="AA181" s="57"/>
      <c r="AB181" s="58"/>
      <c r="AC181" s="228" t="s">
        <v>308</v>
      </c>
      <c r="AG181" s="65"/>
      <c r="AJ181" s="69"/>
      <c r="AK181" s="69">
        <v>0</v>
      </c>
      <c r="BB181" s="229" t="s">
        <v>1</v>
      </c>
      <c r="BM181" s="65">
        <f>IFERROR(X181*I181/H181,"0")</f>
        <v>0</v>
      </c>
      <c r="BN181" s="65">
        <f>IFERROR(Y181*I181/H181,"0")</f>
        <v>0</v>
      </c>
      <c r="BO181" s="65">
        <f>IFERROR(1/J181*(X181/H181),"0")</f>
        <v>0</v>
      </c>
      <c r="BP181" s="65">
        <f>IFERROR(1/J181*(Y181/H181),"0")</f>
        <v>0</v>
      </c>
    </row>
    <row r="182" spans="1:68" x14ac:dyDescent="0.2">
      <c r="A182" s="425"/>
      <c r="B182" s="415"/>
      <c r="C182" s="415"/>
      <c r="D182" s="415"/>
      <c r="E182" s="415"/>
      <c r="F182" s="415"/>
      <c r="G182" s="415"/>
      <c r="H182" s="415"/>
      <c r="I182" s="415"/>
      <c r="J182" s="415"/>
      <c r="K182" s="415"/>
      <c r="L182" s="415"/>
      <c r="M182" s="415"/>
      <c r="N182" s="415"/>
      <c r="O182" s="426"/>
      <c r="P182" s="411" t="s">
        <v>76</v>
      </c>
      <c r="Q182" s="412"/>
      <c r="R182" s="412"/>
      <c r="S182" s="412"/>
      <c r="T182" s="412"/>
      <c r="U182" s="412"/>
      <c r="V182" s="413"/>
      <c r="W182" s="38" t="s">
        <v>77</v>
      </c>
      <c r="X182" s="403">
        <f>IFERROR(X177/H177,"0")+IFERROR(X178/H178,"0")+IFERROR(X179/H179,"0")+IFERROR(X180/H180,"0")+IFERROR(X181/H181,"0")</f>
        <v>0</v>
      </c>
      <c r="Y182" s="403">
        <f>IFERROR(Y177/H177,"0")+IFERROR(Y178/H178,"0")+IFERROR(Y179/H179,"0")+IFERROR(Y180/H180,"0")+IFERROR(Y181/H181,"0")</f>
        <v>0</v>
      </c>
      <c r="Z182" s="403">
        <f>IFERROR(IF(Z177="",0,Z177),"0")+IFERROR(IF(Z178="",0,Z178),"0")+IFERROR(IF(Z179="",0,Z179),"0")+IFERROR(IF(Z180="",0,Z180),"0")+IFERROR(IF(Z181="",0,Z181),"0")</f>
        <v>0</v>
      </c>
      <c r="AA182" s="404"/>
      <c r="AB182" s="404"/>
      <c r="AC182" s="404"/>
    </row>
    <row r="183" spans="1:68" x14ac:dyDescent="0.2">
      <c r="A183" s="415"/>
      <c r="B183" s="415"/>
      <c r="C183" s="415"/>
      <c r="D183" s="415"/>
      <c r="E183" s="415"/>
      <c r="F183" s="415"/>
      <c r="G183" s="415"/>
      <c r="H183" s="415"/>
      <c r="I183" s="415"/>
      <c r="J183" s="415"/>
      <c r="K183" s="415"/>
      <c r="L183" s="415"/>
      <c r="M183" s="415"/>
      <c r="N183" s="415"/>
      <c r="O183" s="426"/>
      <c r="P183" s="411" t="s">
        <v>76</v>
      </c>
      <c r="Q183" s="412"/>
      <c r="R183" s="412"/>
      <c r="S183" s="412"/>
      <c r="T183" s="412"/>
      <c r="U183" s="412"/>
      <c r="V183" s="413"/>
      <c r="W183" s="38" t="s">
        <v>71</v>
      </c>
      <c r="X183" s="403">
        <f>IFERROR(SUM(X177:X181),"0")</f>
        <v>0</v>
      </c>
      <c r="Y183" s="403">
        <f>IFERROR(SUM(Y177:Y181),"0")</f>
        <v>0</v>
      </c>
      <c r="Z183" s="38"/>
      <c r="AA183" s="404"/>
      <c r="AB183" s="404"/>
      <c r="AC183" s="404"/>
    </row>
    <row r="184" spans="1:68" ht="16.5" customHeight="1" x14ac:dyDescent="0.25">
      <c r="A184" s="463" t="s">
        <v>309</v>
      </c>
      <c r="B184" s="415"/>
      <c r="C184" s="415"/>
      <c r="D184" s="415"/>
      <c r="E184" s="415"/>
      <c r="F184" s="415"/>
      <c r="G184" s="415"/>
      <c r="H184" s="415"/>
      <c r="I184" s="415"/>
      <c r="J184" s="415"/>
      <c r="K184" s="415"/>
      <c r="L184" s="415"/>
      <c r="M184" s="415"/>
      <c r="N184" s="415"/>
      <c r="O184" s="415"/>
      <c r="P184" s="415"/>
      <c r="Q184" s="415"/>
      <c r="R184" s="415"/>
      <c r="S184" s="415"/>
      <c r="T184" s="415"/>
      <c r="U184" s="415"/>
      <c r="V184" s="415"/>
      <c r="W184" s="415"/>
      <c r="X184" s="415"/>
      <c r="Y184" s="415"/>
      <c r="Z184" s="415"/>
      <c r="AA184" s="396"/>
      <c r="AB184" s="396"/>
      <c r="AC184" s="396"/>
    </row>
    <row r="185" spans="1:68" ht="14.25" customHeight="1" x14ac:dyDescent="0.25">
      <c r="A185" s="414" t="s">
        <v>86</v>
      </c>
      <c r="B185" s="415"/>
      <c r="C185" s="415"/>
      <c r="D185" s="415"/>
      <c r="E185" s="415"/>
      <c r="F185" s="415"/>
      <c r="G185" s="415"/>
      <c r="H185" s="415"/>
      <c r="I185" s="415"/>
      <c r="J185" s="415"/>
      <c r="K185" s="415"/>
      <c r="L185" s="415"/>
      <c r="M185" s="415"/>
      <c r="N185" s="415"/>
      <c r="O185" s="415"/>
      <c r="P185" s="415"/>
      <c r="Q185" s="415"/>
      <c r="R185" s="415"/>
      <c r="S185" s="415"/>
      <c r="T185" s="415"/>
      <c r="U185" s="415"/>
      <c r="V185" s="415"/>
      <c r="W185" s="415"/>
      <c r="X185" s="415"/>
      <c r="Y185" s="415"/>
      <c r="Z185" s="415"/>
      <c r="AA185" s="397"/>
      <c r="AB185" s="397"/>
      <c r="AC185" s="397"/>
    </row>
    <row r="186" spans="1:68" ht="27" customHeight="1" x14ac:dyDescent="0.25">
      <c r="A186" s="55" t="s">
        <v>310</v>
      </c>
      <c r="B186" s="55" t="s">
        <v>311</v>
      </c>
      <c r="C186" s="32">
        <v>4301011223</v>
      </c>
      <c r="D186" s="416">
        <v>4607091383423</v>
      </c>
      <c r="E186" s="417"/>
      <c r="F186" s="400">
        <v>1.35</v>
      </c>
      <c r="G186" s="33">
        <v>8</v>
      </c>
      <c r="H186" s="400">
        <v>10.8</v>
      </c>
      <c r="I186" s="400">
        <v>11.331</v>
      </c>
      <c r="J186" s="33">
        <v>64</v>
      </c>
      <c r="K186" s="33" t="s">
        <v>89</v>
      </c>
      <c r="L186" s="33"/>
      <c r="M186" s="34" t="s">
        <v>95</v>
      </c>
      <c r="N186" s="34"/>
      <c r="O186" s="33">
        <v>35</v>
      </c>
      <c r="P186" s="62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86" s="406"/>
      <c r="R186" s="406"/>
      <c r="S186" s="406"/>
      <c r="T186" s="407"/>
      <c r="U186" s="35"/>
      <c r="V186" s="35"/>
      <c r="W186" s="36" t="s">
        <v>71</v>
      </c>
      <c r="X186" s="401">
        <v>0</v>
      </c>
      <c r="Y186" s="402">
        <f>IFERROR(IF(X186="",0,CEILING((X186/$H186),1)*$H186),"")</f>
        <v>0</v>
      </c>
      <c r="Z186" s="37" t="str">
        <f>IFERROR(IF(Y186=0,"",ROUNDUP(Y186/H186,0)*0.01898),"")</f>
        <v/>
      </c>
      <c r="AA186" s="57"/>
      <c r="AB186" s="58"/>
      <c r="AC186" s="230" t="s">
        <v>91</v>
      </c>
      <c r="AG186" s="65"/>
      <c r="AJ186" s="69"/>
      <c r="AK186" s="69">
        <v>0</v>
      </c>
      <c r="BB186" s="231" t="s">
        <v>1</v>
      </c>
      <c r="BM186" s="65">
        <f>IFERROR(X186*I186/H186,"0")</f>
        <v>0</v>
      </c>
      <c r="BN186" s="65">
        <f>IFERROR(Y186*I186/H186,"0")</f>
        <v>0</v>
      </c>
      <c r="BO186" s="65">
        <f>IFERROR(1/J186*(X186/H186),"0")</f>
        <v>0</v>
      </c>
      <c r="BP186" s="65">
        <f>IFERROR(1/J186*(Y186/H186),"0")</f>
        <v>0</v>
      </c>
    </row>
    <row r="187" spans="1:68" x14ac:dyDescent="0.2">
      <c r="A187" s="425"/>
      <c r="B187" s="415"/>
      <c r="C187" s="415"/>
      <c r="D187" s="415"/>
      <c r="E187" s="415"/>
      <c r="F187" s="415"/>
      <c r="G187" s="415"/>
      <c r="H187" s="415"/>
      <c r="I187" s="415"/>
      <c r="J187" s="415"/>
      <c r="K187" s="415"/>
      <c r="L187" s="415"/>
      <c r="M187" s="415"/>
      <c r="N187" s="415"/>
      <c r="O187" s="426"/>
      <c r="P187" s="411" t="s">
        <v>76</v>
      </c>
      <c r="Q187" s="412"/>
      <c r="R187" s="412"/>
      <c r="S187" s="412"/>
      <c r="T187" s="412"/>
      <c r="U187" s="412"/>
      <c r="V187" s="413"/>
      <c r="W187" s="38" t="s">
        <v>77</v>
      </c>
      <c r="X187" s="403">
        <f>IFERROR(X186/H186,"0")</f>
        <v>0</v>
      </c>
      <c r="Y187" s="403">
        <f>IFERROR(Y186/H186,"0")</f>
        <v>0</v>
      </c>
      <c r="Z187" s="403">
        <f>IFERROR(IF(Z186="",0,Z186),"0")</f>
        <v>0</v>
      </c>
      <c r="AA187" s="404"/>
      <c r="AB187" s="404"/>
      <c r="AC187" s="404"/>
    </row>
    <row r="188" spans="1:68" x14ac:dyDescent="0.2">
      <c r="A188" s="415"/>
      <c r="B188" s="415"/>
      <c r="C188" s="415"/>
      <c r="D188" s="415"/>
      <c r="E188" s="415"/>
      <c r="F188" s="415"/>
      <c r="G188" s="415"/>
      <c r="H188" s="415"/>
      <c r="I188" s="415"/>
      <c r="J188" s="415"/>
      <c r="K188" s="415"/>
      <c r="L188" s="415"/>
      <c r="M188" s="415"/>
      <c r="N188" s="415"/>
      <c r="O188" s="426"/>
      <c r="P188" s="411" t="s">
        <v>76</v>
      </c>
      <c r="Q188" s="412"/>
      <c r="R188" s="412"/>
      <c r="S188" s="412"/>
      <c r="T188" s="412"/>
      <c r="U188" s="412"/>
      <c r="V188" s="413"/>
      <c r="W188" s="38" t="s">
        <v>71</v>
      </c>
      <c r="X188" s="403">
        <f>IFERROR(SUM(X186:X186),"0")</f>
        <v>0</v>
      </c>
      <c r="Y188" s="403">
        <f>IFERROR(SUM(Y186:Y186),"0")</f>
        <v>0</v>
      </c>
      <c r="Z188" s="38"/>
      <c r="AA188" s="404"/>
      <c r="AB188" s="404"/>
      <c r="AC188" s="404"/>
    </row>
    <row r="189" spans="1:68" ht="16.5" customHeight="1" x14ac:dyDescent="0.25">
      <c r="A189" s="463" t="s">
        <v>312</v>
      </c>
      <c r="B189" s="415"/>
      <c r="C189" s="415"/>
      <c r="D189" s="415"/>
      <c r="E189" s="415"/>
      <c r="F189" s="415"/>
      <c r="G189" s="415"/>
      <c r="H189" s="415"/>
      <c r="I189" s="415"/>
      <c r="J189" s="415"/>
      <c r="K189" s="415"/>
      <c r="L189" s="415"/>
      <c r="M189" s="415"/>
      <c r="N189" s="415"/>
      <c r="O189" s="415"/>
      <c r="P189" s="415"/>
      <c r="Q189" s="415"/>
      <c r="R189" s="415"/>
      <c r="S189" s="415"/>
      <c r="T189" s="415"/>
      <c r="U189" s="415"/>
      <c r="V189" s="415"/>
      <c r="W189" s="415"/>
      <c r="X189" s="415"/>
      <c r="Y189" s="415"/>
      <c r="Z189" s="415"/>
      <c r="AA189" s="396"/>
      <c r="AB189" s="396"/>
      <c r="AC189" s="396"/>
    </row>
    <row r="190" spans="1:68" ht="14.25" customHeight="1" x14ac:dyDescent="0.25">
      <c r="A190" s="414" t="s">
        <v>66</v>
      </c>
      <c r="B190" s="415"/>
      <c r="C190" s="415"/>
      <c r="D190" s="415"/>
      <c r="E190" s="415"/>
      <c r="F190" s="415"/>
      <c r="G190" s="415"/>
      <c r="H190" s="415"/>
      <c r="I190" s="415"/>
      <c r="J190" s="415"/>
      <c r="K190" s="415"/>
      <c r="L190" s="415"/>
      <c r="M190" s="415"/>
      <c r="N190" s="415"/>
      <c r="O190" s="415"/>
      <c r="P190" s="415"/>
      <c r="Q190" s="415"/>
      <c r="R190" s="415"/>
      <c r="S190" s="415"/>
      <c r="T190" s="415"/>
      <c r="U190" s="415"/>
      <c r="V190" s="415"/>
      <c r="W190" s="415"/>
      <c r="X190" s="415"/>
      <c r="Y190" s="415"/>
      <c r="Z190" s="415"/>
      <c r="AA190" s="397"/>
      <c r="AB190" s="397"/>
      <c r="AC190" s="397"/>
    </row>
    <row r="191" spans="1:68" ht="37.5" customHeight="1" x14ac:dyDescent="0.25">
      <c r="A191" s="55" t="s">
        <v>313</v>
      </c>
      <c r="B191" s="55" t="s">
        <v>314</v>
      </c>
      <c r="C191" s="32">
        <v>4301051388</v>
      </c>
      <c r="D191" s="416">
        <v>4680115881211</v>
      </c>
      <c r="E191" s="417"/>
      <c r="F191" s="400">
        <v>0.4</v>
      </c>
      <c r="G191" s="33">
        <v>6</v>
      </c>
      <c r="H191" s="400">
        <v>2.4</v>
      </c>
      <c r="I191" s="400">
        <v>2.58</v>
      </c>
      <c r="J191" s="33">
        <v>182</v>
      </c>
      <c r="K191" s="33" t="s">
        <v>69</v>
      </c>
      <c r="L191" s="33"/>
      <c r="M191" s="34" t="s">
        <v>95</v>
      </c>
      <c r="N191" s="34"/>
      <c r="O191" s="33">
        <v>45</v>
      </c>
      <c r="P191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1" s="406"/>
      <c r="R191" s="406"/>
      <c r="S191" s="406"/>
      <c r="T191" s="407"/>
      <c r="U191" s="35"/>
      <c r="V191" s="35"/>
      <c r="W191" s="36" t="s">
        <v>71</v>
      </c>
      <c r="X191" s="401">
        <v>0</v>
      </c>
      <c r="Y191" s="402">
        <f>IFERROR(IF(X191="",0,CEILING((X191/$H191),1)*$H191),"")</f>
        <v>0</v>
      </c>
      <c r="Z191" s="37" t="str">
        <f>IFERROR(IF(Y191=0,"",ROUNDUP(Y191/H191,0)*0.00651),"")</f>
        <v/>
      </c>
      <c r="AA191" s="57"/>
      <c r="AB191" s="58"/>
      <c r="AC191" s="232" t="s">
        <v>315</v>
      </c>
      <c r="AG191" s="65"/>
      <c r="AJ191" s="69"/>
      <c r="AK191" s="69">
        <v>0</v>
      </c>
      <c r="BB191" s="233" t="s">
        <v>1</v>
      </c>
      <c r="BM191" s="65">
        <f>IFERROR(X191*I191/H191,"0")</f>
        <v>0</v>
      </c>
      <c r="BN191" s="65">
        <f>IFERROR(Y191*I191/H191,"0")</f>
        <v>0</v>
      </c>
      <c r="BO191" s="65">
        <f>IFERROR(1/J191*(X191/H191),"0")</f>
        <v>0</v>
      </c>
      <c r="BP191" s="65">
        <f>IFERROR(1/J191*(Y191/H191),"0")</f>
        <v>0</v>
      </c>
    </row>
    <row r="192" spans="1:68" x14ac:dyDescent="0.2">
      <c r="A192" s="425"/>
      <c r="B192" s="415"/>
      <c r="C192" s="415"/>
      <c r="D192" s="415"/>
      <c r="E192" s="415"/>
      <c r="F192" s="415"/>
      <c r="G192" s="415"/>
      <c r="H192" s="415"/>
      <c r="I192" s="415"/>
      <c r="J192" s="415"/>
      <c r="K192" s="415"/>
      <c r="L192" s="415"/>
      <c r="M192" s="415"/>
      <c r="N192" s="415"/>
      <c r="O192" s="426"/>
      <c r="P192" s="411" t="s">
        <v>76</v>
      </c>
      <c r="Q192" s="412"/>
      <c r="R192" s="412"/>
      <c r="S192" s="412"/>
      <c r="T192" s="412"/>
      <c r="U192" s="412"/>
      <c r="V192" s="413"/>
      <c r="W192" s="38" t="s">
        <v>77</v>
      </c>
      <c r="X192" s="403">
        <f>IFERROR(X191/H191,"0")</f>
        <v>0</v>
      </c>
      <c r="Y192" s="403">
        <f>IFERROR(Y191/H191,"0")</f>
        <v>0</v>
      </c>
      <c r="Z192" s="403">
        <f>IFERROR(IF(Z191="",0,Z191),"0")</f>
        <v>0</v>
      </c>
      <c r="AA192" s="404"/>
      <c r="AB192" s="404"/>
      <c r="AC192" s="404"/>
    </row>
    <row r="193" spans="1:68" x14ac:dyDescent="0.2">
      <c r="A193" s="415"/>
      <c r="B193" s="415"/>
      <c r="C193" s="415"/>
      <c r="D193" s="415"/>
      <c r="E193" s="415"/>
      <c r="F193" s="415"/>
      <c r="G193" s="415"/>
      <c r="H193" s="415"/>
      <c r="I193" s="415"/>
      <c r="J193" s="415"/>
      <c r="K193" s="415"/>
      <c r="L193" s="415"/>
      <c r="M193" s="415"/>
      <c r="N193" s="415"/>
      <c r="O193" s="426"/>
      <c r="P193" s="411" t="s">
        <v>76</v>
      </c>
      <c r="Q193" s="412"/>
      <c r="R193" s="412"/>
      <c r="S193" s="412"/>
      <c r="T193" s="412"/>
      <c r="U193" s="412"/>
      <c r="V193" s="413"/>
      <c r="W193" s="38" t="s">
        <v>71</v>
      </c>
      <c r="X193" s="403">
        <f>IFERROR(SUM(X191:X191),"0")</f>
        <v>0</v>
      </c>
      <c r="Y193" s="403">
        <f>IFERROR(SUM(Y191:Y191),"0")</f>
        <v>0</v>
      </c>
      <c r="Z193" s="38"/>
      <c r="AA193" s="404"/>
      <c r="AB193" s="404"/>
      <c r="AC193" s="404"/>
    </row>
    <row r="194" spans="1:68" ht="16.5" customHeight="1" x14ac:dyDescent="0.25">
      <c r="A194" s="463" t="s">
        <v>316</v>
      </c>
      <c r="B194" s="415"/>
      <c r="C194" s="415"/>
      <c r="D194" s="415"/>
      <c r="E194" s="415"/>
      <c r="F194" s="415"/>
      <c r="G194" s="415"/>
      <c r="H194" s="415"/>
      <c r="I194" s="415"/>
      <c r="J194" s="415"/>
      <c r="K194" s="415"/>
      <c r="L194" s="415"/>
      <c r="M194" s="415"/>
      <c r="N194" s="415"/>
      <c r="O194" s="415"/>
      <c r="P194" s="415"/>
      <c r="Q194" s="415"/>
      <c r="R194" s="415"/>
      <c r="S194" s="415"/>
      <c r="T194" s="415"/>
      <c r="U194" s="415"/>
      <c r="V194" s="415"/>
      <c r="W194" s="415"/>
      <c r="X194" s="415"/>
      <c r="Y194" s="415"/>
      <c r="Z194" s="415"/>
      <c r="AA194" s="396"/>
      <c r="AB194" s="396"/>
      <c r="AC194" s="396"/>
    </row>
    <row r="195" spans="1:68" ht="14.25" customHeight="1" x14ac:dyDescent="0.25">
      <c r="A195" s="414" t="s">
        <v>66</v>
      </c>
      <c r="B195" s="415"/>
      <c r="C195" s="415"/>
      <c r="D195" s="415"/>
      <c r="E195" s="415"/>
      <c r="F195" s="415"/>
      <c r="G195" s="415"/>
      <c r="H195" s="415"/>
      <c r="I195" s="415"/>
      <c r="J195" s="415"/>
      <c r="K195" s="415"/>
      <c r="L195" s="415"/>
      <c r="M195" s="415"/>
      <c r="N195" s="415"/>
      <c r="O195" s="415"/>
      <c r="P195" s="415"/>
      <c r="Q195" s="415"/>
      <c r="R195" s="415"/>
      <c r="S195" s="415"/>
      <c r="T195" s="415"/>
      <c r="U195" s="415"/>
      <c r="V195" s="415"/>
      <c r="W195" s="415"/>
      <c r="X195" s="415"/>
      <c r="Y195" s="415"/>
      <c r="Z195" s="415"/>
      <c r="AA195" s="397"/>
      <c r="AB195" s="397"/>
      <c r="AC195" s="397"/>
    </row>
    <row r="196" spans="1:68" ht="27" customHeight="1" x14ac:dyDescent="0.25">
      <c r="A196" s="55" t="s">
        <v>317</v>
      </c>
      <c r="B196" s="55" t="s">
        <v>318</v>
      </c>
      <c r="C196" s="32">
        <v>4301051782</v>
      </c>
      <c r="D196" s="416">
        <v>4680115884618</v>
      </c>
      <c r="E196" s="417"/>
      <c r="F196" s="400">
        <v>0.6</v>
      </c>
      <c r="G196" s="33">
        <v>6</v>
      </c>
      <c r="H196" s="400">
        <v>3.6</v>
      </c>
      <c r="I196" s="400">
        <v>3.81</v>
      </c>
      <c r="J196" s="33">
        <v>132</v>
      </c>
      <c r="K196" s="33" t="s">
        <v>94</v>
      </c>
      <c r="L196" s="33"/>
      <c r="M196" s="34" t="s">
        <v>95</v>
      </c>
      <c r="N196" s="34"/>
      <c r="O196" s="33">
        <v>45</v>
      </c>
      <c r="P196" s="61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196" s="406"/>
      <c r="R196" s="406"/>
      <c r="S196" s="406"/>
      <c r="T196" s="407"/>
      <c r="U196" s="35"/>
      <c r="V196" s="35"/>
      <c r="W196" s="36" t="s">
        <v>71</v>
      </c>
      <c r="X196" s="401">
        <v>0</v>
      </c>
      <c r="Y196" s="402">
        <f>IFERROR(IF(X196="",0,CEILING((X196/$H196),1)*$H196),"")</f>
        <v>0</v>
      </c>
      <c r="Z196" s="37" t="str">
        <f>IFERROR(IF(Y196=0,"",ROUNDUP(Y196/H196,0)*0.00902),"")</f>
        <v/>
      </c>
      <c r="AA196" s="57"/>
      <c r="AB196" s="58"/>
      <c r="AC196" s="234" t="s">
        <v>319</v>
      </c>
      <c r="AG196" s="65"/>
      <c r="AJ196" s="69"/>
      <c r="AK196" s="69">
        <v>0</v>
      </c>
      <c r="BB196" s="235" t="s">
        <v>1</v>
      </c>
      <c r="BM196" s="65">
        <f>IFERROR(X196*I196/H196,"0")</f>
        <v>0</v>
      </c>
      <c r="BN196" s="65">
        <f>IFERROR(Y196*I196/H196,"0")</f>
        <v>0</v>
      </c>
      <c r="BO196" s="65">
        <f>IFERROR(1/J196*(X196/H196),"0")</f>
        <v>0</v>
      </c>
      <c r="BP196" s="65">
        <f>IFERROR(1/J196*(Y196/H196),"0")</f>
        <v>0</v>
      </c>
    </row>
    <row r="197" spans="1:68" x14ac:dyDescent="0.2">
      <c r="A197" s="425"/>
      <c r="B197" s="415"/>
      <c r="C197" s="415"/>
      <c r="D197" s="415"/>
      <c r="E197" s="415"/>
      <c r="F197" s="415"/>
      <c r="G197" s="415"/>
      <c r="H197" s="415"/>
      <c r="I197" s="415"/>
      <c r="J197" s="415"/>
      <c r="K197" s="415"/>
      <c r="L197" s="415"/>
      <c r="M197" s="415"/>
      <c r="N197" s="415"/>
      <c r="O197" s="426"/>
      <c r="P197" s="411" t="s">
        <v>76</v>
      </c>
      <c r="Q197" s="412"/>
      <c r="R197" s="412"/>
      <c r="S197" s="412"/>
      <c r="T197" s="412"/>
      <c r="U197" s="412"/>
      <c r="V197" s="413"/>
      <c r="W197" s="38" t="s">
        <v>77</v>
      </c>
      <c r="X197" s="403">
        <f>IFERROR(X196/H196,"0")</f>
        <v>0</v>
      </c>
      <c r="Y197" s="403">
        <f>IFERROR(Y196/H196,"0")</f>
        <v>0</v>
      </c>
      <c r="Z197" s="403">
        <f>IFERROR(IF(Z196="",0,Z196),"0")</f>
        <v>0</v>
      </c>
      <c r="AA197" s="404"/>
      <c r="AB197" s="404"/>
      <c r="AC197" s="404"/>
    </row>
    <row r="198" spans="1:68" x14ac:dyDescent="0.2">
      <c r="A198" s="415"/>
      <c r="B198" s="415"/>
      <c r="C198" s="415"/>
      <c r="D198" s="415"/>
      <c r="E198" s="415"/>
      <c r="F198" s="415"/>
      <c r="G198" s="415"/>
      <c r="H198" s="415"/>
      <c r="I198" s="415"/>
      <c r="J198" s="415"/>
      <c r="K198" s="415"/>
      <c r="L198" s="415"/>
      <c r="M198" s="415"/>
      <c r="N198" s="415"/>
      <c r="O198" s="426"/>
      <c r="P198" s="411" t="s">
        <v>76</v>
      </c>
      <c r="Q198" s="412"/>
      <c r="R198" s="412"/>
      <c r="S198" s="412"/>
      <c r="T198" s="412"/>
      <c r="U198" s="412"/>
      <c r="V198" s="413"/>
      <c r="W198" s="38" t="s">
        <v>71</v>
      </c>
      <c r="X198" s="403">
        <f>IFERROR(SUM(X196:X196),"0")</f>
        <v>0</v>
      </c>
      <c r="Y198" s="403">
        <f>IFERROR(SUM(Y196:Y196),"0")</f>
        <v>0</v>
      </c>
      <c r="Z198" s="38"/>
      <c r="AA198" s="404"/>
      <c r="AB198" s="404"/>
      <c r="AC198" s="404"/>
    </row>
    <row r="199" spans="1:68" ht="16.5" customHeight="1" x14ac:dyDescent="0.25">
      <c r="A199" s="463" t="s">
        <v>320</v>
      </c>
      <c r="B199" s="415"/>
      <c r="C199" s="415"/>
      <c r="D199" s="415"/>
      <c r="E199" s="415"/>
      <c r="F199" s="415"/>
      <c r="G199" s="415"/>
      <c r="H199" s="415"/>
      <c r="I199" s="415"/>
      <c r="J199" s="415"/>
      <c r="K199" s="415"/>
      <c r="L199" s="415"/>
      <c r="M199" s="415"/>
      <c r="N199" s="415"/>
      <c r="O199" s="415"/>
      <c r="P199" s="415"/>
      <c r="Q199" s="415"/>
      <c r="R199" s="415"/>
      <c r="S199" s="415"/>
      <c r="T199" s="415"/>
      <c r="U199" s="415"/>
      <c r="V199" s="415"/>
      <c r="W199" s="415"/>
      <c r="X199" s="415"/>
      <c r="Y199" s="415"/>
      <c r="Z199" s="415"/>
      <c r="AA199" s="396"/>
      <c r="AB199" s="396"/>
      <c r="AC199" s="396"/>
    </row>
    <row r="200" spans="1:68" ht="14.25" customHeight="1" x14ac:dyDescent="0.25">
      <c r="A200" s="414" t="s">
        <v>86</v>
      </c>
      <c r="B200" s="415"/>
      <c r="C200" s="415"/>
      <c r="D200" s="415"/>
      <c r="E200" s="415"/>
      <c r="F200" s="415"/>
      <c r="G200" s="415"/>
      <c r="H200" s="415"/>
      <c r="I200" s="415"/>
      <c r="J200" s="415"/>
      <c r="K200" s="415"/>
      <c r="L200" s="415"/>
      <c r="M200" s="415"/>
      <c r="N200" s="415"/>
      <c r="O200" s="415"/>
      <c r="P200" s="415"/>
      <c r="Q200" s="415"/>
      <c r="R200" s="415"/>
      <c r="S200" s="415"/>
      <c r="T200" s="415"/>
      <c r="U200" s="415"/>
      <c r="V200" s="415"/>
      <c r="W200" s="415"/>
      <c r="X200" s="415"/>
      <c r="Y200" s="415"/>
      <c r="Z200" s="415"/>
      <c r="AA200" s="397"/>
      <c r="AB200" s="397"/>
      <c r="AC200" s="397"/>
    </row>
    <row r="201" spans="1:68" ht="27" customHeight="1" x14ac:dyDescent="0.25">
      <c r="A201" s="55" t="s">
        <v>321</v>
      </c>
      <c r="B201" s="55" t="s">
        <v>322</v>
      </c>
      <c r="C201" s="32">
        <v>4301011662</v>
      </c>
      <c r="D201" s="416">
        <v>4680115883703</v>
      </c>
      <c r="E201" s="417"/>
      <c r="F201" s="400">
        <v>1.35</v>
      </c>
      <c r="G201" s="33">
        <v>8</v>
      </c>
      <c r="H201" s="400">
        <v>10.8</v>
      </c>
      <c r="I201" s="400">
        <v>11.234999999999999</v>
      </c>
      <c r="J201" s="33">
        <v>64</v>
      </c>
      <c r="K201" s="33" t="s">
        <v>89</v>
      </c>
      <c r="L201" s="33"/>
      <c r="M201" s="34" t="s">
        <v>90</v>
      </c>
      <c r="N201" s="34"/>
      <c r="O201" s="33">
        <v>55</v>
      </c>
      <c r="P201" s="60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01" s="406"/>
      <c r="R201" s="406"/>
      <c r="S201" s="406"/>
      <c r="T201" s="407"/>
      <c r="U201" s="35"/>
      <c r="V201" s="35"/>
      <c r="W201" s="36" t="s">
        <v>71</v>
      </c>
      <c r="X201" s="401">
        <v>0</v>
      </c>
      <c r="Y201" s="402">
        <f>IFERROR(IF(X201="",0,CEILING((X201/$H201),1)*$H201),"")</f>
        <v>0</v>
      </c>
      <c r="Z201" s="37" t="str">
        <f>IFERROR(IF(Y201=0,"",ROUNDUP(Y201/H201,0)*0.01898),"")</f>
        <v/>
      </c>
      <c r="AA201" s="57" t="s">
        <v>323</v>
      </c>
      <c r="AB201" s="58"/>
      <c r="AC201" s="236" t="s">
        <v>324</v>
      </c>
      <c r="AG201" s="65"/>
      <c r="AJ201" s="69"/>
      <c r="AK201" s="69">
        <v>0</v>
      </c>
      <c r="BB201" s="237" t="s">
        <v>1</v>
      </c>
      <c r="BM201" s="65">
        <f>IFERROR(X201*I201/H201,"0")</f>
        <v>0</v>
      </c>
      <c r="BN201" s="65">
        <f>IFERROR(Y201*I201/H201,"0")</f>
        <v>0</v>
      </c>
      <c r="BO201" s="65">
        <f>IFERROR(1/J201*(X201/H201),"0")</f>
        <v>0</v>
      </c>
      <c r="BP201" s="65">
        <f>IFERROR(1/J201*(Y201/H201),"0")</f>
        <v>0</v>
      </c>
    </row>
    <row r="202" spans="1:68" x14ac:dyDescent="0.2">
      <c r="A202" s="425"/>
      <c r="B202" s="415"/>
      <c r="C202" s="415"/>
      <c r="D202" s="415"/>
      <c r="E202" s="415"/>
      <c r="F202" s="415"/>
      <c r="G202" s="415"/>
      <c r="H202" s="415"/>
      <c r="I202" s="415"/>
      <c r="J202" s="415"/>
      <c r="K202" s="415"/>
      <c r="L202" s="415"/>
      <c r="M202" s="415"/>
      <c r="N202" s="415"/>
      <c r="O202" s="426"/>
      <c r="P202" s="411" t="s">
        <v>76</v>
      </c>
      <c r="Q202" s="412"/>
      <c r="R202" s="412"/>
      <c r="S202" s="412"/>
      <c r="T202" s="412"/>
      <c r="U202" s="412"/>
      <c r="V202" s="413"/>
      <c r="W202" s="38" t="s">
        <v>77</v>
      </c>
      <c r="X202" s="403">
        <f>IFERROR(X201/H201,"0")</f>
        <v>0</v>
      </c>
      <c r="Y202" s="403">
        <f>IFERROR(Y201/H201,"0")</f>
        <v>0</v>
      </c>
      <c r="Z202" s="403">
        <f>IFERROR(IF(Z201="",0,Z201),"0")</f>
        <v>0</v>
      </c>
      <c r="AA202" s="404"/>
      <c r="AB202" s="404"/>
      <c r="AC202" s="404"/>
    </row>
    <row r="203" spans="1:68" x14ac:dyDescent="0.2">
      <c r="A203" s="415"/>
      <c r="B203" s="415"/>
      <c r="C203" s="415"/>
      <c r="D203" s="415"/>
      <c r="E203" s="415"/>
      <c r="F203" s="415"/>
      <c r="G203" s="415"/>
      <c r="H203" s="415"/>
      <c r="I203" s="415"/>
      <c r="J203" s="415"/>
      <c r="K203" s="415"/>
      <c r="L203" s="415"/>
      <c r="M203" s="415"/>
      <c r="N203" s="415"/>
      <c r="O203" s="426"/>
      <c r="P203" s="411" t="s">
        <v>76</v>
      </c>
      <c r="Q203" s="412"/>
      <c r="R203" s="412"/>
      <c r="S203" s="412"/>
      <c r="T203" s="412"/>
      <c r="U203" s="412"/>
      <c r="V203" s="413"/>
      <c r="W203" s="38" t="s">
        <v>71</v>
      </c>
      <c r="X203" s="403">
        <f>IFERROR(SUM(X201:X201),"0")</f>
        <v>0</v>
      </c>
      <c r="Y203" s="403">
        <f>IFERROR(SUM(Y201:Y201),"0")</f>
        <v>0</v>
      </c>
      <c r="Z203" s="38"/>
      <c r="AA203" s="404"/>
      <c r="AB203" s="404"/>
      <c r="AC203" s="404"/>
    </row>
    <row r="204" spans="1:68" ht="16.5" customHeight="1" x14ac:dyDescent="0.25">
      <c r="A204" s="463" t="s">
        <v>325</v>
      </c>
      <c r="B204" s="415"/>
      <c r="C204" s="415"/>
      <c r="D204" s="415"/>
      <c r="E204" s="415"/>
      <c r="F204" s="415"/>
      <c r="G204" s="415"/>
      <c r="H204" s="415"/>
      <c r="I204" s="415"/>
      <c r="J204" s="415"/>
      <c r="K204" s="415"/>
      <c r="L204" s="415"/>
      <c r="M204" s="415"/>
      <c r="N204" s="415"/>
      <c r="O204" s="415"/>
      <c r="P204" s="415"/>
      <c r="Q204" s="415"/>
      <c r="R204" s="415"/>
      <c r="S204" s="415"/>
      <c r="T204" s="415"/>
      <c r="U204" s="415"/>
      <c r="V204" s="415"/>
      <c r="W204" s="415"/>
      <c r="X204" s="415"/>
      <c r="Y204" s="415"/>
      <c r="Z204" s="415"/>
      <c r="AA204" s="396"/>
      <c r="AB204" s="396"/>
      <c r="AC204" s="396"/>
    </row>
    <row r="205" spans="1:68" ht="14.25" customHeight="1" x14ac:dyDescent="0.25">
      <c r="A205" s="414" t="s">
        <v>86</v>
      </c>
      <c r="B205" s="415"/>
      <c r="C205" s="415"/>
      <c r="D205" s="415"/>
      <c r="E205" s="415"/>
      <c r="F205" s="415"/>
      <c r="G205" s="415"/>
      <c r="H205" s="415"/>
      <c r="I205" s="415"/>
      <c r="J205" s="415"/>
      <c r="K205" s="415"/>
      <c r="L205" s="415"/>
      <c r="M205" s="415"/>
      <c r="N205" s="415"/>
      <c r="O205" s="415"/>
      <c r="P205" s="415"/>
      <c r="Q205" s="415"/>
      <c r="R205" s="415"/>
      <c r="S205" s="415"/>
      <c r="T205" s="415"/>
      <c r="U205" s="415"/>
      <c r="V205" s="415"/>
      <c r="W205" s="415"/>
      <c r="X205" s="415"/>
      <c r="Y205" s="415"/>
      <c r="Z205" s="415"/>
      <c r="AA205" s="397"/>
      <c r="AB205" s="397"/>
      <c r="AC205" s="397"/>
    </row>
    <row r="206" spans="1:68" ht="27" customHeight="1" x14ac:dyDescent="0.25">
      <c r="A206" s="55" t="s">
        <v>326</v>
      </c>
      <c r="B206" s="55" t="s">
        <v>327</v>
      </c>
      <c r="C206" s="32">
        <v>4301012024</v>
      </c>
      <c r="D206" s="416">
        <v>4680115885615</v>
      </c>
      <c r="E206" s="417"/>
      <c r="F206" s="400">
        <v>1.35</v>
      </c>
      <c r="G206" s="33">
        <v>8</v>
      </c>
      <c r="H206" s="400">
        <v>10.8</v>
      </c>
      <c r="I206" s="400">
        <v>11.234999999999999</v>
      </c>
      <c r="J206" s="33">
        <v>64</v>
      </c>
      <c r="K206" s="33" t="s">
        <v>89</v>
      </c>
      <c r="L206" s="33"/>
      <c r="M206" s="34" t="s">
        <v>95</v>
      </c>
      <c r="N206" s="34"/>
      <c r="O206" s="33">
        <v>55</v>
      </c>
      <c r="P206" s="55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06" s="406"/>
      <c r="R206" s="406"/>
      <c r="S206" s="406"/>
      <c r="T206" s="407"/>
      <c r="U206" s="35"/>
      <c r="V206" s="35"/>
      <c r="W206" s="36" t="s">
        <v>71</v>
      </c>
      <c r="X206" s="401">
        <v>0</v>
      </c>
      <c r="Y206" s="402">
        <f>IFERROR(IF(X206="",0,CEILING((X206/$H206),1)*$H206),"")</f>
        <v>0</v>
      </c>
      <c r="Z206" s="37" t="str">
        <f>IFERROR(IF(Y206=0,"",ROUNDUP(Y206/H206,0)*0.01898),"")</f>
        <v/>
      </c>
      <c r="AA206" s="57"/>
      <c r="AB206" s="58"/>
      <c r="AC206" s="238" t="s">
        <v>328</v>
      </c>
      <c r="AG206" s="65"/>
      <c r="AJ206" s="69"/>
      <c r="AK206" s="69">
        <v>0</v>
      </c>
      <c r="BB206" s="239" t="s">
        <v>1</v>
      </c>
      <c r="BM206" s="65">
        <f>IFERROR(X206*I206/H206,"0")</f>
        <v>0</v>
      </c>
      <c r="BN206" s="65">
        <f>IFERROR(Y206*I206/H206,"0")</f>
        <v>0</v>
      </c>
      <c r="BO206" s="65">
        <f>IFERROR(1/J206*(X206/H206),"0")</f>
        <v>0</v>
      </c>
      <c r="BP206" s="65">
        <f>IFERROR(1/J206*(Y206/H206),"0")</f>
        <v>0</v>
      </c>
    </row>
    <row r="207" spans="1:68" ht="27" customHeight="1" x14ac:dyDescent="0.25">
      <c r="A207" s="55" t="s">
        <v>329</v>
      </c>
      <c r="B207" s="55" t="s">
        <v>330</v>
      </c>
      <c r="C207" s="32">
        <v>4301012016</v>
      </c>
      <c r="D207" s="416">
        <v>4680115885554</v>
      </c>
      <c r="E207" s="417"/>
      <c r="F207" s="400">
        <v>1.35</v>
      </c>
      <c r="G207" s="33">
        <v>8</v>
      </c>
      <c r="H207" s="400">
        <v>10.8</v>
      </c>
      <c r="I207" s="400">
        <v>11.234999999999999</v>
      </c>
      <c r="J207" s="33">
        <v>64</v>
      </c>
      <c r="K207" s="33" t="s">
        <v>89</v>
      </c>
      <c r="L207" s="33"/>
      <c r="M207" s="34" t="s">
        <v>95</v>
      </c>
      <c r="N207" s="34"/>
      <c r="O207" s="33">
        <v>55</v>
      </c>
      <c r="P207" s="55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07" s="406"/>
      <c r="R207" s="406"/>
      <c r="S207" s="406"/>
      <c r="T207" s="407"/>
      <c r="U207" s="35"/>
      <c r="V207" s="35"/>
      <c r="W207" s="36" t="s">
        <v>71</v>
      </c>
      <c r="X207" s="401">
        <v>0</v>
      </c>
      <c r="Y207" s="402">
        <f>IFERROR(IF(X207="",0,CEILING((X207/$H207),1)*$H207),"")</f>
        <v>0</v>
      </c>
      <c r="Z207" s="37" t="str">
        <f>IFERROR(IF(Y207=0,"",ROUNDUP(Y207/H207,0)*0.01898),"")</f>
        <v/>
      </c>
      <c r="AA207" s="57"/>
      <c r="AB207" s="58"/>
      <c r="AC207" s="240" t="s">
        <v>331</v>
      </c>
      <c r="AG207" s="65"/>
      <c r="AJ207" s="69"/>
      <c r="AK207" s="69">
        <v>0</v>
      </c>
      <c r="BB207" s="241" t="s">
        <v>1</v>
      </c>
      <c r="BM207" s="65">
        <f>IFERROR(X207*I207/H207,"0")</f>
        <v>0</v>
      </c>
      <c r="BN207" s="65">
        <f>IFERROR(Y207*I207/H207,"0")</f>
        <v>0</v>
      </c>
      <c r="BO207" s="65">
        <f>IFERROR(1/J207*(X207/H207),"0")</f>
        <v>0</v>
      </c>
      <c r="BP207" s="65">
        <f>IFERROR(1/J207*(Y207/H207),"0")</f>
        <v>0</v>
      </c>
    </row>
    <row r="208" spans="1:68" ht="37.5" customHeight="1" x14ac:dyDescent="0.25">
      <c r="A208" s="55" t="s">
        <v>332</v>
      </c>
      <c r="B208" s="55" t="s">
        <v>333</v>
      </c>
      <c r="C208" s="32">
        <v>4301011858</v>
      </c>
      <c r="D208" s="416">
        <v>4680115885646</v>
      </c>
      <c r="E208" s="417"/>
      <c r="F208" s="400">
        <v>1.35</v>
      </c>
      <c r="G208" s="33">
        <v>8</v>
      </c>
      <c r="H208" s="400">
        <v>10.8</v>
      </c>
      <c r="I208" s="400">
        <v>11.234999999999999</v>
      </c>
      <c r="J208" s="33">
        <v>64</v>
      </c>
      <c r="K208" s="33" t="s">
        <v>89</v>
      </c>
      <c r="L208" s="33"/>
      <c r="M208" s="34" t="s">
        <v>90</v>
      </c>
      <c r="N208" s="34"/>
      <c r="O208" s="33">
        <v>55</v>
      </c>
      <c r="P208" s="51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08" s="406"/>
      <c r="R208" s="406"/>
      <c r="S208" s="406"/>
      <c r="T208" s="407"/>
      <c r="U208" s="35"/>
      <c r="V208" s="35"/>
      <c r="W208" s="36" t="s">
        <v>71</v>
      </c>
      <c r="X208" s="401">
        <v>0</v>
      </c>
      <c r="Y208" s="402">
        <f>IFERROR(IF(X208="",0,CEILING((X208/$H208),1)*$H208),"")</f>
        <v>0</v>
      </c>
      <c r="Z208" s="37" t="str">
        <f>IFERROR(IF(Y208=0,"",ROUNDUP(Y208/H208,0)*0.01898),"")</f>
        <v/>
      </c>
      <c r="AA208" s="57"/>
      <c r="AB208" s="58"/>
      <c r="AC208" s="242" t="s">
        <v>334</v>
      </c>
      <c r="AG208" s="65"/>
      <c r="AJ208" s="69"/>
      <c r="AK208" s="69">
        <v>0</v>
      </c>
      <c r="BB208" s="243" t="s">
        <v>1</v>
      </c>
      <c r="BM208" s="65">
        <f>IFERROR(X208*I208/H208,"0")</f>
        <v>0</v>
      </c>
      <c r="BN208" s="65">
        <f>IFERROR(Y208*I208/H208,"0")</f>
        <v>0</v>
      </c>
      <c r="BO208" s="65">
        <f>IFERROR(1/J208*(X208/H208),"0")</f>
        <v>0</v>
      </c>
      <c r="BP208" s="65">
        <f>IFERROR(1/J208*(Y208/H208),"0")</f>
        <v>0</v>
      </c>
    </row>
    <row r="209" spans="1:68" ht="27" customHeight="1" x14ac:dyDescent="0.25">
      <c r="A209" s="55" t="s">
        <v>335</v>
      </c>
      <c r="B209" s="55" t="s">
        <v>336</v>
      </c>
      <c r="C209" s="32">
        <v>4301011857</v>
      </c>
      <c r="D209" s="416">
        <v>4680115885622</v>
      </c>
      <c r="E209" s="417"/>
      <c r="F209" s="400">
        <v>0.4</v>
      </c>
      <c r="G209" s="33">
        <v>10</v>
      </c>
      <c r="H209" s="400">
        <v>4</v>
      </c>
      <c r="I209" s="400">
        <v>4.21</v>
      </c>
      <c r="J209" s="33">
        <v>132</v>
      </c>
      <c r="K209" s="33" t="s">
        <v>94</v>
      </c>
      <c r="L209" s="33"/>
      <c r="M209" s="34" t="s">
        <v>90</v>
      </c>
      <c r="N209" s="34"/>
      <c r="O209" s="33">
        <v>55</v>
      </c>
      <c r="P209" s="44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09" s="406"/>
      <c r="R209" s="406"/>
      <c r="S209" s="406"/>
      <c r="T209" s="407"/>
      <c r="U209" s="35"/>
      <c r="V209" s="35"/>
      <c r="W209" s="36" t="s">
        <v>71</v>
      </c>
      <c r="X209" s="401">
        <v>0</v>
      </c>
      <c r="Y209" s="402">
        <f>IFERROR(IF(X209="",0,CEILING((X209/$H209),1)*$H209),"")</f>
        <v>0</v>
      </c>
      <c r="Z209" s="37" t="str">
        <f>IFERROR(IF(Y209=0,"",ROUNDUP(Y209/H209,0)*0.00902),"")</f>
        <v/>
      </c>
      <c r="AA209" s="57"/>
      <c r="AB209" s="58"/>
      <c r="AC209" s="244" t="s">
        <v>328</v>
      </c>
      <c r="AG209" s="65"/>
      <c r="AJ209" s="69"/>
      <c r="AK209" s="69">
        <v>0</v>
      </c>
      <c r="BB209" s="245" t="s">
        <v>1</v>
      </c>
      <c r="BM209" s="65">
        <f>IFERROR(X209*I209/H209,"0")</f>
        <v>0</v>
      </c>
      <c r="BN209" s="65">
        <f>IFERROR(Y209*I209/H209,"0")</f>
        <v>0</v>
      </c>
      <c r="BO209" s="65">
        <f>IFERROR(1/J209*(X209/H209),"0")</f>
        <v>0</v>
      </c>
      <c r="BP209" s="65">
        <f>IFERROR(1/J209*(Y209/H209),"0")</f>
        <v>0</v>
      </c>
    </row>
    <row r="210" spans="1:68" ht="27" customHeight="1" x14ac:dyDescent="0.25">
      <c r="A210" s="55" t="s">
        <v>337</v>
      </c>
      <c r="B210" s="55" t="s">
        <v>338</v>
      </c>
      <c r="C210" s="32">
        <v>4301011859</v>
      </c>
      <c r="D210" s="416">
        <v>4680115885608</v>
      </c>
      <c r="E210" s="417"/>
      <c r="F210" s="400">
        <v>0.4</v>
      </c>
      <c r="G210" s="33">
        <v>10</v>
      </c>
      <c r="H210" s="400">
        <v>4</v>
      </c>
      <c r="I210" s="400">
        <v>4.21</v>
      </c>
      <c r="J210" s="33">
        <v>132</v>
      </c>
      <c r="K210" s="33" t="s">
        <v>94</v>
      </c>
      <c r="L210" s="33"/>
      <c r="M210" s="34" t="s">
        <v>90</v>
      </c>
      <c r="N210" s="34"/>
      <c r="O210" s="33">
        <v>55</v>
      </c>
      <c r="P210" s="52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10" s="406"/>
      <c r="R210" s="406"/>
      <c r="S210" s="406"/>
      <c r="T210" s="407"/>
      <c r="U210" s="35"/>
      <c r="V210" s="35"/>
      <c r="W210" s="36" t="s">
        <v>71</v>
      </c>
      <c r="X210" s="401">
        <v>0</v>
      </c>
      <c r="Y210" s="402">
        <f>IFERROR(IF(X210="",0,CEILING((X210/$H210),1)*$H210),"")</f>
        <v>0</v>
      </c>
      <c r="Z210" s="37" t="str">
        <f>IFERROR(IF(Y210=0,"",ROUNDUP(Y210/H210,0)*0.00902),"")</f>
        <v/>
      </c>
      <c r="AA210" s="57"/>
      <c r="AB210" s="58"/>
      <c r="AC210" s="246" t="s">
        <v>339</v>
      </c>
      <c r="AG210" s="65"/>
      <c r="AJ210" s="69"/>
      <c r="AK210" s="69">
        <v>0</v>
      </c>
      <c r="BB210" s="247" t="s">
        <v>1</v>
      </c>
      <c r="BM210" s="65">
        <f>IFERROR(X210*I210/H210,"0")</f>
        <v>0</v>
      </c>
      <c r="BN210" s="65">
        <f>IFERROR(Y210*I210/H210,"0")</f>
        <v>0</v>
      </c>
      <c r="BO210" s="65">
        <f>IFERROR(1/J210*(X210/H210),"0")</f>
        <v>0</v>
      </c>
      <c r="BP210" s="65">
        <f>IFERROR(1/J210*(Y210/H210),"0")</f>
        <v>0</v>
      </c>
    </row>
    <row r="211" spans="1:68" x14ac:dyDescent="0.2">
      <c r="A211" s="425"/>
      <c r="B211" s="415"/>
      <c r="C211" s="415"/>
      <c r="D211" s="415"/>
      <c r="E211" s="415"/>
      <c r="F211" s="415"/>
      <c r="G211" s="415"/>
      <c r="H211" s="415"/>
      <c r="I211" s="415"/>
      <c r="J211" s="415"/>
      <c r="K211" s="415"/>
      <c r="L211" s="415"/>
      <c r="M211" s="415"/>
      <c r="N211" s="415"/>
      <c r="O211" s="426"/>
      <c r="P211" s="411" t="s">
        <v>76</v>
      </c>
      <c r="Q211" s="412"/>
      <c r="R211" s="412"/>
      <c r="S211" s="412"/>
      <c r="T211" s="412"/>
      <c r="U211" s="412"/>
      <c r="V211" s="413"/>
      <c r="W211" s="38" t="s">
        <v>77</v>
      </c>
      <c r="X211" s="403">
        <f>IFERROR(X206/H206,"0")+IFERROR(X207/H207,"0")+IFERROR(X208/H208,"0")+IFERROR(X209/H209,"0")+IFERROR(X210/H210,"0")</f>
        <v>0</v>
      </c>
      <c r="Y211" s="403">
        <f>IFERROR(Y206/H206,"0")+IFERROR(Y207/H207,"0")+IFERROR(Y208/H208,"0")+IFERROR(Y209/H209,"0")+IFERROR(Y210/H210,"0")</f>
        <v>0</v>
      </c>
      <c r="Z211" s="403">
        <f>IFERROR(IF(Z206="",0,Z206),"0")+IFERROR(IF(Z207="",0,Z207),"0")+IFERROR(IF(Z208="",0,Z208),"0")+IFERROR(IF(Z209="",0,Z209),"0")+IFERROR(IF(Z210="",0,Z210),"0")</f>
        <v>0</v>
      </c>
      <c r="AA211" s="404"/>
      <c r="AB211" s="404"/>
      <c r="AC211" s="404"/>
    </row>
    <row r="212" spans="1:68" x14ac:dyDescent="0.2">
      <c r="A212" s="415"/>
      <c r="B212" s="415"/>
      <c r="C212" s="415"/>
      <c r="D212" s="415"/>
      <c r="E212" s="415"/>
      <c r="F212" s="415"/>
      <c r="G212" s="415"/>
      <c r="H212" s="415"/>
      <c r="I212" s="415"/>
      <c r="J212" s="415"/>
      <c r="K212" s="415"/>
      <c r="L212" s="415"/>
      <c r="M212" s="415"/>
      <c r="N212" s="415"/>
      <c r="O212" s="426"/>
      <c r="P212" s="411" t="s">
        <v>76</v>
      </c>
      <c r="Q212" s="412"/>
      <c r="R212" s="412"/>
      <c r="S212" s="412"/>
      <c r="T212" s="412"/>
      <c r="U212" s="412"/>
      <c r="V212" s="413"/>
      <c r="W212" s="38" t="s">
        <v>71</v>
      </c>
      <c r="X212" s="403">
        <f>IFERROR(SUM(X206:X210),"0")</f>
        <v>0</v>
      </c>
      <c r="Y212" s="403">
        <f>IFERROR(SUM(Y206:Y210),"0")</f>
        <v>0</v>
      </c>
      <c r="Z212" s="38"/>
      <c r="AA212" s="404"/>
      <c r="AB212" s="404"/>
      <c r="AC212" s="404"/>
    </row>
    <row r="213" spans="1:68" ht="14.25" customHeight="1" x14ac:dyDescent="0.25">
      <c r="A213" s="414" t="s">
        <v>185</v>
      </c>
      <c r="B213" s="415"/>
      <c r="C213" s="415"/>
      <c r="D213" s="415"/>
      <c r="E213" s="415"/>
      <c r="F213" s="415"/>
      <c r="G213" s="415"/>
      <c r="H213" s="415"/>
      <c r="I213" s="415"/>
      <c r="J213" s="415"/>
      <c r="K213" s="415"/>
      <c r="L213" s="415"/>
      <c r="M213" s="415"/>
      <c r="N213" s="415"/>
      <c r="O213" s="415"/>
      <c r="P213" s="415"/>
      <c r="Q213" s="415"/>
      <c r="R213" s="415"/>
      <c r="S213" s="415"/>
      <c r="T213" s="415"/>
      <c r="U213" s="415"/>
      <c r="V213" s="415"/>
      <c r="W213" s="415"/>
      <c r="X213" s="415"/>
      <c r="Y213" s="415"/>
      <c r="Z213" s="415"/>
      <c r="AA213" s="397"/>
      <c r="AB213" s="397"/>
      <c r="AC213" s="397"/>
    </row>
    <row r="214" spans="1:68" ht="27" customHeight="1" x14ac:dyDescent="0.25">
      <c r="A214" s="55" t="s">
        <v>340</v>
      </c>
      <c r="B214" s="55" t="s">
        <v>341</v>
      </c>
      <c r="C214" s="32">
        <v>4301030878</v>
      </c>
      <c r="D214" s="416">
        <v>4607091387193</v>
      </c>
      <c r="E214" s="417"/>
      <c r="F214" s="400">
        <v>0.7</v>
      </c>
      <c r="G214" s="33">
        <v>6</v>
      </c>
      <c r="H214" s="400">
        <v>4.2</v>
      </c>
      <c r="I214" s="400">
        <v>4.47</v>
      </c>
      <c r="J214" s="33">
        <v>132</v>
      </c>
      <c r="K214" s="33" t="s">
        <v>94</v>
      </c>
      <c r="L214" s="33"/>
      <c r="M214" s="34" t="s">
        <v>70</v>
      </c>
      <c r="N214" s="34"/>
      <c r="O214" s="33">
        <v>35</v>
      </c>
      <c r="P214" s="6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14" s="406"/>
      <c r="R214" s="406"/>
      <c r="S214" s="406"/>
      <c r="T214" s="407"/>
      <c r="U214" s="35"/>
      <c r="V214" s="35"/>
      <c r="W214" s="36" t="s">
        <v>71</v>
      </c>
      <c r="X214" s="401">
        <v>0</v>
      </c>
      <c r="Y214" s="402">
        <f t="shared" ref="Y214:Y219" si="20">IFERROR(IF(X214="",0,CEILING((X214/$H214),1)*$H214),"")</f>
        <v>0</v>
      </c>
      <c r="Z214" s="37" t="str">
        <f>IFERROR(IF(Y214=0,"",ROUNDUP(Y214/H214,0)*0.00902),"")</f>
        <v/>
      </c>
      <c r="AA214" s="57"/>
      <c r="AB214" s="58"/>
      <c r="AC214" s="248" t="s">
        <v>342</v>
      </c>
      <c r="AG214" s="65"/>
      <c r="AJ214" s="69"/>
      <c r="AK214" s="69">
        <v>0</v>
      </c>
      <c r="BB214" s="249" t="s">
        <v>1</v>
      </c>
      <c r="BM214" s="65">
        <f t="shared" ref="BM214:BM219" si="21">IFERROR(X214*I214/H214,"0")</f>
        <v>0</v>
      </c>
      <c r="BN214" s="65">
        <f t="shared" ref="BN214:BN219" si="22">IFERROR(Y214*I214/H214,"0")</f>
        <v>0</v>
      </c>
      <c r="BO214" s="65">
        <f t="shared" ref="BO214:BO219" si="23">IFERROR(1/J214*(X214/H214),"0")</f>
        <v>0</v>
      </c>
      <c r="BP214" s="65">
        <f t="shared" ref="BP214:BP219" si="24">IFERROR(1/J214*(Y214/H214),"0")</f>
        <v>0</v>
      </c>
    </row>
    <row r="215" spans="1:68" ht="27" customHeight="1" x14ac:dyDescent="0.25">
      <c r="A215" s="55" t="s">
        <v>343</v>
      </c>
      <c r="B215" s="55" t="s">
        <v>344</v>
      </c>
      <c r="C215" s="32">
        <v>4301031153</v>
      </c>
      <c r="D215" s="416">
        <v>4607091387230</v>
      </c>
      <c r="E215" s="417"/>
      <c r="F215" s="400">
        <v>0.7</v>
      </c>
      <c r="G215" s="33">
        <v>6</v>
      </c>
      <c r="H215" s="400">
        <v>4.2</v>
      </c>
      <c r="I215" s="400">
        <v>4.47</v>
      </c>
      <c r="J215" s="33">
        <v>132</v>
      </c>
      <c r="K215" s="33" t="s">
        <v>94</v>
      </c>
      <c r="L215" s="33"/>
      <c r="M215" s="34" t="s">
        <v>70</v>
      </c>
      <c r="N215" s="34"/>
      <c r="O215" s="33">
        <v>40</v>
      </c>
      <c r="P215" s="4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15" s="406"/>
      <c r="R215" s="406"/>
      <c r="S215" s="406"/>
      <c r="T215" s="407"/>
      <c r="U215" s="35"/>
      <c r="V215" s="35"/>
      <c r="W215" s="36" t="s">
        <v>71</v>
      </c>
      <c r="X215" s="401">
        <v>0</v>
      </c>
      <c r="Y215" s="402">
        <f t="shared" si="20"/>
        <v>0</v>
      </c>
      <c r="Z215" s="37" t="str">
        <f>IFERROR(IF(Y215=0,"",ROUNDUP(Y215/H215,0)*0.00902),"")</f>
        <v/>
      </c>
      <c r="AA215" s="57"/>
      <c r="AB215" s="58"/>
      <c r="AC215" s="250" t="s">
        <v>345</v>
      </c>
      <c r="AG215" s="65"/>
      <c r="AJ215" s="69"/>
      <c r="AK215" s="69">
        <v>0</v>
      </c>
      <c r="BB215" s="251" t="s">
        <v>1</v>
      </c>
      <c r="BM215" s="65">
        <f t="shared" si="21"/>
        <v>0</v>
      </c>
      <c r="BN215" s="65">
        <f t="shared" si="22"/>
        <v>0</v>
      </c>
      <c r="BO215" s="65">
        <f t="shared" si="23"/>
        <v>0</v>
      </c>
      <c r="BP215" s="65">
        <f t="shared" si="24"/>
        <v>0</v>
      </c>
    </row>
    <row r="216" spans="1:68" ht="27" customHeight="1" x14ac:dyDescent="0.25">
      <c r="A216" s="55" t="s">
        <v>346</v>
      </c>
      <c r="B216" s="55" t="s">
        <v>347</v>
      </c>
      <c r="C216" s="32">
        <v>4301031154</v>
      </c>
      <c r="D216" s="416">
        <v>4607091387292</v>
      </c>
      <c r="E216" s="417"/>
      <c r="F216" s="400">
        <v>0.73</v>
      </c>
      <c r="G216" s="33">
        <v>6</v>
      </c>
      <c r="H216" s="400">
        <v>4.38</v>
      </c>
      <c r="I216" s="400">
        <v>4.6500000000000004</v>
      </c>
      <c r="J216" s="33">
        <v>132</v>
      </c>
      <c r="K216" s="33" t="s">
        <v>94</v>
      </c>
      <c r="L216" s="33"/>
      <c r="M216" s="34" t="s">
        <v>70</v>
      </c>
      <c r="N216" s="34"/>
      <c r="O216" s="33">
        <v>45</v>
      </c>
      <c r="P216" s="54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16" s="406"/>
      <c r="R216" s="406"/>
      <c r="S216" s="406"/>
      <c r="T216" s="407"/>
      <c r="U216" s="35"/>
      <c r="V216" s="35"/>
      <c r="W216" s="36" t="s">
        <v>71</v>
      </c>
      <c r="X216" s="401">
        <v>0</v>
      </c>
      <c r="Y216" s="402">
        <f t="shared" si="20"/>
        <v>0</v>
      </c>
      <c r="Z216" s="37" t="str">
        <f>IFERROR(IF(Y216=0,"",ROUNDUP(Y216/H216,0)*0.00902),"")</f>
        <v/>
      </c>
      <c r="AA216" s="57"/>
      <c r="AB216" s="58"/>
      <c r="AC216" s="252" t="s">
        <v>348</v>
      </c>
      <c r="AG216" s="65"/>
      <c r="AJ216" s="69"/>
      <c r="AK216" s="69">
        <v>0</v>
      </c>
      <c r="BB216" s="253" t="s">
        <v>1</v>
      </c>
      <c r="BM216" s="65">
        <f t="shared" si="21"/>
        <v>0</v>
      </c>
      <c r="BN216" s="65">
        <f t="shared" si="22"/>
        <v>0</v>
      </c>
      <c r="BO216" s="65">
        <f t="shared" si="23"/>
        <v>0</v>
      </c>
      <c r="BP216" s="65">
        <f t="shared" si="24"/>
        <v>0</v>
      </c>
    </row>
    <row r="217" spans="1:68" ht="27" customHeight="1" x14ac:dyDescent="0.25">
      <c r="A217" s="55" t="s">
        <v>349</v>
      </c>
      <c r="B217" s="55" t="s">
        <v>350</v>
      </c>
      <c r="C217" s="32">
        <v>4301031152</v>
      </c>
      <c r="D217" s="416">
        <v>4607091387285</v>
      </c>
      <c r="E217" s="417"/>
      <c r="F217" s="400">
        <v>0.35</v>
      </c>
      <c r="G217" s="33">
        <v>6</v>
      </c>
      <c r="H217" s="400">
        <v>2.1</v>
      </c>
      <c r="I217" s="400">
        <v>2.23</v>
      </c>
      <c r="J217" s="33">
        <v>234</v>
      </c>
      <c r="K217" s="33" t="s">
        <v>169</v>
      </c>
      <c r="L217" s="33"/>
      <c r="M217" s="34" t="s">
        <v>70</v>
      </c>
      <c r="N217" s="34"/>
      <c r="O217" s="33">
        <v>40</v>
      </c>
      <c r="P217" s="56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17" s="406"/>
      <c r="R217" s="406"/>
      <c r="S217" s="406"/>
      <c r="T217" s="407"/>
      <c r="U217" s="35"/>
      <c r="V217" s="35"/>
      <c r="W217" s="36" t="s">
        <v>71</v>
      </c>
      <c r="X217" s="401">
        <v>0</v>
      </c>
      <c r="Y217" s="402">
        <f t="shared" si="20"/>
        <v>0</v>
      </c>
      <c r="Z217" s="37" t="str">
        <f>IFERROR(IF(Y217=0,"",ROUNDUP(Y217/H217,0)*0.00502),"")</f>
        <v/>
      </c>
      <c r="AA217" s="57"/>
      <c r="AB217" s="58"/>
      <c r="AC217" s="254" t="s">
        <v>345</v>
      </c>
      <c r="AG217" s="65"/>
      <c r="AJ217" s="69"/>
      <c r="AK217" s="69">
        <v>0</v>
      </c>
      <c r="BB217" s="255" t="s">
        <v>1</v>
      </c>
      <c r="BM217" s="65">
        <f t="shared" si="21"/>
        <v>0</v>
      </c>
      <c r="BN217" s="65">
        <f t="shared" si="22"/>
        <v>0</v>
      </c>
      <c r="BO217" s="65">
        <f t="shared" si="23"/>
        <v>0</v>
      </c>
      <c r="BP217" s="65">
        <f t="shared" si="24"/>
        <v>0</v>
      </c>
    </row>
    <row r="218" spans="1:68" ht="27" customHeight="1" x14ac:dyDescent="0.25">
      <c r="A218" s="55" t="s">
        <v>351</v>
      </c>
      <c r="B218" s="55" t="s">
        <v>352</v>
      </c>
      <c r="C218" s="32">
        <v>4301031305</v>
      </c>
      <c r="D218" s="416">
        <v>4607091389845</v>
      </c>
      <c r="E218" s="417"/>
      <c r="F218" s="400">
        <v>0.35</v>
      </c>
      <c r="G218" s="33">
        <v>6</v>
      </c>
      <c r="H218" s="400">
        <v>2.1</v>
      </c>
      <c r="I218" s="400">
        <v>2.2000000000000002</v>
      </c>
      <c r="J218" s="33">
        <v>234</v>
      </c>
      <c r="K218" s="33" t="s">
        <v>169</v>
      </c>
      <c r="L218" s="33"/>
      <c r="M218" s="34" t="s">
        <v>70</v>
      </c>
      <c r="N218" s="34"/>
      <c r="O218" s="33">
        <v>40</v>
      </c>
      <c r="P218" s="65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18" s="406"/>
      <c r="R218" s="406"/>
      <c r="S218" s="406"/>
      <c r="T218" s="407"/>
      <c r="U218" s="35"/>
      <c r="V218" s="35"/>
      <c r="W218" s="36" t="s">
        <v>71</v>
      </c>
      <c r="X218" s="401">
        <v>0</v>
      </c>
      <c r="Y218" s="402">
        <f t="shared" si="20"/>
        <v>0</v>
      </c>
      <c r="Z218" s="37" t="str">
        <f>IFERROR(IF(Y218=0,"",ROUNDUP(Y218/H218,0)*0.00502),"")</f>
        <v/>
      </c>
      <c r="AA218" s="57"/>
      <c r="AB218" s="58"/>
      <c r="AC218" s="256" t="s">
        <v>353</v>
      </c>
      <c r="AG218" s="65"/>
      <c r="AJ218" s="69"/>
      <c r="AK218" s="69">
        <v>0</v>
      </c>
      <c r="BB218" s="257" t="s">
        <v>1</v>
      </c>
      <c r="BM218" s="65">
        <f t="shared" si="21"/>
        <v>0</v>
      </c>
      <c r="BN218" s="65">
        <f t="shared" si="22"/>
        <v>0</v>
      </c>
      <c r="BO218" s="65">
        <f t="shared" si="23"/>
        <v>0</v>
      </c>
      <c r="BP218" s="65">
        <f t="shared" si="24"/>
        <v>0</v>
      </c>
    </row>
    <row r="219" spans="1:68" ht="27" customHeight="1" x14ac:dyDescent="0.25">
      <c r="A219" s="55" t="s">
        <v>354</v>
      </c>
      <c r="B219" s="55" t="s">
        <v>355</v>
      </c>
      <c r="C219" s="32">
        <v>4301031066</v>
      </c>
      <c r="D219" s="416">
        <v>4607091383836</v>
      </c>
      <c r="E219" s="417"/>
      <c r="F219" s="400">
        <v>0.3</v>
      </c>
      <c r="G219" s="33">
        <v>6</v>
      </c>
      <c r="H219" s="400">
        <v>1.8</v>
      </c>
      <c r="I219" s="400">
        <v>2.028</v>
      </c>
      <c r="J219" s="33">
        <v>182</v>
      </c>
      <c r="K219" s="33" t="s">
        <v>69</v>
      </c>
      <c r="L219" s="33"/>
      <c r="M219" s="34" t="s">
        <v>70</v>
      </c>
      <c r="N219" s="34"/>
      <c r="O219" s="33">
        <v>40</v>
      </c>
      <c r="P219" s="52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219" s="406"/>
      <c r="R219" s="406"/>
      <c r="S219" s="406"/>
      <c r="T219" s="407"/>
      <c r="U219" s="35"/>
      <c r="V219" s="35"/>
      <c r="W219" s="36" t="s">
        <v>71</v>
      </c>
      <c r="X219" s="401">
        <v>0</v>
      </c>
      <c r="Y219" s="402">
        <f t="shared" si="20"/>
        <v>0</v>
      </c>
      <c r="Z219" s="37" t="str">
        <f>IFERROR(IF(Y219=0,"",ROUNDUP(Y219/H219,0)*0.00651),"")</f>
        <v/>
      </c>
      <c r="AA219" s="57"/>
      <c r="AB219" s="58"/>
      <c r="AC219" s="258" t="s">
        <v>356</v>
      </c>
      <c r="AG219" s="65"/>
      <c r="AJ219" s="69"/>
      <c r="AK219" s="69">
        <v>0</v>
      </c>
      <c r="BB219" s="259" t="s">
        <v>1</v>
      </c>
      <c r="BM219" s="65">
        <f t="shared" si="21"/>
        <v>0</v>
      </c>
      <c r="BN219" s="65">
        <f t="shared" si="22"/>
        <v>0</v>
      </c>
      <c r="BO219" s="65">
        <f t="shared" si="23"/>
        <v>0</v>
      </c>
      <c r="BP219" s="65">
        <f t="shared" si="24"/>
        <v>0</v>
      </c>
    </row>
    <row r="220" spans="1:68" x14ac:dyDescent="0.2">
      <c r="A220" s="425"/>
      <c r="B220" s="415"/>
      <c r="C220" s="415"/>
      <c r="D220" s="415"/>
      <c r="E220" s="415"/>
      <c r="F220" s="415"/>
      <c r="G220" s="415"/>
      <c r="H220" s="415"/>
      <c r="I220" s="415"/>
      <c r="J220" s="415"/>
      <c r="K220" s="415"/>
      <c r="L220" s="415"/>
      <c r="M220" s="415"/>
      <c r="N220" s="415"/>
      <c r="O220" s="426"/>
      <c r="P220" s="411" t="s">
        <v>76</v>
      </c>
      <c r="Q220" s="412"/>
      <c r="R220" s="412"/>
      <c r="S220" s="412"/>
      <c r="T220" s="412"/>
      <c r="U220" s="412"/>
      <c r="V220" s="413"/>
      <c r="W220" s="38" t="s">
        <v>77</v>
      </c>
      <c r="X220" s="403">
        <f>IFERROR(X214/H214,"0")+IFERROR(X215/H215,"0")+IFERROR(X216/H216,"0")+IFERROR(X217/H217,"0")+IFERROR(X218/H218,"0")+IFERROR(X219/H219,"0")</f>
        <v>0</v>
      </c>
      <c r="Y220" s="403">
        <f>IFERROR(Y214/H214,"0")+IFERROR(Y215/H215,"0")+IFERROR(Y216/H216,"0")+IFERROR(Y217/H217,"0")+IFERROR(Y218/H218,"0")+IFERROR(Y219/H219,"0")</f>
        <v>0</v>
      </c>
      <c r="Z220" s="403">
        <f>IFERROR(IF(Z214="",0,Z214),"0")+IFERROR(IF(Z215="",0,Z215),"0")+IFERROR(IF(Z216="",0,Z216),"0")+IFERROR(IF(Z217="",0,Z217),"0")+IFERROR(IF(Z218="",0,Z218),"0")+IFERROR(IF(Z219="",0,Z219),"0")</f>
        <v>0</v>
      </c>
      <c r="AA220" s="404"/>
      <c r="AB220" s="404"/>
      <c r="AC220" s="404"/>
    </row>
    <row r="221" spans="1:68" x14ac:dyDescent="0.2">
      <c r="A221" s="415"/>
      <c r="B221" s="415"/>
      <c r="C221" s="415"/>
      <c r="D221" s="415"/>
      <c r="E221" s="415"/>
      <c r="F221" s="415"/>
      <c r="G221" s="415"/>
      <c r="H221" s="415"/>
      <c r="I221" s="415"/>
      <c r="J221" s="415"/>
      <c r="K221" s="415"/>
      <c r="L221" s="415"/>
      <c r="M221" s="415"/>
      <c r="N221" s="415"/>
      <c r="O221" s="426"/>
      <c r="P221" s="411" t="s">
        <v>76</v>
      </c>
      <c r="Q221" s="412"/>
      <c r="R221" s="412"/>
      <c r="S221" s="412"/>
      <c r="T221" s="412"/>
      <c r="U221" s="412"/>
      <c r="V221" s="413"/>
      <c r="W221" s="38" t="s">
        <v>71</v>
      </c>
      <c r="X221" s="403">
        <f>IFERROR(SUM(X214:X219),"0")</f>
        <v>0</v>
      </c>
      <c r="Y221" s="403">
        <f>IFERROR(SUM(Y214:Y219),"0")</f>
        <v>0</v>
      </c>
      <c r="Z221" s="38"/>
      <c r="AA221" s="404"/>
      <c r="AB221" s="404"/>
      <c r="AC221" s="404"/>
    </row>
    <row r="222" spans="1:68" ht="14.25" customHeight="1" x14ac:dyDescent="0.25">
      <c r="A222" s="414" t="s">
        <v>66</v>
      </c>
      <c r="B222" s="415"/>
      <c r="C222" s="415"/>
      <c r="D222" s="415"/>
      <c r="E222" s="415"/>
      <c r="F222" s="415"/>
      <c r="G222" s="415"/>
      <c r="H222" s="415"/>
      <c r="I222" s="415"/>
      <c r="J222" s="415"/>
      <c r="K222" s="415"/>
      <c r="L222" s="415"/>
      <c r="M222" s="415"/>
      <c r="N222" s="415"/>
      <c r="O222" s="415"/>
      <c r="P222" s="415"/>
      <c r="Q222" s="415"/>
      <c r="R222" s="415"/>
      <c r="S222" s="415"/>
      <c r="T222" s="415"/>
      <c r="U222" s="415"/>
      <c r="V222" s="415"/>
      <c r="W222" s="415"/>
      <c r="X222" s="415"/>
      <c r="Y222" s="415"/>
      <c r="Z222" s="415"/>
      <c r="AA222" s="397"/>
      <c r="AB222" s="397"/>
      <c r="AC222" s="397"/>
    </row>
    <row r="223" spans="1:68" ht="27" customHeight="1" x14ac:dyDescent="0.25">
      <c r="A223" s="55" t="s">
        <v>357</v>
      </c>
      <c r="B223" s="55" t="s">
        <v>358</v>
      </c>
      <c r="C223" s="32">
        <v>4301051100</v>
      </c>
      <c r="D223" s="416">
        <v>4607091387766</v>
      </c>
      <c r="E223" s="417"/>
      <c r="F223" s="400">
        <v>1.3</v>
      </c>
      <c r="G223" s="33">
        <v>6</v>
      </c>
      <c r="H223" s="400">
        <v>7.8</v>
      </c>
      <c r="I223" s="400">
        <v>8.3130000000000006</v>
      </c>
      <c r="J223" s="33">
        <v>64</v>
      </c>
      <c r="K223" s="33" t="s">
        <v>89</v>
      </c>
      <c r="L223" s="33"/>
      <c r="M223" s="34" t="s">
        <v>95</v>
      </c>
      <c r="N223" s="34"/>
      <c r="O223" s="33">
        <v>40</v>
      </c>
      <c r="P223" s="48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23" s="406"/>
      <c r="R223" s="406"/>
      <c r="S223" s="406"/>
      <c r="T223" s="407"/>
      <c r="U223" s="35"/>
      <c r="V223" s="35"/>
      <c r="W223" s="36" t="s">
        <v>71</v>
      </c>
      <c r="X223" s="401">
        <v>0</v>
      </c>
      <c r="Y223" s="402">
        <f>IFERROR(IF(X223="",0,CEILING((X223/$H223),1)*$H223),"")</f>
        <v>0</v>
      </c>
      <c r="Z223" s="37" t="str">
        <f>IFERROR(IF(Y223=0,"",ROUNDUP(Y223/H223,0)*0.01898),"")</f>
        <v/>
      </c>
      <c r="AA223" s="57"/>
      <c r="AB223" s="58"/>
      <c r="AC223" s="260" t="s">
        <v>359</v>
      </c>
      <c r="AG223" s="65"/>
      <c r="AJ223" s="69"/>
      <c r="AK223" s="69">
        <v>0</v>
      </c>
      <c r="BB223" s="261" t="s">
        <v>1</v>
      </c>
      <c r="BM223" s="65">
        <f>IFERROR(X223*I223/H223,"0")</f>
        <v>0</v>
      </c>
      <c r="BN223" s="65">
        <f>IFERROR(Y223*I223/H223,"0")</f>
        <v>0</v>
      </c>
      <c r="BO223" s="65">
        <f>IFERROR(1/J223*(X223/H223),"0")</f>
        <v>0</v>
      </c>
      <c r="BP223" s="65">
        <f>IFERROR(1/J223*(Y223/H223),"0")</f>
        <v>0</v>
      </c>
    </row>
    <row r="224" spans="1:68" ht="27" customHeight="1" x14ac:dyDescent="0.25">
      <c r="A224" s="55" t="s">
        <v>360</v>
      </c>
      <c r="B224" s="55" t="s">
        <v>361</v>
      </c>
      <c r="C224" s="32">
        <v>4301051818</v>
      </c>
      <c r="D224" s="416">
        <v>4607091387957</v>
      </c>
      <c r="E224" s="417"/>
      <c r="F224" s="400">
        <v>1.3</v>
      </c>
      <c r="G224" s="33">
        <v>6</v>
      </c>
      <c r="H224" s="400">
        <v>7.8</v>
      </c>
      <c r="I224" s="400">
        <v>8.3190000000000008</v>
      </c>
      <c r="J224" s="33">
        <v>64</v>
      </c>
      <c r="K224" s="33" t="s">
        <v>89</v>
      </c>
      <c r="L224" s="33"/>
      <c r="M224" s="34" t="s">
        <v>95</v>
      </c>
      <c r="N224" s="34"/>
      <c r="O224" s="33">
        <v>40</v>
      </c>
      <c r="P224" s="5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24" s="406"/>
      <c r="R224" s="406"/>
      <c r="S224" s="406"/>
      <c r="T224" s="407"/>
      <c r="U224" s="35"/>
      <c r="V224" s="35"/>
      <c r="W224" s="36" t="s">
        <v>71</v>
      </c>
      <c r="X224" s="401">
        <v>0</v>
      </c>
      <c r="Y224" s="402">
        <f>IFERROR(IF(X224="",0,CEILING((X224/$H224),1)*$H224),"")</f>
        <v>0</v>
      </c>
      <c r="Z224" s="37" t="str">
        <f>IFERROR(IF(Y224=0,"",ROUNDUP(Y224/H224,0)*0.01898),"")</f>
        <v/>
      </c>
      <c r="AA224" s="57"/>
      <c r="AB224" s="58"/>
      <c r="AC224" s="262" t="s">
        <v>362</v>
      </c>
      <c r="AG224" s="65"/>
      <c r="AJ224" s="69"/>
      <c r="AK224" s="69">
        <v>0</v>
      </c>
      <c r="BB224" s="263" t="s">
        <v>1</v>
      </c>
      <c r="BM224" s="65">
        <f>IFERROR(X224*I224/H224,"0")</f>
        <v>0</v>
      </c>
      <c r="BN224" s="65">
        <f>IFERROR(Y224*I224/H224,"0")</f>
        <v>0</v>
      </c>
      <c r="BO224" s="65">
        <f>IFERROR(1/J224*(X224/H224),"0")</f>
        <v>0</v>
      </c>
      <c r="BP224" s="65">
        <f>IFERROR(1/J224*(Y224/H224),"0")</f>
        <v>0</v>
      </c>
    </row>
    <row r="225" spans="1:68" ht="27" customHeight="1" x14ac:dyDescent="0.25">
      <c r="A225" s="55" t="s">
        <v>363</v>
      </c>
      <c r="B225" s="55" t="s">
        <v>364</v>
      </c>
      <c r="C225" s="32">
        <v>4301051819</v>
      </c>
      <c r="D225" s="416">
        <v>4607091387964</v>
      </c>
      <c r="E225" s="417"/>
      <c r="F225" s="400">
        <v>1.35</v>
      </c>
      <c r="G225" s="33">
        <v>6</v>
      </c>
      <c r="H225" s="400">
        <v>8.1</v>
      </c>
      <c r="I225" s="400">
        <v>8.6010000000000009</v>
      </c>
      <c r="J225" s="33">
        <v>64</v>
      </c>
      <c r="K225" s="33" t="s">
        <v>89</v>
      </c>
      <c r="L225" s="33"/>
      <c r="M225" s="34" t="s">
        <v>95</v>
      </c>
      <c r="N225" s="34"/>
      <c r="O225" s="33">
        <v>40</v>
      </c>
      <c r="P225" s="58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25" s="406"/>
      <c r="R225" s="406"/>
      <c r="S225" s="406"/>
      <c r="T225" s="407"/>
      <c r="U225" s="35"/>
      <c r="V225" s="35"/>
      <c r="W225" s="36" t="s">
        <v>71</v>
      </c>
      <c r="X225" s="401">
        <v>0</v>
      </c>
      <c r="Y225" s="402">
        <f>IFERROR(IF(X225="",0,CEILING((X225/$H225),1)*$H225),"")</f>
        <v>0</v>
      </c>
      <c r="Z225" s="37" t="str">
        <f>IFERROR(IF(Y225=0,"",ROUNDUP(Y225/H225,0)*0.01898),"")</f>
        <v/>
      </c>
      <c r="AA225" s="57"/>
      <c r="AB225" s="58"/>
      <c r="AC225" s="264" t="s">
        <v>365</v>
      </c>
      <c r="AG225" s="65"/>
      <c r="AJ225" s="69"/>
      <c r="AK225" s="69">
        <v>0</v>
      </c>
      <c r="BB225" s="265" t="s">
        <v>1</v>
      </c>
      <c r="BM225" s="65">
        <f>IFERROR(X225*I225/H225,"0")</f>
        <v>0</v>
      </c>
      <c r="BN225" s="65">
        <f>IFERROR(Y225*I225/H225,"0")</f>
        <v>0</v>
      </c>
      <c r="BO225" s="65">
        <f>IFERROR(1/J225*(X225/H225),"0")</f>
        <v>0</v>
      </c>
      <c r="BP225" s="65">
        <f>IFERROR(1/J225*(Y225/H225),"0")</f>
        <v>0</v>
      </c>
    </row>
    <row r="226" spans="1:68" ht="27" customHeight="1" x14ac:dyDescent="0.25">
      <c r="A226" s="55" t="s">
        <v>366</v>
      </c>
      <c r="B226" s="55" t="s">
        <v>367</v>
      </c>
      <c r="C226" s="32">
        <v>4301051734</v>
      </c>
      <c r="D226" s="416">
        <v>4680115884588</v>
      </c>
      <c r="E226" s="417"/>
      <c r="F226" s="400">
        <v>0.5</v>
      </c>
      <c r="G226" s="33">
        <v>6</v>
      </c>
      <c r="H226" s="400">
        <v>3</v>
      </c>
      <c r="I226" s="400">
        <v>3.246</v>
      </c>
      <c r="J226" s="33">
        <v>182</v>
      </c>
      <c r="K226" s="33" t="s">
        <v>69</v>
      </c>
      <c r="L226" s="33"/>
      <c r="M226" s="34" t="s">
        <v>95</v>
      </c>
      <c r="N226" s="34"/>
      <c r="O226" s="33">
        <v>40</v>
      </c>
      <c r="P226" s="59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26" s="406"/>
      <c r="R226" s="406"/>
      <c r="S226" s="406"/>
      <c r="T226" s="407"/>
      <c r="U226" s="35"/>
      <c r="V226" s="35"/>
      <c r="W226" s="36" t="s">
        <v>71</v>
      </c>
      <c r="X226" s="401">
        <v>0</v>
      </c>
      <c r="Y226" s="402">
        <f>IFERROR(IF(X226="",0,CEILING((X226/$H226),1)*$H226),"")</f>
        <v>0</v>
      </c>
      <c r="Z226" s="37" t="str">
        <f>IFERROR(IF(Y226=0,"",ROUNDUP(Y226/H226,0)*0.00651),"")</f>
        <v/>
      </c>
      <c r="AA226" s="57"/>
      <c r="AB226" s="58"/>
      <c r="AC226" s="266" t="s">
        <v>368</v>
      </c>
      <c r="AG226" s="65"/>
      <c r="AJ226" s="69"/>
      <c r="AK226" s="69">
        <v>0</v>
      </c>
      <c r="BB226" s="267" t="s">
        <v>1</v>
      </c>
      <c r="BM226" s="65">
        <f>IFERROR(X226*I226/H226,"0")</f>
        <v>0</v>
      </c>
      <c r="BN226" s="65">
        <f>IFERROR(Y226*I226/H226,"0")</f>
        <v>0</v>
      </c>
      <c r="BO226" s="65">
        <f>IFERROR(1/J226*(X226/H226),"0")</f>
        <v>0</v>
      </c>
      <c r="BP226" s="65">
        <f>IFERROR(1/J226*(Y226/H226),"0")</f>
        <v>0</v>
      </c>
    </row>
    <row r="227" spans="1:68" ht="27" customHeight="1" x14ac:dyDescent="0.25">
      <c r="A227" s="55" t="s">
        <v>369</v>
      </c>
      <c r="B227" s="55" t="s">
        <v>370</v>
      </c>
      <c r="C227" s="32">
        <v>4301051578</v>
      </c>
      <c r="D227" s="416">
        <v>4607091387513</v>
      </c>
      <c r="E227" s="417"/>
      <c r="F227" s="400">
        <v>0.45</v>
      </c>
      <c r="G227" s="33">
        <v>6</v>
      </c>
      <c r="H227" s="400">
        <v>2.7</v>
      </c>
      <c r="I227" s="400">
        <v>2.9580000000000002</v>
      </c>
      <c r="J227" s="33">
        <v>182</v>
      </c>
      <c r="K227" s="33" t="s">
        <v>69</v>
      </c>
      <c r="L227" s="33"/>
      <c r="M227" s="34" t="s">
        <v>115</v>
      </c>
      <c r="N227" s="34"/>
      <c r="O227" s="33">
        <v>40</v>
      </c>
      <c r="P227" s="58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27" s="406"/>
      <c r="R227" s="406"/>
      <c r="S227" s="406"/>
      <c r="T227" s="407"/>
      <c r="U227" s="35"/>
      <c r="V227" s="35"/>
      <c r="W227" s="36" t="s">
        <v>71</v>
      </c>
      <c r="X227" s="401">
        <v>0</v>
      </c>
      <c r="Y227" s="402">
        <f>IFERROR(IF(X227="",0,CEILING((X227/$H227),1)*$H227),"")</f>
        <v>0</v>
      </c>
      <c r="Z227" s="37" t="str">
        <f>IFERROR(IF(Y227=0,"",ROUNDUP(Y227/H227,0)*0.00651),"")</f>
        <v/>
      </c>
      <c r="AA227" s="57"/>
      <c r="AB227" s="58"/>
      <c r="AC227" s="268" t="s">
        <v>371</v>
      </c>
      <c r="AG227" s="65"/>
      <c r="AJ227" s="69"/>
      <c r="AK227" s="69">
        <v>0</v>
      </c>
      <c r="BB227" s="269" t="s">
        <v>1</v>
      </c>
      <c r="BM227" s="65">
        <f>IFERROR(X227*I227/H227,"0")</f>
        <v>0</v>
      </c>
      <c r="BN227" s="65">
        <f>IFERROR(Y227*I227/H227,"0")</f>
        <v>0</v>
      </c>
      <c r="BO227" s="65">
        <f>IFERROR(1/J227*(X227/H227),"0")</f>
        <v>0</v>
      </c>
      <c r="BP227" s="65">
        <f>IFERROR(1/J227*(Y227/H227),"0")</f>
        <v>0</v>
      </c>
    </row>
    <row r="228" spans="1:68" x14ac:dyDescent="0.2">
      <c r="A228" s="425"/>
      <c r="B228" s="415"/>
      <c r="C228" s="415"/>
      <c r="D228" s="415"/>
      <c r="E228" s="415"/>
      <c r="F228" s="415"/>
      <c r="G228" s="415"/>
      <c r="H228" s="415"/>
      <c r="I228" s="415"/>
      <c r="J228" s="415"/>
      <c r="K228" s="415"/>
      <c r="L228" s="415"/>
      <c r="M228" s="415"/>
      <c r="N228" s="415"/>
      <c r="O228" s="426"/>
      <c r="P228" s="411" t="s">
        <v>76</v>
      </c>
      <c r="Q228" s="412"/>
      <c r="R228" s="412"/>
      <c r="S228" s="412"/>
      <c r="T228" s="412"/>
      <c r="U228" s="412"/>
      <c r="V228" s="413"/>
      <c r="W228" s="38" t="s">
        <v>77</v>
      </c>
      <c r="X228" s="403">
        <f>IFERROR(X223/H223,"0")+IFERROR(X224/H224,"0")+IFERROR(X225/H225,"0")+IFERROR(X226/H226,"0")+IFERROR(X227/H227,"0")</f>
        <v>0</v>
      </c>
      <c r="Y228" s="403">
        <f>IFERROR(Y223/H223,"0")+IFERROR(Y224/H224,"0")+IFERROR(Y225/H225,"0")+IFERROR(Y226/H226,"0")+IFERROR(Y227/H227,"0")</f>
        <v>0</v>
      </c>
      <c r="Z228" s="403">
        <f>IFERROR(IF(Z223="",0,Z223),"0")+IFERROR(IF(Z224="",0,Z224),"0")+IFERROR(IF(Z225="",0,Z225),"0")+IFERROR(IF(Z226="",0,Z226),"0")+IFERROR(IF(Z227="",0,Z227),"0")</f>
        <v>0</v>
      </c>
      <c r="AA228" s="404"/>
      <c r="AB228" s="404"/>
      <c r="AC228" s="404"/>
    </row>
    <row r="229" spans="1:68" x14ac:dyDescent="0.2">
      <c r="A229" s="415"/>
      <c r="B229" s="415"/>
      <c r="C229" s="415"/>
      <c r="D229" s="415"/>
      <c r="E229" s="415"/>
      <c r="F229" s="415"/>
      <c r="G229" s="415"/>
      <c r="H229" s="415"/>
      <c r="I229" s="415"/>
      <c r="J229" s="415"/>
      <c r="K229" s="415"/>
      <c r="L229" s="415"/>
      <c r="M229" s="415"/>
      <c r="N229" s="415"/>
      <c r="O229" s="426"/>
      <c r="P229" s="411" t="s">
        <v>76</v>
      </c>
      <c r="Q229" s="412"/>
      <c r="R229" s="412"/>
      <c r="S229" s="412"/>
      <c r="T229" s="412"/>
      <c r="U229" s="412"/>
      <c r="V229" s="413"/>
      <c r="W229" s="38" t="s">
        <v>71</v>
      </c>
      <c r="X229" s="403">
        <f>IFERROR(SUM(X223:X227),"0")</f>
        <v>0</v>
      </c>
      <c r="Y229" s="403">
        <f>IFERROR(SUM(Y223:Y227),"0")</f>
        <v>0</v>
      </c>
      <c r="Z229" s="38"/>
      <c r="AA229" s="404"/>
      <c r="AB229" s="404"/>
      <c r="AC229" s="404"/>
    </row>
    <row r="230" spans="1:68" ht="14.25" customHeight="1" x14ac:dyDescent="0.25">
      <c r="A230" s="414" t="s">
        <v>131</v>
      </c>
      <c r="B230" s="415"/>
      <c r="C230" s="415"/>
      <c r="D230" s="415"/>
      <c r="E230" s="415"/>
      <c r="F230" s="415"/>
      <c r="G230" s="415"/>
      <c r="H230" s="415"/>
      <c r="I230" s="415"/>
      <c r="J230" s="415"/>
      <c r="K230" s="415"/>
      <c r="L230" s="415"/>
      <c r="M230" s="415"/>
      <c r="N230" s="415"/>
      <c r="O230" s="415"/>
      <c r="P230" s="415"/>
      <c r="Q230" s="415"/>
      <c r="R230" s="415"/>
      <c r="S230" s="415"/>
      <c r="T230" s="415"/>
      <c r="U230" s="415"/>
      <c r="V230" s="415"/>
      <c r="W230" s="415"/>
      <c r="X230" s="415"/>
      <c r="Y230" s="415"/>
      <c r="Z230" s="415"/>
      <c r="AA230" s="397"/>
      <c r="AB230" s="397"/>
      <c r="AC230" s="397"/>
    </row>
    <row r="231" spans="1:68" ht="27" customHeight="1" x14ac:dyDescent="0.25">
      <c r="A231" s="55" t="s">
        <v>372</v>
      </c>
      <c r="B231" s="55" t="s">
        <v>373</v>
      </c>
      <c r="C231" s="32">
        <v>4301060387</v>
      </c>
      <c r="D231" s="416">
        <v>4607091380880</v>
      </c>
      <c r="E231" s="417"/>
      <c r="F231" s="400">
        <v>1.4</v>
      </c>
      <c r="G231" s="33">
        <v>6</v>
      </c>
      <c r="H231" s="400">
        <v>8.4</v>
      </c>
      <c r="I231" s="400">
        <v>8.9190000000000005</v>
      </c>
      <c r="J231" s="33">
        <v>64</v>
      </c>
      <c r="K231" s="33" t="s">
        <v>89</v>
      </c>
      <c r="L231" s="33"/>
      <c r="M231" s="34" t="s">
        <v>95</v>
      </c>
      <c r="N231" s="34"/>
      <c r="O231" s="33">
        <v>30</v>
      </c>
      <c r="P231" s="41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231" s="406"/>
      <c r="R231" s="406"/>
      <c r="S231" s="406"/>
      <c r="T231" s="407"/>
      <c r="U231" s="35"/>
      <c r="V231" s="35"/>
      <c r="W231" s="36" t="s">
        <v>71</v>
      </c>
      <c r="X231" s="401">
        <v>0</v>
      </c>
      <c r="Y231" s="402">
        <f>IFERROR(IF(X231="",0,CEILING((X231/$H231),1)*$H231),"")</f>
        <v>0</v>
      </c>
      <c r="Z231" s="37" t="str">
        <f>IFERROR(IF(Y231=0,"",ROUNDUP(Y231/H231,0)*0.01898),"")</f>
        <v/>
      </c>
      <c r="AA231" s="57"/>
      <c r="AB231" s="58"/>
      <c r="AC231" s="270" t="s">
        <v>374</v>
      </c>
      <c r="AG231" s="65"/>
      <c r="AJ231" s="69"/>
      <c r="AK231" s="69">
        <v>0</v>
      </c>
      <c r="BB231" s="271" t="s">
        <v>1</v>
      </c>
      <c r="BM231" s="65">
        <f>IFERROR(X231*I231/H231,"0")</f>
        <v>0</v>
      </c>
      <c r="BN231" s="65">
        <f>IFERROR(Y231*I231/H231,"0")</f>
        <v>0</v>
      </c>
      <c r="BO231" s="65">
        <f>IFERROR(1/J231*(X231/H231),"0")</f>
        <v>0</v>
      </c>
      <c r="BP231" s="65">
        <f>IFERROR(1/J231*(Y231/H231),"0")</f>
        <v>0</v>
      </c>
    </row>
    <row r="232" spans="1:68" ht="27" customHeight="1" x14ac:dyDescent="0.25">
      <c r="A232" s="55" t="s">
        <v>375</v>
      </c>
      <c r="B232" s="55" t="s">
        <v>376</v>
      </c>
      <c r="C232" s="32">
        <v>4301060406</v>
      </c>
      <c r="D232" s="416">
        <v>4607091384482</v>
      </c>
      <c r="E232" s="417"/>
      <c r="F232" s="400">
        <v>1.3</v>
      </c>
      <c r="G232" s="33">
        <v>6</v>
      </c>
      <c r="H232" s="400">
        <v>7.8</v>
      </c>
      <c r="I232" s="400">
        <v>8.3190000000000008</v>
      </c>
      <c r="J232" s="33">
        <v>64</v>
      </c>
      <c r="K232" s="33" t="s">
        <v>89</v>
      </c>
      <c r="L232" s="33"/>
      <c r="M232" s="34" t="s">
        <v>95</v>
      </c>
      <c r="N232" s="34"/>
      <c r="O232" s="33">
        <v>30</v>
      </c>
      <c r="P232" s="55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232" s="406"/>
      <c r="R232" s="406"/>
      <c r="S232" s="406"/>
      <c r="T232" s="407"/>
      <c r="U232" s="35"/>
      <c r="V232" s="35"/>
      <c r="W232" s="36" t="s">
        <v>71</v>
      </c>
      <c r="X232" s="401">
        <v>0</v>
      </c>
      <c r="Y232" s="402">
        <f>IFERROR(IF(X232="",0,CEILING((X232/$H232),1)*$H232),"")</f>
        <v>0</v>
      </c>
      <c r="Z232" s="37" t="str">
        <f>IFERROR(IF(Y232=0,"",ROUNDUP(Y232/H232,0)*0.01898),"")</f>
        <v/>
      </c>
      <c r="AA232" s="57"/>
      <c r="AB232" s="58"/>
      <c r="AC232" s="272" t="s">
        <v>377</v>
      </c>
      <c r="AG232" s="65"/>
      <c r="AJ232" s="69"/>
      <c r="AK232" s="69">
        <v>0</v>
      </c>
      <c r="BB232" s="273" t="s">
        <v>1</v>
      </c>
      <c r="BM232" s="65">
        <f>IFERROR(X232*I232/H232,"0")</f>
        <v>0</v>
      </c>
      <c r="BN232" s="65">
        <f>IFERROR(Y232*I232/H232,"0")</f>
        <v>0</v>
      </c>
      <c r="BO232" s="65">
        <f>IFERROR(1/J232*(X232/H232),"0")</f>
        <v>0</v>
      </c>
      <c r="BP232" s="65">
        <f>IFERROR(1/J232*(Y232/H232),"0")</f>
        <v>0</v>
      </c>
    </row>
    <row r="233" spans="1:68" ht="16.5" customHeight="1" x14ac:dyDescent="0.25">
      <c r="A233" s="55" t="s">
        <v>378</v>
      </c>
      <c r="B233" s="55" t="s">
        <v>379</v>
      </c>
      <c r="C233" s="32">
        <v>4301060484</v>
      </c>
      <c r="D233" s="416">
        <v>4607091380897</v>
      </c>
      <c r="E233" s="417"/>
      <c r="F233" s="400">
        <v>1.4</v>
      </c>
      <c r="G233" s="33">
        <v>6</v>
      </c>
      <c r="H233" s="400">
        <v>8.4</v>
      </c>
      <c r="I233" s="400">
        <v>8.9190000000000005</v>
      </c>
      <c r="J233" s="33">
        <v>64</v>
      </c>
      <c r="K233" s="33" t="s">
        <v>89</v>
      </c>
      <c r="L233" s="33"/>
      <c r="M233" s="34" t="s">
        <v>115</v>
      </c>
      <c r="N233" s="34"/>
      <c r="O233" s="33">
        <v>30</v>
      </c>
      <c r="P233" s="55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233" s="406"/>
      <c r="R233" s="406"/>
      <c r="S233" s="406"/>
      <c r="T233" s="407"/>
      <c r="U233" s="35"/>
      <c r="V233" s="35"/>
      <c r="W233" s="36" t="s">
        <v>71</v>
      </c>
      <c r="X233" s="401">
        <v>0</v>
      </c>
      <c r="Y233" s="402">
        <f>IFERROR(IF(X233="",0,CEILING((X233/$H233),1)*$H233),"")</f>
        <v>0</v>
      </c>
      <c r="Z233" s="37" t="str">
        <f>IFERROR(IF(Y233=0,"",ROUNDUP(Y233/H233,0)*0.01898),"")</f>
        <v/>
      </c>
      <c r="AA233" s="57"/>
      <c r="AB233" s="58"/>
      <c r="AC233" s="274" t="s">
        <v>380</v>
      </c>
      <c r="AG233" s="65"/>
      <c r="AJ233" s="69"/>
      <c r="AK233" s="69">
        <v>0</v>
      </c>
      <c r="BB233" s="275" t="s">
        <v>1</v>
      </c>
      <c r="BM233" s="65">
        <f>IFERROR(X233*I233/H233,"0")</f>
        <v>0</v>
      </c>
      <c r="BN233" s="65">
        <f>IFERROR(Y233*I233/H233,"0")</f>
        <v>0</v>
      </c>
      <c r="BO233" s="65">
        <f>IFERROR(1/J233*(X233/H233),"0")</f>
        <v>0</v>
      </c>
      <c r="BP233" s="65">
        <f>IFERROR(1/J233*(Y233/H233),"0")</f>
        <v>0</v>
      </c>
    </row>
    <row r="234" spans="1:68" x14ac:dyDescent="0.2">
      <c r="A234" s="425"/>
      <c r="B234" s="415"/>
      <c r="C234" s="415"/>
      <c r="D234" s="415"/>
      <c r="E234" s="415"/>
      <c r="F234" s="415"/>
      <c r="G234" s="415"/>
      <c r="H234" s="415"/>
      <c r="I234" s="415"/>
      <c r="J234" s="415"/>
      <c r="K234" s="415"/>
      <c r="L234" s="415"/>
      <c r="M234" s="415"/>
      <c r="N234" s="415"/>
      <c r="O234" s="426"/>
      <c r="P234" s="411" t="s">
        <v>76</v>
      </c>
      <c r="Q234" s="412"/>
      <c r="R234" s="412"/>
      <c r="S234" s="412"/>
      <c r="T234" s="412"/>
      <c r="U234" s="412"/>
      <c r="V234" s="413"/>
      <c r="W234" s="38" t="s">
        <v>77</v>
      </c>
      <c r="X234" s="403">
        <f>IFERROR(X231/H231,"0")+IFERROR(X232/H232,"0")+IFERROR(X233/H233,"0")</f>
        <v>0</v>
      </c>
      <c r="Y234" s="403">
        <f>IFERROR(Y231/H231,"0")+IFERROR(Y232/H232,"0")+IFERROR(Y233/H233,"0")</f>
        <v>0</v>
      </c>
      <c r="Z234" s="403">
        <f>IFERROR(IF(Z231="",0,Z231),"0")+IFERROR(IF(Z232="",0,Z232),"0")+IFERROR(IF(Z233="",0,Z233),"0")</f>
        <v>0</v>
      </c>
      <c r="AA234" s="404"/>
      <c r="AB234" s="404"/>
      <c r="AC234" s="404"/>
    </row>
    <row r="235" spans="1:68" x14ac:dyDescent="0.2">
      <c r="A235" s="415"/>
      <c r="B235" s="415"/>
      <c r="C235" s="415"/>
      <c r="D235" s="415"/>
      <c r="E235" s="415"/>
      <c r="F235" s="415"/>
      <c r="G235" s="415"/>
      <c r="H235" s="415"/>
      <c r="I235" s="415"/>
      <c r="J235" s="415"/>
      <c r="K235" s="415"/>
      <c r="L235" s="415"/>
      <c r="M235" s="415"/>
      <c r="N235" s="415"/>
      <c r="O235" s="426"/>
      <c r="P235" s="411" t="s">
        <v>76</v>
      </c>
      <c r="Q235" s="412"/>
      <c r="R235" s="412"/>
      <c r="S235" s="412"/>
      <c r="T235" s="412"/>
      <c r="U235" s="412"/>
      <c r="V235" s="413"/>
      <c r="W235" s="38" t="s">
        <v>71</v>
      </c>
      <c r="X235" s="403">
        <f>IFERROR(SUM(X231:X233),"0")</f>
        <v>0</v>
      </c>
      <c r="Y235" s="403">
        <f>IFERROR(SUM(Y231:Y233),"0")</f>
        <v>0</v>
      </c>
      <c r="Z235" s="38"/>
      <c r="AA235" s="404"/>
      <c r="AB235" s="404"/>
      <c r="AC235" s="404"/>
    </row>
    <row r="236" spans="1:68" ht="14.25" customHeight="1" x14ac:dyDescent="0.25">
      <c r="A236" s="414" t="s">
        <v>78</v>
      </c>
      <c r="B236" s="415"/>
      <c r="C236" s="415"/>
      <c r="D236" s="415"/>
      <c r="E236" s="415"/>
      <c r="F236" s="415"/>
      <c r="G236" s="415"/>
      <c r="H236" s="415"/>
      <c r="I236" s="415"/>
      <c r="J236" s="415"/>
      <c r="K236" s="415"/>
      <c r="L236" s="415"/>
      <c r="M236" s="415"/>
      <c r="N236" s="415"/>
      <c r="O236" s="415"/>
      <c r="P236" s="415"/>
      <c r="Q236" s="415"/>
      <c r="R236" s="415"/>
      <c r="S236" s="415"/>
      <c r="T236" s="415"/>
      <c r="U236" s="415"/>
      <c r="V236" s="415"/>
      <c r="W236" s="415"/>
      <c r="X236" s="415"/>
      <c r="Y236" s="415"/>
      <c r="Z236" s="415"/>
      <c r="AA236" s="397"/>
      <c r="AB236" s="397"/>
      <c r="AC236" s="397"/>
    </row>
    <row r="237" spans="1:68" ht="27" customHeight="1" x14ac:dyDescent="0.25">
      <c r="A237" s="55" t="s">
        <v>381</v>
      </c>
      <c r="B237" s="55" t="s">
        <v>382</v>
      </c>
      <c r="C237" s="32">
        <v>4301032055</v>
      </c>
      <c r="D237" s="416">
        <v>4680115886476</v>
      </c>
      <c r="E237" s="417"/>
      <c r="F237" s="400">
        <v>0.38</v>
      </c>
      <c r="G237" s="33">
        <v>8</v>
      </c>
      <c r="H237" s="400">
        <v>3.04</v>
      </c>
      <c r="I237" s="400">
        <v>3.32</v>
      </c>
      <c r="J237" s="33">
        <v>156</v>
      </c>
      <c r="K237" s="33" t="s">
        <v>94</v>
      </c>
      <c r="L237" s="33"/>
      <c r="M237" s="34" t="s">
        <v>81</v>
      </c>
      <c r="N237" s="34"/>
      <c r="O237" s="33">
        <v>180</v>
      </c>
      <c r="P237" s="456" t="s">
        <v>383</v>
      </c>
      <c r="Q237" s="406"/>
      <c r="R237" s="406"/>
      <c r="S237" s="406"/>
      <c r="T237" s="407"/>
      <c r="U237" s="35"/>
      <c r="V237" s="35"/>
      <c r="W237" s="36" t="s">
        <v>71</v>
      </c>
      <c r="X237" s="401">
        <v>0</v>
      </c>
      <c r="Y237" s="402">
        <f>IFERROR(IF(X237="",0,CEILING((X237/$H237),1)*$H237),"")</f>
        <v>0</v>
      </c>
      <c r="Z237" s="37" t="str">
        <f>IFERROR(IF(Y237=0,"",ROUNDUP(Y237/H237,0)*0.00753),"")</f>
        <v/>
      </c>
      <c r="AA237" s="57"/>
      <c r="AB237" s="58"/>
      <c r="AC237" s="276" t="s">
        <v>384</v>
      </c>
      <c r="AG237" s="65"/>
      <c r="AJ237" s="69"/>
      <c r="AK237" s="69">
        <v>0</v>
      </c>
      <c r="BB237" s="277" t="s">
        <v>1</v>
      </c>
      <c r="BM237" s="65">
        <f>IFERROR(X237*I237/H237,"0")</f>
        <v>0</v>
      </c>
      <c r="BN237" s="65">
        <f>IFERROR(Y237*I237/H237,"0")</f>
        <v>0</v>
      </c>
      <c r="BO237" s="65">
        <f>IFERROR(1/J237*(X237/H237),"0")</f>
        <v>0</v>
      </c>
      <c r="BP237" s="65">
        <f>IFERROR(1/J237*(Y237/H237),"0")</f>
        <v>0</v>
      </c>
    </row>
    <row r="238" spans="1:68" ht="27" customHeight="1" x14ac:dyDescent="0.25">
      <c r="A238" s="55" t="s">
        <v>385</v>
      </c>
      <c r="B238" s="55" t="s">
        <v>386</v>
      </c>
      <c r="C238" s="32">
        <v>4301030232</v>
      </c>
      <c r="D238" s="416">
        <v>4607091388374</v>
      </c>
      <c r="E238" s="417"/>
      <c r="F238" s="400">
        <v>0.38</v>
      </c>
      <c r="G238" s="33">
        <v>8</v>
      </c>
      <c r="H238" s="400">
        <v>3.04</v>
      </c>
      <c r="I238" s="400">
        <v>3.29</v>
      </c>
      <c r="J238" s="33">
        <v>132</v>
      </c>
      <c r="K238" s="33" t="s">
        <v>94</v>
      </c>
      <c r="L238" s="33"/>
      <c r="M238" s="34" t="s">
        <v>81</v>
      </c>
      <c r="N238" s="34"/>
      <c r="O238" s="33">
        <v>180</v>
      </c>
      <c r="P238" s="551" t="s">
        <v>387</v>
      </c>
      <c r="Q238" s="406"/>
      <c r="R238" s="406"/>
      <c r="S238" s="406"/>
      <c r="T238" s="407"/>
      <c r="U238" s="35"/>
      <c r="V238" s="35"/>
      <c r="W238" s="36" t="s">
        <v>71</v>
      </c>
      <c r="X238" s="401">
        <v>0</v>
      </c>
      <c r="Y238" s="402">
        <f>IFERROR(IF(X238="",0,CEILING((X238/$H238),1)*$H238),"")</f>
        <v>0</v>
      </c>
      <c r="Z238" s="37" t="str">
        <f>IFERROR(IF(Y238=0,"",ROUNDUP(Y238/H238,0)*0.00902),"")</f>
        <v/>
      </c>
      <c r="AA238" s="57"/>
      <c r="AB238" s="58"/>
      <c r="AC238" s="278" t="s">
        <v>388</v>
      </c>
      <c r="AG238" s="65"/>
      <c r="AJ238" s="69"/>
      <c r="AK238" s="69">
        <v>0</v>
      </c>
      <c r="BB238" s="279" t="s">
        <v>1</v>
      </c>
      <c r="BM238" s="65">
        <f>IFERROR(X238*I238/H238,"0")</f>
        <v>0</v>
      </c>
      <c r="BN238" s="65">
        <f>IFERROR(Y238*I238/H238,"0")</f>
        <v>0</v>
      </c>
      <c r="BO238" s="65">
        <f>IFERROR(1/J238*(X238/H238),"0")</f>
        <v>0</v>
      </c>
      <c r="BP238" s="65">
        <f>IFERROR(1/J238*(Y238/H238),"0")</f>
        <v>0</v>
      </c>
    </row>
    <row r="239" spans="1:68" ht="27" customHeight="1" x14ac:dyDescent="0.25">
      <c r="A239" s="55" t="s">
        <v>389</v>
      </c>
      <c r="B239" s="55" t="s">
        <v>390</v>
      </c>
      <c r="C239" s="32">
        <v>4301032015</v>
      </c>
      <c r="D239" s="416">
        <v>4607091383102</v>
      </c>
      <c r="E239" s="417"/>
      <c r="F239" s="400">
        <v>0.17</v>
      </c>
      <c r="G239" s="33">
        <v>15</v>
      </c>
      <c r="H239" s="400">
        <v>2.5499999999999998</v>
      </c>
      <c r="I239" s="400">
        <v>2.9550000000000001</v>
      </c>
      <c r="J239" s="33">
        <v>182</v>
      </c>
      <c r="K239" s="33" t="s">
        <v>69</v>
      </c>
      <c r="L239" s="33"/>
      <c r="M239" s="34" t="s">
        <v>81</v>
      </c>
      <c r="N239" s="34"/>
      <c r="O239" s="33">
        <v>180</v>
      </c>
      <c r="P239" s="51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239" s="406"/>
      <c r="R239" s="406"/>
      <c r="S239" s="406"/>
      <c r="T239" s="407"/>
      <c r="U239" s="35"/>
      <c r="V239" s="35"/>
      <c r="W239" s="36" t="s">
        <v>71</v>
      </c>
      <c r="X239" s="401">
        <v>0</v>
      </c>
      <c r="Y239" s="402">
        <f>IFERROR(IF(X239="",0,CEILING((X239/$H239),1)*$H239),"")</f>
        <v>0</v>
      </c>
      <c r="Z239" s="37" t="str">
        <f>IFERROR(IF(Y239=0,"",ROUNDUP(Y239/H239,0)*0.00651),"")</f>
        <v/>
      </c>
      <c r="AA239" s="57"/>
      <c r="AB239" s="58"/>
      <c r="AC239" s="280" t="s">
        <v>391</v>
      </c>
      <c r="AG239" s="65"/>
      <c r="AJ239" s="69"/>
      <c r="AK239" s="69">
        <v>0</v>
      </c>
      <c r="BB239" s="281" t="s">
        <v>1</v>
      </c>
      <c r="BM239" s="65">
        <f>IFERROR(X239*I239/H239,"0")</f>
        <v>0</v>
      </c>
      <c r="BN239" s="65">
        <f>IFERROR(Y239*I239/H239,"0")</f>
        <v>0</v>
      </c>
      <c r="BO239" s="65">
        <f>IFERROR(1/J239*(X239/H239),"0")</f>
        <v>0</v>
      </c>
      <c r="BP239" s="65">
        <f>IFERROR(1/J239*(Y239/H239),"0")</f>
        <v>0</v>
      </c>
    </row>
    <row r="240" spans="1:68" ht="27" customHeight="1" x14ac:dyDescent="0.25">
      <c r="A240" s="55" t="s">
        <v>392</v>
      </c>
      <c r="B240" s="55" t="s">
        <v>393</v>
      </c>
      <c r="C240" s="32">
        <v>4301030233</v>
      </c>
      <c r="D240" s="416">
        <v>4607091388404</v>
      </c>
      <c r="E240" s="417"/>
      <c r="F240" s="400">
        <v>0.17</v>
      </c>
      <c r="G240" s="33">
        <v>15</v>
      </c>
      <c r="H240" s="400">
        <v>2.5499999999999998</v>
      </c>
      <c r="I240" s="400">
        <v>2.88</v>
      </c>
      <c r="J240" s="33">
        <v>182</v>
      </c>
      <c r="K240" s="33" t="s">
        <v>69</v>
      </c>
      <c r="L240" s="33"/>
      <c r="M240" s="34" t="s">
        <v>81</v>
      </c>
      <c r="N240" s="34"/>
      <c r="O240" s="33">
        <v>180</v>
      </c>
      <c r="P240" s="46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40" s="406"/>
      <c r="R240" s="406"/>
      <c r="S240" s="406"/>
      <c r="T240" s="407"/>
      <c r="U240" s="35"/>
      <c r="V240" s="35"/>
      <c r="W240" s="36" t="s">
        <v>71</v>
      </c>
      <c r="X240" s="401">
        <v>0</v>
      </c>
      <c r="Y240" s="402">
        <f>IFERROR(IF(X240="",0,CEILING((X240/$H240),1)*$H240),"")</f>
        <v>0</v>
      </c>
      <c r="Z240" s="37" t="str">
        <f>IFERROR(IF(Y240=0,"",ROUNDUP(Y240/H240,0)*0.00651),"")</f>
        <v/>
      </c>
      <c r="AA240" s="57"/>
      <c r="AB240" s="58"/>
      <c r="AC240" s="282" t="s">
        <v>388</v>
      </c>
      <c r="AG240" s="65"/>
      <c r="AJ240" s="69"/>
      <c r="AK240" s="69">
        <v>0</v>
      </c>
      <c r="BB240" s="283" t="s">
        <v>1</v>
      </c>
      <c r="BM240" s="65">
        <f>IFERROR(X240*I240/H240,"0")</f>
        <v>0</v>
      </c>
      <c r="BN240" s="65">
        <f>IFERROR(Y240*I240/H240,"0")</f>
        <v>0</v>
      </c>
      <c r="BO240" s="65">
        <f>IFERROR(1/J240*(X240/H240),"0")</f>
        <v>0</v>
      </c>
      <c r="BP240" s="65">
        <f>IFERROR(1/J240*(Y240/H240),"0")</f>
        <v>0</v>
      </c>
    </row>
    <row r="241" spans="1:68" x14ac:dyDescent="0.2">
      <c r="A241" s="425"/>
      <c r="B241" s="415"/>
      <c r="C241" s="415"/>
      <c r="D241" s="415"/>
      <c r="E241" s="415"/>
      <c r="F241" s="415"/>
      <c r="G241" s="415"/>
      <c r="H241" s="415"/>
      <c r="I241" s="415"/>
      <c r="J241" s="415"/>
      <c r="K241" s="415"/>
      <c r="L241" s="415"/>
      <c r="M241" s="415"/>
      <c r="N241" s="415"/>
      <c r="O241" s="426"/>
      <c r="P241" s="411" t="s">
        <v>76</v>
      </c>
      <c r="Q241" s="412"/>
      <c r="R241" s="412"/>
      <c r="S241" s="412"/>
      <c r="T241" s="412"/>
      <c r="U241" s="412"/>
      <c r="V241" s="413"/>
      <c r="W241" s="38" t="s">
        <v>77</v>
      </c>
      <c r="X241" s="403">
        <f>IFERROR(X237/H237,"0")+IFERROR(X238/H238,"0")+IFERROR(X239/H239,"0")+IFERROR(X240/H240,"0")</f>
        <v>0</v>
      </c>
      <c r="Y241" s="403">
        <f>IFERROR(Y237/H237,"0")+IFERROR(Y238/H238,"0")+IFERROR(Y239/H239,"0")+IFERROR(Y240/H240,"0")</f>
        <v>0</v>
      </c>
      <c r="Z241" s="403">
        <f>IFERROR(IF(Z237="",0,Z237),"0")+IFERROR(IF(Z238="",0,Z238),"0")+IFERROR(IF(Z239="",0,Z239),"0")+IFERROR(IF(Z240="",0,Z240),"0")</f>
        <v>0</v>
      </c>
      <c r="AA241" s="404"/>
      <c r="AB241" s="404"/>
      <c r="AC241" s="404"/>
    </row>
    <row r="242" spans="1:68" x14ac:dyDescent="0.2">
      <c r="A242" s="415"/>
      <c r="B242" s="415"/>
      <c r="C242" s="415"/>
      <c r="D242" s="415"/>
      <c r="E242" s="415"/>
      <c r="F242" s="415"/>
      <c r="G242" s="415"/>
      <c r="H242" s="415"/>
      <c r="I242" s="415"/>
      <c r="J242" s="415"/>
      <c r="K242" s="415"/>
      <c r="L242" s="415"/>
      <c r="M242" s="415"/>
      <c r="N242" s="415"/>
      <c r="O242" s="426"/>
      <c r="P242" s="411" t="s">
        <v>76</v>
      </c>
      <c r="Q242" s="412"/>
      <c r="R242" s="412"/>
      <c r="S242" s="412"/>
      <c r="T242" s="412"/>
      <c r="U242" s="412"/>
      <c r="V242" s="413"/>
      <c r="W242" s="38" t="s">
        <v>71</v>
      </c>
      <c r="X242" s="403">
        <f>IFERROR(SUM(X237:X240),"0")</f>
        <v>0</v>
      </c>
      <c r="Y242" s="403">
        <f>IFERROR(SUM(Y237:Y240),"0")</f>
        <v>0</v>
      </c>
      <c r="Z242" s="38"/>
      <c r="AA242" s="404"/>
      <c r="AB242" s="404"/>
      <c r="AC242" s="404"/>
    </row>
    <row r="243" spans="1:68" ht="14.25" customHeight="1" x14ac:dyDescent="0.25">
      <c r="A243" s="414" t="s">
        <v>394</v>
      </c>
      <c r="B243" s="415"/>
      <c r="C243" s="415"/>
      <c r="D243" s="415"/>
      <c r="E243" s="415"/>
      <c r="F243" s="415"/>
      <c r="G243" s="415"/>
      <c r="H243" s="415"/>
      <c r="I243" s="415"/>
      <c r="J243" s="415"/>
      <c r="K243" s="415"/>
      <c r="L243" s="415"/>
      <c r="M243" s="415"/>
      <c r="N243" s="415"/>
      <c r="O243" s="415"/>
      <c r="P243" s="415"/>
      <c r="Q243" s="415"/>
      <c r="R243" s="415"/>
      <c r="S243" s="415"/>
      <c r="T243" s="415"/>
      <c r="U243" s="415"/>
      <c r="V243" s="415"/>
      <c r="W243" s="415"/>
      <c r="X243" s="415"/>
      <c r="Y243" s="415"/>
      <c r="Z243" s="415"/>
      <c r="AA243" s="397"/>
      <c r="AB243" s="397"/>
      <c r="AC243" s="397"/>
    </row>
    <row r="244" spans="1:68" ht="16.5" customHeight="1" x14ac:dyDescent="0.25">
      <c r="A244" s="55" t="s">
        <v>395</v>
      </c>
      <c r="B244" s="55" t="s">
        <v>396</v>
      </c>
      <c r="C244" s="32">
        <v>4301180007</v>
      </c>
      <c r="D244" s="416">
        <v>4680115881808</v>
      </c>
      <c r="E244" s="417"/>
      <c r="F244" s="400">
        <v>0.1</v>
      </c>
      <c r="G244" s="33">
        <v>20</v>
      </c>
      <c r="H244" s="400">
        <v>2</v>
      </c>
      <c r="I244" s="400">
        <v>2.2400000000000002</v>
      </c>
      <c r="J244" s="33">
        <v>238</v>
      </c>
      <c r="K244" s="33" t="s">
        <v>69</v>
      </c>
      <c r="L244" s="33"/>
      <c r="M244" s="34" t="s">
        <v>397</v>
      </c>
      <c r="N244" s="34"/>
      <c r="O244" s="33">
        <v>730</v>
      </c>
      <c r="P244" s="4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44" s="406"/>
      <c r="R244" s="406"/>
      <c r="S244" s="406"/>
      <c r="T244" s="407"/>
      <c r="U244" s="35"/>
      <c r="V244" s="35"/>
      <c r="W244" s="36" t="s">
        <v>71</v>
      </c>
      <c r="X244" s="401">
        <v>0</v>
      </c>
      <c r="Y244" s="402">
        <f>IFERROR(IF(X244="",0,CEILING((X244/$H244),1)*$H244),"")</f>
        <v>0</v>
      </c>
      <c r="Z244" s="37" t="str">
        <f>IFERROR(IF(Y244=0,"",ROUNDUP(Y244/H244,0)*0.00474),"")</f>
        <v/>
      </c>
      <c r="AA244" s="57"/>
      <c r="AB244" s="58"/>
      <c r="AC244" s="284" t="s">
        <v>398</v>
      </c>
      <c r="AG244" s="65"/>
      <c r="AJ244" s="69"/>
      <c r="AK244" s="69">
        <v>0</v>
      </c>
      <c r="BB244" s="285" t="s">
        <v>1</v>
      </c>
      <c r="BM244" s="65">
        <f>IFERROR(X244*I244/H244,"0")</f>
        <v>0</v>
      </c>
      <c r="BN244" s="65">
        <f>IFERROR(Y244*I244/H244,"0")</f>
        <v>0</v>
      </c>
      <c r="BO244" s="65">
        <f>IFERROR(1/J244*(X244/H244),"0")</f>
        <v>0</v>
      </c>
      <c r="BP244" s="65">
        <f>IFERROR(1/J244*(Y244/H244),"0")</f>
        <v>0</v>
      </c>
    </row>
    <row r="245" spans="1:68" ht="27" customHeight="1" x14ac:dyDescent="0.25">
      <c r="A245" s="55" t="s">
        <v>399</v>
      </c>
      <c r="B245" s="55" t="s">
        <v>400</v>
      </c>
      <c r="C245" s="32">
        <v>4301180006</v>
      </c>
      <c r="D245" s="416">
        <v>4680115881822</v>
      </c>
      <c r="E245" s="417"/>
      <c r="F245" s="400">
        <v>0.1</v>
      </c>
      <c r="G245" s="33">
        <v>20</v>
      </c>
      <c r="H245" s="400">
        <v>2</v>
      </c>
      <c r="I245" s="400">
        <v>2.2400000000000002</v>
      </c>
      <c r="J245" s="33">
        <v>238</v>
      </c>
      <c r="K245" s="33" t="s">
        <v>69</v>
      </c>
      <c r="L245" s="33"/>
      <c r="M245" s="34" t="s">
        <v>397</v>
      </c>
      <c r="N245" s="34"/>
      <c r="O245" s="33">
        <v>730</v>
      </c>
      <c r="P245" s="54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45" s="406"/>
      <c r="R245" s="406"/>
      <c r="S245" s="406"/>
      <c r="T245" s="407"/>
      <c r="U245" s="35"/>
      <c r="V245" s="35"/>
      <c r="W245" s="36" t="s">
        <v>71</v>
      </c>
      <c r="X245" s="401">
        <v>0</v>
      </c>
      <c r="Y245" s="402">
        <f>IFERROR(IF(X245="",0,CEILING((X245/$H245),1)*$H245),"")</f>
        <v>0</v>
      </c>
      <c r="Z245" s="37" t="str">
        <f>IFERROR(IF(Y245=0,"",ROUNDUP(Y245/H245,0)*0.00474),"")</f>
        <v/>
      </c>
      <c r="AA245" s="57"/>
      <c r="AB245" s="58"/>
      <c r="AC245" s="286" t="s">
        <v>398</v>
      </c>
      <c r="AG245" s="65"/>
      <c r="AJ245" s="69"/>
      <c r="AK245" s="69">
        <v>0</v>
      </c>
      <c r="BB245" s="287" t="s">
        <v>1</v>
      </c>
      <c r="BM245" s="65">
        <f>IFERROR(X245*I245/H245,"0")</f>
        <v>0</v>
      </c>
      <c r="BN245" s="65">
        <f>IFERROR(Y245*I245/H245,"0")</f>
        <v>0</v>
      </c>
      <c r="BO245" s="65">
        <f>IFERROR(1/J245*(X245/H245),"0")</f>
        <v>0</v>
      </c>
      <c r="BP245" s="65">
        <f>IFERROR(1/J245*(Y245/H245),"0")</f>
        <v>0</v>
      </c>
    </row>
    <row r="246" spans="1:68" ht="27" customHeight="1" x14ac:dyDescent="0.25">
      <c r="A246" s="55" t="s">
        <v>401</v>
      </c>
      <c r="B246" s="55" t="s">
        <v>402</v>
      </c>
      <c r="C246" s="32">
        <v>4301180001</v>
      </c>
      <c r="D246" s="416">
        <v>4680115880016</v>
      </c>
      <c r="E246" s="417"/>
      <c r="F246" s="400">
        <v>0.1</v>
      </c>
      <c r="G246" s="33">
        <v>20</v>
      </c>
      <c r="H246" s="400">
        <v>2</v>
      </c>
      <c r="I246" s="400">
        <v>2.2400000000000002</v>
      </c>
      <c r="J246" s="33">
        <v>238</v>
      </c>
      <c r="K246" s="33" t="s">
        <v>69</v>
      </c>
      <c r="L246" s="33"/>
      <c r="M246" s="34" t="s">
        <v>397</v>
      </c>
      <c r="N246" s="34"/>
      <c r="O246" s="33">
        <v>730</v>
      </c>
      <c r="P246" s="50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46" s="406"/>
      <c r="R246" s="406"/>
      <c r="S246" s="406"/>
      <c r="T246" s="407"/>
      <c r="U246" s="35"/>
      <c r="V246" s="35"/>
      <c r="W246" s="36" t="s">
        <v>71</v>
      </c>
      <c r="X246" s="401">
        <v>0</v>
      </c>
      <c r="Y246" s="402">
        <f>IFERROR(IF(X246="",0,CEILING((X246/$H246),1)*$H246),"")</f>
        <v>0</v>
      </c>
      <c r="Z246" s="37" t="str">
        <f>IFERROR(IF(Y246=0,"",ROUNDUP(Y246/H246,0)*0.00474),"")</f>
        <v/>
      </c>
      <c r="AA246" s="57"/>
      <c r="AB246" s="58"/>
      <c r="AC246" s="288" t="s">
        <v>398</v>
      </c>
      <c r="AG246" s="65"/>
      <c r="AJ246" s="69"/>
      <c r="AK246" s="69">
        <v>0</v>
      </c>
      <c r="BB246" s="289" t="s">
        <v>1</v>
      </c>
      <c r="BM246" s="65">
        <f>IFERROR(X246*I246/H246,"0")</f>
        <v>0</v>
      </c>
      <c r="BN246" s="65">
        <f>IFERROR(Y246*I246/H246,"0")</f>
        <v>0</v>
      </c>
      <c r="BO246" s="65">
        <f>IFERROR(1/J246*(X246/H246),"0")</f>
        <v>0</v>
      </c>
      <c r="BP246" s="65">
        <f>IFERROR(1/J246*(Y246/H246),"0")</f>
        <v>0</v>
      </c>
    </row>
    <row r="247" spans="1:68" x14ac:dyDescent="0.2">
      <c r="A247" s="425"/>
      <c r="B247" s="415"/>
      <c r="C247" s="415"/>
      <c r="D247" s="415"/>
      <c r="E247" s="415"/>
      <c r="F247" s="415"/>
      <c r="G247" s="415"/>
      <c r="H247" s="415"/>
      <c r="I247" s="415"/>
      <c r="J247" s="415"/>
      <c r="K247" s="415"/>
      <c r="L247" s="415"/>
      <c r="M247" s="415"/>
      <c r="N247" s="415"/>
      <c r="O247" s="426"/>
      <c r="P247" s="411" t="s">
        <v>76</v>
      </c>
      <c r="Q247" s="412"/>
      <c r="R247" s="412"/>
      <c r="S247" s="412"/>
      <c r="T247" s="412"/>
      <c r="U247" s="412"/>
      <c r="V247" s="413"/>
      <c r="W247" s="38" t="s">
        <v>77</v>
      </c>
      <c r="X247" s="403">
        <f>IFERROR(X244/H244,"0")+IFERROR(X245/H245,"0")+IFERROR(X246/H246,"0")</f>
        <v>0</v>
      </c>
      <c r="Y247" s="403">
        <f>IFERROR(Y244/H244,"0")+IFERROR(Y245/H245,"0")+IFERROR(Y246/H246,"0")</f>
        <v>0</v>
      </c>
      <c r="Z247" s="403">
        <f>IFERROR(IF(Z244="",0,Z244),"0")+IFERROR(IF(Z245="",0,Z245),"0")+IFERROR(IF(Z246="",0,Z246),"0")</f>
        <v>0</v>
      </c>
      <c r="AA247" s="404"/>
      <c r="AB247" s="404"/>
      <c r="AC247" s="404"/>
    </row>
    <row r="248" spans="1:68" x14ac:dyDescent="0.2">
      <c r="A248" s="415"/>
      <c r="B248" s="415"/>
      <c r="C248" s="415"/>
      <c r="D248" s="415"/>
      <c r="E248" s="415"/>
      <c r="F248" s="415"/>
      <c r="G248" s="415"/>
      <c r="H248" s="415"/>
      <c r="I248" s="415"/>
      <c r="J248" s="415"/>
      <c r="K248" s="415"/>
      <c r="L248" s="415"/>
      <c r="M248" s="415"/>
      <c r="N248" s="415"/>
      <c r="O248" s="426"/>
      <c r="P248" s="411" t="s">
        <v>76</v>
      </c>
      <c r="Q248" s="412"/>
      <c r="R248" s="412"/>
      <c r="S248" s="412"/>
      <c r="T248" s="412"/>
      <c r="U248" s="412"/>
      <c r="V248" s="413"/>
      <c r="W248" s="38" t="s">
        <v>71</v>
      </c>
      <c r="X248" s="403">
        <f>IFERROR(SUM(X244:X246),"0")</f>
        <v>0</v>
      </c>
      <c r="Y248" s="403">
        <f>IFERROR(SUM(Y244:Y246),"0")</f>
        <v>0</v>
      </c>
      <c r="Z248" s="38"/>
      <c r="AA248" s="404"/>
      <c r="AB248" s="404"/>
      <c r="AC248" s="404"/>
    </row>
    <row r="249" spans="1:68" ht="16.5" customHeight="1" x14ac:dyDescent="0.25">
      <c r="A249" s="463" t="s">
        <v>403</v>
      </c>
      <c r="B249" s="415"/>
      <c r="C249" s="415"/>
      <c r="D249" s="415"/>
      <c r="E249" s="415"/>
      <c r="F249" s="415"/>
      <c r="G249" s="415"/>
      <c r="H249" s="415"/>
      <c r="I249" s="415"/>
      <c r="J249" s="415"/>
      <c r="K249" s="415"/>
      <c r="L249" s="415"/>
      <c r="M249" s="415"/>
      <c r="N249" s="415"/>
      <c r="O249" s="415"/>
      <c r="P249" s="415"/>
      <c r="Q249" s="415"/>
      <c r="R249" s="415"/>
      <c r="S249" s="415"/>
      <c r="T249" s="415"/>
      <c r="U249" s="415"/>
      <c r="V249" s="415"/>
      <c r="W249" s="415"/>
      <c r="X249" s="415"/>
      <c r="Y249" s="415"/>
      <c r="Z249" s="415"/>
      <c r="AA249" s="396"/>
      <c r="AB249" s="396"/>
      <c r="AC249" s="396"/>
    </row>
    <row r="250" spans="1:68" ht="14.25" customHeight="1" x14ac:dyDescent="0.25">
      <c r="A250" s="414" t="s">
        <v>66</v>
      </c>
      <c r="B250" s="415"/>
      <c r="C250" s="415"/>
      <c r="D250" s="415"/>
      <c r="E250" s="415"/>
      <c r="F250" s="415"/>
      <c r="G250" s="415"/>
      <c r="H250" s="415"/>
      <c r="I250" s="415"/>
      <c r="J250" s="415"/>
      <c r="K250" s="415"/>
      <c r="L250" s="415"/>
      <c r="M250" s="415"/>
      <c r="N250" s="415"/>
      <c r="O250" s="415"/>
      <c r="P250" s="415"/>
      <c r="Q250" s="415"/>
      <c r="R250" s="415"/>
      <c r="S250" s="415"/>
      <c r="T250" s="415"/>
      <c r="U250" s="415"/>
      <c r="V250" s="415"/>
      <c r="W250" s="415"/>
      <c r="X250" s="415"/>
      <c r="Y250" s="415"/>
      <c r="Z250" s="415"/>
      <c r="AA250" s="397"/>
      <c r="AB250" s="397"/>
      <c r="AC250" s="397"/>
    </row>
    <row r="251" spans="1:68" ht="27" customHeight="1" x14ac:dyDescent="0.25">
      <c r="A251" s="55" t="s">
        <v>404</v>
      </c>
      <c r="B251" s="55" t="s">
        <v>405</v>
      </c>
      <c r="C251" s="32">
        <v>4301051489</v>
      </c>
      <c r="D251" s="416">
        <v>4607091387919</v>
      </c>
      <c r="E251" s="417"/>
      <c r="F251" s="400">
        <v>1.35</v>
      </c>
      <c r="G251" s="33">
        <v>6</v>
      </c>
      <c r="H251" s="400">
        <v>8.1</v>
      </c>
      <c r="I251" s="400">
        <v>8.6189999999999998</v>
      </c>
      <c r="J251" s="33">
        <v>64</v>
      </c>
      <c r="K251" s="33" t="s">
        <v>89</v>
      </c>
      <c r="L251" s="33"/>
      <c r="M251" s="34" t="s">
        <v>115</v>
      </c>
      <c r="N251" s="34"/>
      <c r="O251" s="33">
        <v>45</v>
      </c>
      <c r="P251" s="5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251" s="406"/>
      <c r="R251" s="406"/>
      <c r="S251" s="406"/>
      <c r="T251" s="407"/>
      <c r="U251" s="35"/>
      <c r="V251" s="35"/>
      <c r="W251" s="36" t="s">
        <v>71</v>
      </c>
      <c r="X251" s="401">
        <v>0</v>
      </c>
      <c r="Y251" s="402">
        <f>IFERROR(IF(X251="",0,CEILING((X251/$H251),1)*$H251),"")</f>
        <v>0</v>
      </c>
      <c r="Z251" s="37" t="str">
        <f>IFERROR(IF(Y251=0,"",ROUNDUP(Y251/H251,0)*0.01898),"")</f>
        <v/>
      </c>
      <c r="AA251" s="57"/>
      <c r="AB251" s="58"/>
      <c r="AC251" s="290" t="s">
        <v>406</v>
      </c>
      <c r="AG251" s="65"/>
      <c r="AJ251" s="69"/>
      <c r="AK251" s="69">
        <v>0</v>
      </c>
      <c r="BB251" s="291" t="s">
        <v>1</v>
      </c>
      <c r="BM251" s="65">
        <f>IFERROR(X251*I251/H251,"0")</f>
        <v>0</v>
      </c>
      <c r="BN251" s="65">
        <f>IFERROR(Y251*I251/H251,"0")</f>
        <v>0</v>
      </c>
      <c r="BO251" s="65">
        <f>IFERROR(1/J251*(X251/H251),"0")</f>
        <v>0</v>
      </c>
      <c r="BP251" s="65">
        <f>IFERROR(1/J251*(Y251/H251),"0")</f>
        <v>0</v>
      </c>
    </row>
    <row r="252" spans="1:68" ht="27" customHeight="1" x14ac:dyDescent="0.25">
      <c r="A252" s="55" t="s">
        <v>407</v>
      </c>
      <c r="B252" s="55" t="s">
        <v>408</v>
      </c>
      <c r="C252" s="32">
        <v>4301051461</v>
      </c>
      <c r="D252" s="416">
        <v>4680115883604</v>
      </c>
      <c r="E252" s="417"/>
      <c r="F252" s="400">
        <v>0.35</v>
      </c>
      <c r="G252" s="33">
        <v>6</v>
      </c>
      <c r="H252" s="400">
        <v>2.1</v>
      </c>
      <c r="I252" s="400">
        <v>2.3519999999999999</v>
      </c>
      <c r="J252" s="33">
        <v>182</v>
      </c>
      <c r="K252" s="33" t="s">
        <v>69</v>
      </c>
      <c r="L252" s="33"/>
      <c r="M252" s="34" t="s">
        <v>95</v>
      </c>
      <c r="N252" s="34"/>
      <c r="O252" s="33">
        <v>45</v>
      </c>
      <c r="P252" s="43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252" s="406"/>
      <c r="R252" s="406"/>
      <c r="S252" s="406"/>
      <c r="T252" s="407"/>
      <c r="U252" s="35"/>
      <c r="V252" s="35"/>
      <c r="W252" s="36" t="s">
        <v>71</v>
      </c>
      <c r="X252" s="401">
        <v>0</v>
      </c>
      <c r="Y252" s="402">
        <f>IFERROR(IF(X252="",0,CEILING((X252/$H252),1)*$H252),"")</f>
        <v>0</v>
      </c>
      <c r="Z252" s="37" t="str">
        <f>IFERROR(IF(Y252=0,"",ROUNDUP(Y252/H252,0)*0.00651),"")</f>
        <v/>
      </c>
      <c r="AA252" s="57"/>
      <c r="AB252" s="58"/>
      <c r="AC252" s="292" t="s">
        <v>409</v>
      </c>
      <c r="AG252" s="65"/>
      <c r="AJ252" s="69"/>
      <c r="AK252" s="69">
        <v>0</v>
      </c>
      <c r="BB252" s="293" t="s">
        <v>1</v>
      </c>
      <c r="BM252" s="65">
        <f>IFERROR(X252*I252/H252,"0")</f>
        <v>0</v>
      </c>
      <c r="BN252" s="65">
        <f>IFERROR(Y252*I252/H252,"0")</f>
        <v>0</v>
      </c>
      <c r="BO252" s="65">
        <f>IFERROR(1/J252*(X252/H252),"0")</f>
        <v>0</v>
      </c>
      <c r="BP252" s="65">
        <f>IFERROR(1/J252*(Y252/H252),"0")</f>
        <v>0</v>
      </c>
    </row>
    <row r="253" spans="1:68" x14ac:dyDescent="0.2">
      <c r="A253" s="425"/>
      <c r="B253" s="415"/>
      <c r="C253" s="415"/>
      <c r="D253" s="415"/>
      <c r="E253" s="415"/>
      <c r="F253" s="415"/>
      <c r="G253" s="415"/>
      <c r="H253" s="415"/>
      <c r="I253" s="415"/>
      <c r="J253" s="415"/>
      <c r="K253" s="415"/>
      <c r="L253" s="415"/>
      <c r="M253" s="415"/>
      <c r="N253" s="415"/>
      <c r="O253" s="426"/>
      <c r="P253" s="411" t="s">
        <v>76</v>
      </c>
      <c r="Q253" s="412"/>
      <c r="R253" s="412"/>
      <c r="S253" s="412"/>
      <c r="T253" s="412"/>
      <c r="U253" s="412"/>
      <c r="V253" s="413"/>
      <c r="W253" s="38" t="s">
        <v>77</v>
      </c>
      <c r="X253" s="403">
        <f>IFERROR(X251/H251,"0")+IFERROR(X252/H252,"0")</f>
        <v>0</v>
      </c>
      <c r="Y253" s="403">
        <f>IFERROR(Y251/H251,"0")+IFERROR(Y252/H252,"0")</f>
        <v>0</v>
      </c>
      <c r="Z253" s="403">
        <f>IFERROR(IF(Z251="",0,Z251),"0")+IFERROR(IF(Z252="",0,Z252),"0")</f>
        <v>0</v>
      </c>
      <c r="AA253" s="404"/>
      <c r="AB253" s="404"/>
      <c r="AC253" s="404"/>
    </row>
    <row r="254" spans="1:68" x14ac:dyDescent="0.2">
      <c r="A254" s="415"/>
      <c r="B254" s="415"/>
      <c r="C254" s="415"/>
      <c r="D254" s="415"/>
      <c r="E254" s="415"/>
      <c r="F254" s="415"/>
      <c r="G254" s="415"/>
      <c r="H254" s="415"/>
      <c r="I254" s="415"/>
      <c r="J254" s="415"/>
      <c r="K254" s="415"/>
      <c r="L254" s="415"/>
      <c r="M254" s="415"/>
      <c r="N254" s="415"/>
      <c r="O254" s="426"/>
      <c r="P254" s="411" t="s">
        <v>76</v>
      </c>
      <c r="Q254" s="412"/>
      <c r="R254" s="412"/>
      <c r="S254" s="412"/>
      <c r="T254" s="412"/>
      <c r="U254" s="412"/>
      <c r="V254" s="413"/>
      <c r="W254" s="38" t="s">
        <v>71</v>
      </c>
      <c r="X254" s="403">
        <f>IFERROR(SUM(X251:X252),"0")</f>
        <v>0</v>
      </c>
      <c r="Y254" s="403">
        <f>IFERROR(SUM(Y251:Y252),"0")</f>
        <v>0</v>
      </c>
      <c r="Z254" s="38"/>
      <c r="AA254" s="404"/>
      <c r="AB254" s="404"/>
      <c r="AC254" s="404"/>
    </row>
    <row r="255" spans="1:68" ht="27.75" customHeight="1" x14ac:dyDescent="0.2">
      <c r="A255" s="439" t="s">
        <v>410</v>
      </c>
      <c r="B255" s="440"/>
      <c r="C255" s="440"/>
      <c r="D255" s="440"/>
      <c r="E255" s="440"/>
      <c r="F255" s="440"/>
      <c r="G255" s="440"/>
      <c r="H255" s="440"/>
      <c r="I255" s="440"/>
      <c r="J255" s="440"/>
      <c r="K255" s="440"/>
      <c r="L255" s="440"/>
      <c r="M255" s="440"/>
      <c r="N255" s="440"/>
      <c r="O255" s="440"/>
      <c r="P255" s="440"/>
      <c r="Q255" s="440"/>
      <c r="R255" s="440"/>
      <c r="S255" s="440"/>
      <c r="T255" s="440"/>
      <c r="U255" s="440"/>
      <c r="V255" s="440"/>
      <c r="W255" s="440"/>
      <c r="X255" s="440"/>
      <c r="Y255" s="440"/>
      <c r="Z255" s="440"/>
      <c r="AA255" s="49"/>
      <c r="AB255" s="49"/>
      <c r="AC255" s="49"/>
    </row>
    <row r="256" spans="1:68" ht="16.5" customHeight="1" x14ac:dyDescent="0.25">
      <c r="A256" s="463" t="s">
        <v>411</v>
      </c>
      <c r="B256" s="415"/>
      <c r="C256" s="415"/>
      <c r="D256" s="415"/>
      <c r="E256" s="415"/>
      <c r="F256" s="415"/>
      <c r="G256" s="415"/>
      <c r="H256" s="415"/>
      <c r="I256" s="415"/>
      <c r="J256" s="415"/>
      <c r="K256" s="415"/>
      <c r="L256" s="415"/>
      <c r="M256" s="415"/>
      <c r="N256" s="415"/>
      <c r="O256" s="415"/>
      <c r="P256" s="415"/>
      <c r="Q256" s="415"/>
      <c r="R256" s="415"/>
      <c r="S256" s="415"/>
      <c r="T256" s="415"/>
      <c r="U256" s="415"/>
      <c r="V256" s="415"/>
      <c r="W256" s="415"/>
      <c r="X256" s="415"/>
      <c r="Y256" s="415"/>
      <c r="Z256" s="415"/>
      <c r="AA256" s="396"/>
      <c r="AB256" s="396"/>
      <c r="AC256" s="396"/>
    </row>
    <row r="257" spans="1:68" ht="14.25" customHeight="1" x14ac:dyDescent="0.25">
      <c r="A257" s="414" t="s">
        <v>86</v>
      </c>
      <c r="B257" s="415"/>
      <c r="C257" s="415"/>
      <c r="D257" s="415"/>
      <c r="E257" s="415"/>
      <c r="F257" s="415"/>
      <c r="G257" s="415"/>
      <c r="H257" s="415"/>
      <c r="I257" s="415"/>
      <c r="J257" s="415"/>
      <c r="K257" s="415"/>
      <c r="L257" s="415"/>
      <c r="M257" s="415"/>
      <c r="N257" s="415"/>
      <c r="O257" s="415"/>
      <c r="P257" s="415"/>
      <c r="Q257" s="415"/>
      <c r="R257" s="415"/>
      <c r="S257" s="415"/>
      <c r="T257" s="415"/>
      <c r="U257" s="415"/>
      <c r="V257" s="415"/>
      <c r="W257" s="415"/>
      <c r="X257" s="415"/>
      <c r="Y257" s="415"/>
      <c r="Z257" s="415"/>
      <c r="AA257" s="397"/>
      <c r="AB257" s="397"/>
      <c r="AC257" s="397"/>
    </row>
    <row r="258" spans="1:68" ht="37.5" customHeight="1" x14ac:dyDescent="0.25">
      <c r="A258" s="55" t="s">
        <v>412</v>
      </c>
      <c r="B258" s="55" t="s">
        <v>413</v>
      </c>
      <c r="C258" s="32">
        <v>4301011869</v>
      </c>
      <c r="D258" s="416">
        <v>4680115884847</v>
      </c>
      <c r="E258" s="417"/>
      <c r="F258" s="400">
        <v>2.5</v>
      </c>
      <c r="G258" s="33">
        <v>6</v>
      </c>
      <c r="H258" s="400">
        <v>15</v>
      </c>
      <c r="I258" s="400">
        <v>15.48</v>
      </c>
      <c r="J258" s="33">
        <v>48</v>
      </c>
      <c r="K258" s="33" t="s">
        <v>89</v>
      </c>
      <c r="L258" s="33"/>
      <c r="M258" s="34" t="s">
        <v>70</v>
      </c>
      <c r="N258" s="34"/>
      <c r="O258" s="33">
        <v>60</v>
      </c>
      <c r="P258" s="48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258" s="406"/>
      <c r="R258" s="406"/>
      <c r="S258" s="406"/>
      <c r="T258" s="407"/>
      <c r="U258" s="35"/>
      <c r="V258" s="35"/>
      <c r="W258" s="36" t="s">
        <v>71</v>
      </c>
      <c r="X258" s="401">
        <v>200</v>
      </c>
      <c r="Y258" s="402">
        <f t="shared" ref="Y258:Y263" si="25">IFERROR(IF(X258="",0,CEILING((X258/$H258),1)*$H258),"")</f>
        <v>210</v>
      </c>
      <c r="Z258" s="37">
        <f>IFERROR(IF(Y258=0,"",ROUNDUP(Y258/H258,0)*0.02175),"")</f>
        <v>0.30449999999999999</v>
      </c>
      <c r="AA258" s="57"/>
      <c r="AB258" s="58"/>
      <c r="AC258" s="294" t="s">
        <v>414</v>
      </c>
      <c r="AG258" s="65"/>
      <c r="AJ258" s="69"/>
      <c r="AK258" s="69">
        <v>0</v>
      </c>
      <c r="BB258" s="295" t="s">
        <v>1</v>
      </c>
      <c r="BM258" s="65">
        <f t="shared" ref="BM258:BM263" si="26">IFERROR(X258*I258/H258,"0")</f>
        <v>206.4</v>
      </c>
      <c r="BN258" s="65">
        <f t="shared" ref="BN258:BN263" si="27">IFERROR(Y258*I258/H258,"0")</f>
        <v>216.72</v>
      </c>
      <c r="BO258" s="65">
        <f t="shared" ref="BO258:BO263" si="28">IFERROR(1/J258*(X258/H258),"0")</f>
        <v>0.27777777777777779</v>
      </c>
      <c r="BP258" s="65">
        <f t="shared" ref="BP258:BP263" si="29">IFERROR(1/J258*(Y258/H258),"0")</f>
        <v>0.29166666666666663</v>
      </c>
    </row>
    <row r="259" spans="1:68" ht="27" customHeight="1" x14ac:dyDescent="0.25">
      <c r="A259" s="55" t="s">
        <v>415</v>
      </c>
      <c r="B259" s="55" t="s">
        <v>416</v>
      </c>
      <c r="C259" s="32">
        <v>4301011870</v>
      </c>
      <c r="D259" s="416">
        <v>4680115884854</v>
      </c>
      <c r="E259" s="417"/>
      <c r="F259" s="400">
        <v>2.5</v>
      </c>
      <c r="G259" s="33">
        <v>6</v>
      </c>
      <c r="H259" s="400">
        <v>15</v>
      </c>
      <c r="I259" s="400">
        <v>15.48</v>
      </c>
      <c r="J259" s="33">
        <v>48</v>
      </c>
      <c r="K259" s="33" t="s">
        <v>89</v>
      </c>
      <c r="L259" s="33"/>
      <c r="M259" s="34" t="s">
        <v>70</v>
      </c>
      <c r="N259" s="34"/>
      <c r="O259" s="33">
        <v>60</v>
      </c>
      <c r="P259" s="4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259" s="406"/>
      <c r="R259" s="406"/>
      <c r="S259" s="406"/>
      <c r="T259" s="407"/>
      <c r="U259" s="35"/>
      <c r="V259" s="35"/>
      <c r="W259" s="36" t="s">
        <v>71</v>
      </c>
      <c r="X259" s="401">
        <v>300</v>
      </c>
      <c r="Y259" s="402">
        <f t="shared" si="25"/>
        <v>300</v>
      </c>
      <c r="Z259" s="37">
        <f>IFERROR(IF(Y259=0,"",ROUNDUP(Y259/H259,0)*0.02175),"")</f>
        <v>0.43499999999999994</v>
      </c>
      <c r="AA259" s="57"/>
      <c r="AB259" s="58"/>
      <c r="AC259" s="296" t="s">
        <v>417</v>
      </c>
      <c r="AG259" s="65"/>
      <c r="AJ259" s="69"/>
      <c r="AK259" s="69">
        <v>0</v>
      </c>
      <c r="BB259" s="297" t="s">
        <v>1</v>
      </c>
      <c r="BM259" s="65">
        <f t="shared" si="26"/>
        <v>309.60000000000002</v>
      </c>
      <c r="BN259" s="65">
        <f t="shared" si="27"/>
        <v>309.60000000000002</v>
      </c>
      <c r="BO259" s="65">
        <f t="shared" si="28"/>
        <v>0.41666666666666663</v>
      </c>
      <c r="BP259" s="65">
        <f t="shared" si="29"/>
        <v>0.41666666666666663</v>
      </c>
    </row>
    <row r="260" spans="1:68" ht="37.5" customHeight="1" x14ac:dyDescent="0.25">
      <c r="A260" s="55" t="s">
        <v>418</v>
      </c>
      <c r="B260" s="55" t="s">
        <v>419</v>
      </c>
      <c r="C260" s="32">
        <v>4301011867</v>
      </c>
      <c r="D260" s="416">
        <v>4680115884830</v>
      </c>
      <c r="E260" s="417"/>
      <c r="F260" s="400">
        <v>2.5</v>
      </c>
      <c r="G260" s="33">
        <v>6</v>
      </c>
      <c r="H260" s="400">
        <v>15</v>
      </c>
      <c r="I260" s="400">
        <v>15.48</v>
      </c>
      <c r="J260" s="33">
        <v>48</v>
      </c>
      <c r="K260" s="33" t="s">
        <v>89</v>
      </c>
      <c r="L260" s="33"/>
      <c r="M260" s="34" t="s">
        <v>70</v>
      </c>
      <c r="N260" s="34"/>
      <c r="O260" s="33">
        <v>60</v>
      </c>
      <c r="P260" s="5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260" s="406"/>
      <c r="R260" s="406"/>
      <c r="S260" s="406"/>
      <c r="T260" s="407"/>
      <c r="U260" s="35"/>
      <c r="V260" s="35"/>
      <c r="W260" s="36" t="s">
        <v>71</v>
      </c>
      <c r="X260" s="401">
        <v>400</v>
      </c>
      <c r="Y260" s="402">
        <f t="shared" si="25"/>
        <v>405</v>
      </c>
      <c r="Z260" s="37">
        <f>IFERROR(IF(Y260=0,"",ROUNDUP(Y260/H260,0)*0.02175),"")</f>
        <v>0.58724999999999994</v>
      </c>
      <c r="AA260" s="57"/>
      <c r="AB260" s="58"/>
      <c r="AC260" s="298" t="s">
        <v>420</v>
      </c>
      <c r="AG260" s="65"/>
      <c r="AJ260" s="69"/>
      <c r="AK260" s="69">
        <v>0</v>
      </c>
      <c r="BB260" s="299" t="s">
        <v>1</v>
      </c>
      <c r="BM260" s="65">
        <f t="shared" si="26"/>
        <v>412.8</v>
      </c>
      <c r="BN260" s="65">
        <f t="shared" si="27"/>
        <v>417.96000000000004</v>
      </c>
      <c r="BO260" s="65">
        <f t="shared" si="28"/>
        <v>0.55555555555555558</v>
      </c>
      <c r="BP260" s="65">
        <f t="shared" si="29"/>
        <v>0.5625</v>
      </c>
    </row>
    <row r="261" spans="1:68" ht="27" customHeight="1" x14ac:dyDescent="0.25">
      <c r="A261" s="55" t="s">
        <v>421</v>
      </c>
      <c r="B261" s="55" t="s">
        <v>422</v>
      </c>
      <c r="C261" s="32">
        <v>4301011433</v>
      </c>
      <c r="D261" s="416">
        <v>4680115882638</v>
      </c>
      <c r="E261" s="417"/>
      <c r="F261" s="400">
        <v>0.4</v>
      </c>
      <c r="G261" s="33">
        <v>10</v>
      </c>
      <c r="H261" s="400">
        <v>4</v>
      </c>
      <c r="I261" s="400">
        <v>4.21</v>
      </c>
      <c r="J261" s="33">
        <v>132</v>
      </c>
      <c r="K261" s="33" t="s">
        <v>94</v>
      </c>
      <c r="L261" s="33"/>
      <c r="M261" s="34" t="s">
        <v>90</v>
      </c>
      <c r="N261" s="34"/>
      <c r="O261" s="33">
        <v>90</v>
      </c>
      <c r="P261" s="56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261" s="406"/>
      <c r="R261" s="406"/>
      <c r="S261" s="406"/>
      <c r="T261" s="407"/>
      <c r="U261" s="35"/>
      <c r="V261" s="35"/>
      <c r="W261" s="36" t="s">
        <v>71</v>
      </c>
      <c r="X261" s="401">
        <v>0</v>
      </c>
      <c r="Y261" s="402">
        <f t="shared" si="25"/>
        <v>0</v>
      </c>
      <c r="Z261" s="37" t="str">
        <f>IFERROR(IF(Y261=0,"",ROUNDUP(Y261/H261,0)*0.00902),"")</f>
        <v/>
      </c>
      <c r="AA261" s="57"/>
      <c r="AB261" s="58"/>
      <c r="AC261" s="300" t="s">
        <v>423</v>
      </c>
      <c r="AG261" s="65"/>
      <c r="AJ261" s="69"/>
      <c r="AK261" s="69">
        <v>0</v>
      </c>
      <c r="BB261" s="301" t="s">
        <v>1</v>
      </c>
      <c r="BM261" s="65">
        <f t="shared" si="26"/>
        <v>0</v>
      </c>
      <c r="BN261" s="65">
        <f t="shared" si="27"/>
        <v>0</v>
      </c>
      <c r="BO261" s="65">
        <f t="shared" si="28"/>
        <v>0</v>
      </c>
      <c r="BP261" s="65">
        <f t="shared" si="29"/>
        <v>0</v>
      </c>
    </row>
    <row r="262" spans="1:68" ht="27" customHeight="1" x14ac:dyDescent="0.25">
      <c r="A262" s="55" t="s">
        <v>424</v>
      </c>
      <c r="B262" s="55" t="s">
        <v>425</v>
      </c>
      <c r="C262" s="32">
        <v>4301011952</v>
      </c>
      <c r="D262" s="416">
        <v>4680115884922</v>
      </c>
      <c r="E262" s="417"/>
      <c r="F262" s="400">
        <v>0.5</v>
      </c>
      <c r="G262" s="33">
        <v>10</v>
      </c>
      <c r="H262" s="400">
        <v>5</v>
      </c>
      <c r="I262" s="400">
        <v>5.21</v>
      </c>
      <c r="J262" s="33">
        <v>132</v>
      </c>
      <c r="K262" s="33" t="s">
        <v>94</v>
      </c>
      <c r="L262" s="33"/>
      <c r="M262" s="34" t="s">
        <v>70</v>
      </c>
      <c r="N262" s="34"/>
      <c r="O262" s="33">
        <v>60</v>
      </c>
      <c r="P262" s="63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262" s="406"/>
      <c r="R262" s="406"/>
      <c r="S262" s="406"/>
      <c r="T262" s="407"/>
      <c r="U262" s="35"/>
      <c r="V262" s="35"/>
      <c r="W262" s="36" t="s">
        <v>71</v>
      </c>
      <c r="X262" s="401">
        <v>0</v>
      </c>
      <c r="Y262" s="402">
        <f t="shared" si="25"/>
        <v>0</v>
      </c>
      <c r="Z262" s="37" t="str">
        <f>IFERROR(IF(Y262=0,"",ROUNDUP(Y262/H262,0)*0.00902),"")</f>
        <v/>
      </c>
      <c r="AA262" s="57"/>
      <c r="AB262" s="58"/>
      <c r="AC262" s="302" t="s">
        <v>417</v>
      </c>
      <c r="AG262" s="65"/>
      <c r="AJ262" s="69"/>
      <c r="AK262" s="69">
        <v>0</v>
      </c>
      <c r="BB262" s="303" t="s">
        <v>1</v>
      </c>
      <c r="BM262" s="65">
        <f t="shared" si="26"/>
        <v>0</v>
      </c>
      <c r="BN262" s="65">
        <f t="shared" si="27"/>
        <v>0</v>
      </c>
      <c r="BO262" s="65">
        <f t="shared" si="28"/>
        <v>0</v>
      </c>
      <c r="BP262" s="65">
        <f t="shared" si="29"/>
        <v>0</v>
      </c>
    </row>
    <row r="263" spans="1:68" ht="37.5" customHeight="1" x14ac:dyDescent="0.25">
      <c r="A263" s="55" t="s">
        <v>426</v>
      </c>
      <c r="B263" s="55" t="s">
        <v>427</v>
      </c>
      <c r="C263" s="32">
        <v>4301011868</v>
      </c>
      <c r="D263" s="416">
        <v>4680115884861</v>
      </c>
      <c r="E263" s="417"/>
      <c r="F263" s="400">
        <v>0.5</v>
      </c>
      <c r="G263" s="33">
        <v>10</v>
      </c>
      <c r="H263" s="400">
        <v>5</v>
      </c>
      <c r="I263" s="400">
        <v>5.21</v>
      </c>
      <c r="J263" s="33">
        <v>132</v>
      </c>
      <c r="K263" s="33" t="s">
        <v>94</v>
      </c>
      <c r="L263" s="33"/>
      <c r="M263" s="34" t="s">
        <v>70</v>
      </c>
      <c r="N263" s="34"/>
      <c r="O263" s="33">
        <v>60</v>
      </c>
      <c r="P263" s="64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263" s="406"/>
      <c r="R263" s="406"/>
      <c r="S263" s="406"/>
      <c r="T263" s="407"/>
      <c r="U263" s="35"/>
      <c r="V263" s="35"/>
      <c r="W263" s="36" t="s">
        <v>71</v>
      </c>
      <c r="X263" s="401">
        <v>0</v>
      </c>
      <c r="Y263" s="402">
        <f t="shared" si="25"/>
        <v>0</v>
      </c>
      <c r="Z263" s="37" t="str">
        <f>IFERROR(IF(Y263=0,"",ROUNDUP(Y263/H263,0)*0.00902),"")</f>
        <v/>
      </c>
      <c r="AA263" s="57"/>
      <c r="AB263" s="58"/>
      <c r="AC263" s="304" t="s">
        <v>420</v>
      </c>
      <c r="AG263" s="65"/>
      <c r="AJ263" s="69"/>
      <c r="AK263" s="69">
        <v>0</v>
      </c>
      <c r="BB263" s="305" t="s">
        <v>1</v>
      </c>
      <c r="BM263" s="65">
        <f t="shared" si="26"/>
        <v>0</v>
      </c>
      <c r="BN263" s="65">
        <f t="shared" si="27"/>
        <v>0</v>
      </c>
      <c r="BO263" s="65">
        <f t="shared" si="28"/>
        <v>0</v>
      </c>
      <c r="BP263" s="65">
        <f t="shared" si="29"/>
        <v>0</v>
      </c>
    </row>
    <row r="264" spans="1:68" x14ac:dyDescent="0.2">
      <c r="A264" s="425"/>
      <c r="B264" s="415"/>
      <c r="C264" s="415"/>
      <c r="D264" s="415"/>
      <c r="E264" s="415"/>
      <c r="F264" s="415"/>
      <c r="G264" s="415"/>
      <c r="H264" s="415"/>
      <c r="I264" s="415"/>
      <c r="J264" s="415"/>
      <c r="K264" s="415"/>
      <c r="L264" s="415"/>
      <c r="M264" s="415"/>
      <c r="N264" s="415"/>
      <c r="O264" s="426"/>
      <c r="P264" s="411" t="s">
        <v>76</v>
      </c>
      <c r="Q264" s="412"/>
      <c r="R264" s="412"/>
      <c r="S264" s="412"/>
      <c r="T264" s="412"/>
      <c r="U264" s="412"/>
      <c r="V264" s="413"/>
      <c r="W264" s="38" t="s">
        <v>77</v>
      </c>
      <c r="X264" s="403">
        <f>IFERROR(X258/H258,"0")+IFERROR(X259/H259,"0")+IFERROR(X260/H260,"0")+IFERROR(X261/H261,"0")+IFERROR(X262/H262,"0")+IFERROR(X263/H263,"0")</f>
        <v>60</v>
      </c>
      <c r="Y264" s="403">
        <f>IFERROR(Y258/H258,"0")+IFERROR(Y259/H259,"0")+IFERROR(Y260/H260,"0")+IFERROR(Y261/H261,"0")+IFERROR(Y262/H262,"0")+IFERROR(Y263/H263,"0")</f>
        <v>61</v>
      </c>
      <c r="Z264" s="403">
        <f>IFERROR(IF(Z258="",0,Z258),"0")+IFERROR(IF(Z259="",0,Z259),"0")+IFERROR(IF(Z260="",0,Z260),"0")+IFERROR(IF(Z261="",0,Z261),"0")+IFERROR(IF(Z262="",0,Z262),"0")+IFERROR(IF(Z263="",0,Z263),"0")</f>
        <v>1.3267499999999999</v>
      </c>
      <c r="AA264" s="404"/>
      <c r="AB264" s="404"/>
      <c r="AC264" s="404"/>
    </row>
    <row r="265" spans="1:68" x14ac:dyDescent="0.2">
      <c r="A265" s="415"/>
      <c r="B265" s="415"/>
      <c r="C265" s="415"/>
      <c r="D265" s="415"/>
      <c r="E265" s="415"/>
      <c r="F265" s="415"/>
      <c r="G265" s="415"/>
      <c r="H265" s="415"/>
      <c r="I265" s="415"/>
      <c r="J265" s="415"/>
      <c r="K265" s="415"/>
      <c r="L265" s="415"/>
      <c r="M265" s="415"/>
      <c r="N265" s="415"/>
      <c r="O265" s="426"/>
      <c r="P265" s="411" t="s">
        <v>76</v>
      </c>
      <c r="Q265" s="412"/>
      <c r="R265" s="412"/>
      <c r="S265" s="412"/>
      <c r="T265" s="412"/>
      <c r="U265" s="412"/>
      <c r="V265" s="413"/>
      <c r="W265" s="38" t="s">
        <v>71</v>
      </c>
      <c r="X265" s="403">
        <f>IFERROR(SUM(X258:X263),"0")</f>
        <v>900</v>
      </c>
      <c r="Y265" s="403">
        <f>IFERROR(SUM(Y258:Y263),"0")</f>
        <v>915</v>
      </c>
      <c r="Z265" s="38"/>
      <c r="AA265" s="404"/>
      <c r="AB265" s="404"/>
      <c r="AC265" s="404"/>
    </row>
    <row r="266" spans="1:68" ht="14.25" customHeight="1" x14ac:dyDescent="0.25">
      <c r="A266" s="414" t="s">
        <v>120</v>
      </c>
      <c r="B266" s="415"/>
      <c r="C266" s="415"/>
      <c r="D266" s="415"/>
      <c r="E266" s="415"/>
      <c r="F266" s="415"/>
      <c r="G266" s="415"/>
      <c r="H266" s="415"/>
      <c r="I266" s="415"/>
      <c r="J266" s="415"/>
      <c r="K266" s="415"/>
      <c r="L266" s="415"/>
      <c r="M266" s="415"/>
      <c r="N266" s="415"/>
      <c r="O266" s="415"/>
      <c r="P266" s="415"/>
      <c r="Q266" s="415"/>
      <c r="R266" s="415"/>
      <c r="S266" s="415"/>
      <c r="T266" s="415"/>
      <c r="U266" s="415"/>
      <c r="V266" s="415"/>
      <c r="W266" s="415"/>
      <c r="X266" s="415"/>
      <c r="Y266" s="415"/>
      <c r="Z266" s="415"/>
      <c r="AA266" s="397"/>
      <c r="AB266" s="397"/>
      <c r="AC266" s="397"/>
    </row>
    <row r="267" spans="1:68" ht="27" customHeight="1" x14ac:dyDescent="0.25">
      <c r="A267" s="55" t="s">
        <v>428</v>
      </c>
      <c r="B267" s="55" t="s">
        <v>429</v>
      </c>
      <c r="C267" s="32">
        <v>4301020178</v>
      </c>
      <c r="D267" s="416">
        <v>4607091383980</v>
      </c>
      <c r="E267" s="417"/>
      <c r="F267" s="400">
        <v>2.5</v>
      </c>
      <c r="G267" s="33">
        <v>6</v>
      </c>
      <c r="H267" s="400">
        <v>15</v>
      </c>
      <c r="I267" s="400">
        <v>15.48</v>
      </c>
      <c r="J267" s="33">
        <v>48</v>
      </c>
      <c r="K267" s="33" t="s">
        <v>89</v>
      </c>
      <c r="L267" s="33"/>
      <c r="M267" s="34" t="s">
        <v>90</v>
      </c>
      <c r="N267" s="34"/>
      <c r="O267" s="33">
        <v>50</v>
      </c>
      <c r="P267" s="5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267" s="406"/>
      <c r="R267" s="406"/>
      <c r="S267" s="406"/>
      <c r="T267" s="407"/>
      <c r="U267" s="35"/>
      <c r="V267" s="35"/>
      <c r="W267" s="36" t="s">
        <v>71</v>
      </c>
      <c r="X267" s="401">
        <v>500</v>
      </c>
      <c r="Y267" s="402">
        <f>IFERROR(IF(X267="",0,CEILING((X267/$H267),1)*$H267),"")</f>
        <v>510</v>
      </c>
      <c r="Z267" s="37">
        <f>IFERROR(IF(Y267=0,"",ROUNDUP(Y267/H267,0)*0.02175),"")</f>
        <v>0.73949999999999994</v>
      </c>
      <c r="AA267" s="57"/>
      <c r="AB267" s="58"/>
      <c r="AC267" s="306" t="s">
        <v>430</v>
      </c>
      <c r="AG267" s="65"/>
      <c r="AJ267" s="69"/>
      <c r="AK267" s="69">
        <v>0</v>
      </c>
      <c r="BB267" s="307" t="s">
        <v>1</v>
      </c>
      <c r="BM267" s="65">
        <f>IFERROR(X267*I267/H267,"0")</f>
        <v>516</v>
      </c>
      <c r="BN267" s="65">
        <f>IFERROR(Y267*I267/H267,"0")</f>
        <v>526.32000000000005</v>
      </c>
      <c r="BO267" s="65">
        <f>IFERROR(1/J267*(X267/H267),"0")</f>
        <v>0.69444444444444442</v>
      </c>
      <c r="BP267" s="65">
        <f>IFERROR(1/J267*(Y267/H267),"0")</f>
        <v>0.70833333333333326</v>
      </c>
    </row>
    <row r="268" spans="1:68" ht="16.5" customHeight="1" x14ac:dyDescent="0.25">
      <c r="A268" s="55" t="s">
        <v>431</v>
      </c>
      <c r="B268" s="55" t="s">
        <v>432</v>
      </c>
      <c r="C268" s="32">
        <v>4301020179</v>
      </c>
      <c r="D268" s="416">
        <v>4607091384178</v>
      </c>
      <c r="E268" s="417"/>
      <c r="F268" s="400">
        <v>0.4</v>
      </c>
      <c r="G268" s="33">
        <v>10</v>
      </c>
      <c r="H268" s="400">
        <v>4</v>
      </c>
      <c r="I268" s="400">
        <v>4.21</v>
      </c>
      <c r="J268" s="33">
        <v>132</v>
      </c>
      <c r="K268" s="33" t="s">
        <v>94</v>
      </c>
      <c r="L268" s="33"/>
      <c r="M268" s="34" t="s">
        <v>90</v>
      </c>
      <c r="N268" s="34"/>
      <c r="O268" s="33">
        <v>50</v>
      </c>
      <c r="P268" s="4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268" s="406"/>
      <c r="R268" s="406"/>
      <c r="S268" s="406"/>
      <c r="T268" s="407"/>
      <c r="U268" s="35"/>
      <c r="V268" s="35"/>
      <c r="W268" s="36" t="s">
        <v>71</v>
      </c>
      <c r="X268" s="401">
        <v>0</v>
      </c>
      <c r="Y268" s="402">
        <f>IFERROR(IF(X268="",0,CEILING((X268/$H268),1)*$H268),"")</f>
        <v>0</v>
      </c>
      <c r="Z268" s="37" t="str">
        <f>IFERROR(IF(Y268=0,"",ROUNDUP(Y268/H268,0)*0.00902),"")</f>
        <v/>
      </c>
      <c r="AA268" s="57"/>
      <c r="AB268" s="58"/>
      <c r="AC268" s="308" t="s">
        <v>430</v>
      </c>
      <c r="AG268" s="65"/>
      <c r="AJ268" s="69"/>
      <c r="AK268" s="69">
        <v>0</v>
      </c>
      <c r="BB268" s="309" t="s">
        <v>1</v>
      </c>
      <c r="BM268" s="65">
        <f>IFERROR(X268*I268/H268,"0")</f>
        <v>0</v>
      </c>
      <c r="BN268" s="65">
        <f>IFERROR(Y268*I268/H268,"0")</f>
        <v>0</v>
      </c>
      <c r="BO268" s="65">
        <f>IFERROR(1/J268*(X268/H268),"0")</f>
        <v>0</v>
      </c>
      <c r="BP268" s="65">
        <f>IFERROR(1/J268*(Y268/H268),"0")</f>
        <v>0</v>
      </c>
    </row>
    <row r="269" spans="1:68" x14ac:dyDescent="0.2">
      <c r="A269" s="425"/>
      <c r="B269" s="415"/>
      <c r="C269" s="415"/>
      <c r="D269" s="415"/>
      <c r="E269" s="415"/>
      <c r="F269" s="415"/>
      <c r="G269" s="415"/>
      <c r="H269" s="415"/>
      <c r="I269" s="415"/>
      <c r="J269" s="415"/>
      <c r="K269" s="415"/>
      <c r="L269" s="415"/>
      <c r="M269" s="415"/>
      <c r="N269" s="415"/>
      <c r="O269" s="426"/>
      <c r="P269" s="411" t="s">
        <v>76</v>
      </c>
      <c r="Q269" s="412"/>
      <c r="R269" s="412"/>
      <c r="S269" s="412"/>
      <c r="T269" s="412"/>
      <c r="U269" s="412"/>
      <c r="V269" s="413"/>
      <c r="W269" s="38" t="s">
        <v>77</v>
      </c>
      <c r="X269" s="403">
        <f>IFERROR(X267/H267,"0")+IFERROR(X268/H268,"0")</f>
        <v>33.333333333333336</v>
      </c>
      <c r="Y269" s="403">
        <f>IFERROR(Y267/H267,"0")+IFERROR(Y268/H268,"0")</f>
        <v>34</v>
      </c>
      <c r="Z269" s="403">
        <f>IFERROR(IF(Z267="",0,Z267),"0")+IFERROR(IF(Z268="",0,Z268),"0")</f>
        <v>0.73949999999999994</v>
      </c>
      <c r="AA269" s="404"/>
      <c r="AB269" s="404"/>
      <c r="AC269" s="404"/>
    </row>
    <row r="270" spans="1:68" x14ac:dyDescent="0.2">
      <c r="A270" s="415"/>
      <c r="B270" s="415"/>
      <c r="C270" s="415"/>
      <c r="D270" s="415"/>
      <c r="E270" s="415"/>
      <c r="F270" s="415"/>
      <c r="G270" s="415"/>
      <c r="H270" s="415"/>
      <c r="I270" s="415"/>
      <c r="J270" s="415"/>
      <c r="K270" s="415"/>
      <c r="L270" s="415"/>
      <c r="M270" s="415"/>
      <c r="N270" s="415"/>
      <c r="O270" s="426"/>
      <c r="P270" s="411" t="s">
        <v>76</v>
      </c>
      <c r="Q270" s="412"/>
      <c r="R270" s="412"/>
      <c r="S270" s="412"/>
      <c r="T270" s="412"/>
      <c r="U270" s="412"/>
      <c r="V270" s="413"/>
      <c r="W270" s="38" t="s">
        <v>71</v>
      </c>
      <c r="X270" s="403">
        <f>IFERROR(SUM(X267:X268),"0")</f>
        <v>500</v>
      </c>
      <c r="Y270" s="403">
        <f>IFERROR(SUM(Y267:Y268),"0")</f>
        <v>510</v>
      </c>
      <c r="Z270" s="38"/>
      <c r="AA270" s="404"/>
      <c r="AB270" s="404"/>
      <c r="AC270" s="404"/>
    </row>
    <row r="271" spans="1:68" ht="14.25" customHeight="1" x14ac:dyDescent="0.25">
      <c r="A271" s="414" t="s">
        <v>66</v>
      </c>
      <c r="B271" s="415"/>
      <c r="C271" s="415"/>
      <c r="D271" s="415"/>
      <c r="E271" s="415"/>
      <c r="F271" s="415"/>
      <c r="G271" s="415"/>
      <c r="H271" s="415"/>
      <c r="I271" s="415"/>
      <c r="J271" s="415"/>
      <c r="K271" s="415"/>
      <c r="L271" s="415"/>
      <c r="M271" s="415"/>
      <c r="N271" s="415"/>
      <c r="O271" s="415"/>
      <c r="P271" s="415"/>
      <c r="Q271" s="415"/>
      <c r="R271" s="415"/>
      <c r="S271" s="415"/>
      <c r="T271" s="415"/>
      <c r="U271" s="415"/>
      <c r="V271" s="415"/>
      <c r="W271" s="415"/>
      <c r="X271" s="415"/>
      <c r="Y271" s="415"/>
      <c r="Z271" s="415"/>
      <c r="AA271" s="397"/>
      <c r="AB271" s="397"/>
      <c r="AC271" s="397"/>
    </row>
    <row r="272" spans="1:68" ht="27" customHeight="1" x14ac:dyDescent="0.25">
      <c r="A272" s="55" t="s">
        <v>433</v>
      </c>
      <c r="B272" s="55" t="s">
        <v>434</v>
      </c>
      <c r="C272" s="32">
        <v>4301051903</v>
      </c>
      <c r="D272" s="416">
        <v>4607091383928</v>
      </c>
      <c r="E272" s="417"/>
      <c r="F272" s="400">
        <v>1.5</v>
      </c>
      <c r="G272" s="33">
        <v>6</v>
      </c>
      <c r="H272" s="400">
        <v>9</v>
      </c>
      <c r="I272" s="400">
        <v>9.5250000000000004</v>
      </c>
      <c r="J272" s="33">
        <v>64</v>
      </c>
      <c r="K272" s="33" t="s">
        <v>89</v>
      </c>
      <c r="L272" s="33"/>
      <c r="M272" s="34" t="s">
        <v>95</v>
      </c>
      <c r="N272" s="34"/>
      <c r="O272" s="33">
        <v>40</v>
      </c>
      <c r="P272" s="52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272" s="406"/>
      <c r="R272" s="406"/>
      <c r="S272" s="406"/>
      <c r="T272" s="407"/>
      <c r="U272" s="35"/>
      <c r="V272" s="35"/>
      <c r="W272" s="36" t="s">
        <v>71</v>
      </c>
      <c r="X272" s="401">
        <v>0</v>
      </c>
      <c r="Y272" s="402">
        <f>IFERROR(IF(X272="",0,CEILING((X272/$H272),1)*$H272),"")</f>
        <v>0</v>
      </c>
      <c r="Z272" s="37" t="str">
        <f>IFERROR(IF(Y272=0,"",ROUNDUP(Y272/H272,0)*0.01898),"")</f>
        <v/>
      </c>
      <c r="AA272" s="57"/>
      <c r="AB272" s="58"/>
      <c r="AC272" s="310" t="s">
        <v>435</v>
      </c>
      <c r="AG272" s="65"/>
      <c r="AJ272" s="69"/>
      <c r="AK272" s="69">
        <v>0</v>
      </c>
      <c r="BB272" s="311" t="s">
        <v>1</v>
      </c>
      <c r="BM272" s="65">
        <f>IFERROR(X272*I272/H272,"0")</f>
        <v>0</v>
      </c>
      <c r="BN272" s="65">
        <f>IFERROR(Y272*I272/H272,"0")</f>
        <v>0</v>
      </c>
      <c r="BO272" s="65">
        <f>IFERROR(1/J272*(X272/H272),"0")</f>
        <v>0</v>
      </c>
      <c r="BP272" s="65">
        <f>IFERROR(1/J272*(Y272/H272),"0")</f>
        <v>0</v>
      </c>
    </row>
    <row r="273" spans="1:68" ht="27" customHeight="1" x14ac:dyDescent="0.25">
      <c r="A273" s="55" t="s">
        <v>436</v>
      </c>
      <c r="B273" s="55" t="s">
        <v>437</v>
      </c>
      <c r="C273" s="32">
        <v>4301051897</v>
      </c>
      <c r="D273" s="416">
        <v>4607091384260</v>
      </c>
      <c r="E273" s="417"/>
      <c r="F273" s="400">
        <v>1.5</v>
      </c>
      <c r="G273" s="33">
        <v>6</v>
      </c>
      <c r="H273" s="400">
        <v>9</v>
      </c>
      <c r="I273" s="400">
        <v>9.5190000000000001</v>
      </c>
      <c r="J273" s="33">
        <v>64</v>
      </c>
      <c r="K273" s="33" t="s">
        <v>89</v>
      </c>
      <c r="L273" s="33"/>
      <c r="M273" s="34" t="s">
        <v>95</v>
      </c>
      <c r="N273" s="34"/>
      <c r="O273" s="33">
        <v>40</v>
      </c>
      <c r="P273" s="46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273" s="406"/>
      <c r="R273" s="406"/>
      <c r="S273" s="406"/>
      <c r="T273" s="407"/>
      <c r="U273" s="35"/>
      <c r="V273" s="35"/>
      <c r="W273" s="36" t="s">
        <v>71</v>
      </c>
      <c r="X273" s="401">
        <v>0</v>
      </c>
      <c r="Y273" s="402">
        <f>IFERROR(IF(X273="",0,CEILING((X273/$H273),1)*$H273),"")</f>
        <v>0</v>
      </c>
      <c r="Z273" s="37" t="str">
        <f>IFERROR(IF(Y273=0,"",ROUNDUP(Y273/H273,0)*0.01898),"")</f>
        <v/>
      </c>
      <c r="AA273" s="57"/>
      <c r="AB273" s="58"/>
      <c r="AC273" s="312" t="s">
        <v>438</v>
      </c>
      <c r="AG273" s="65"/>
      <c r="AJ273" s="69"/>
      <c r="AK273" s="69">
        <v>0</v>
      </c>
      <c r="BB273" s="313" t="s">
        <v>1</v>
      </c>
      <c r="BM273" s="65">
        <f>IFERROR(X273*I273/H273,"0")</f>
        <v>0</v>
      </c>
      <c r="BN273" s="65">
        <f>IFERROR(Y273*I273/H273,"0")</f>
        <v>0</v>
      </c>
      <c r="BO273" s="65">
        <f>IFERROR(1/J273*(X273/H273),"0")</f>
        <v>0</v>
      </c>
      <c r="BP273" s="65">
        <f>IFERROR(1/J273*(Y273/H273),"0")</f>
        <v>0</v>
      </c>
    </row>
    <row r="274" spans="1:68" x14ac:dyDescent="0.2">
      <c r="A274" s="425"/>
      <c r="B274" s="415"/>
      <c r="C274" s="415"/>
      <c r="D274" s="415"/>
      <c r="E274" s="415"/>
      <c r="F274" s="415"/>
      <c r="G274" s="415"/>
      <c r="H274" s="415"/>
      <c r="I274" s="415"/>
      <c r="J274" s="415"/>
      <c r="K274" s="415"/>
      <c r="L274" s="415"/>
      <c r="M274" s="415"/>
      <c r="N274" s="415"/>
      <c r="O274" s="426"/>
      <c r="P274" s="411" t="s">
        <v>76</v>
      </c>
      <c r="Q274" s="412"/>
      <c r="R274" s="412"/>
      <c r="S274" s="412"/>
      <c r="T274" s="412"/>
      <c r="U274" s="412"/>
      <c r="V274" s="413"/>
      <c r="W274" s="38" t="s">
        <v>77</v>
      </c>
      <c r="X274" s="403">
        <f>IFERROR(X272/H272,"0")+IFERROR(X273/H273,"0")</f>
        <v>0</v>
      </c>
      <c r="Y274" s="403">
        <f>IFERROR(Y272/H272,"0")+IFERROR(Y273/H273,"0")</f>
        <v>0</v>
      </c>
      <c r="Z274" s="403">
        <f>IFERROR(IF(Z272="",0,Z272),"0")+IFERROR(IF(Z273="",0,Z273),"0")</f>
        <v>0</v>
      </c>
      <c r="AA274" s="404"/>
      <c r="AB274" s="404"/>
      <c r="AC274" s="404"/>
    </row>
    <row r="275" spans="1:68" x14ac:dyDescent="0.2">
      <c r="A275" s="415"/>
      <c r="B275" s="415"/>
      <c r="C275" s="415"/>
      <c r="D275" s="415"/>
      <c r="E275" s="415"/>
      <c r="F275" s="415"/>
      <c r="G275" s="415"/>
      <c r="H275" s="415"/>
      <c r="I275" s="415"/>
      <c r="J275" s="415"/>
      <c r="K275" s="415"/>
      <c r="L275" s="415"/>
      <c r="M275" s="415"/>
      <c r="N275" s="415"/>
      <c r="O275" s="426"/>
      <c r="P275" s="411" t="s">
        <v>76</v>
      </c>
      <c r="Q275" s="412"/>
      <c r="R275" s="412"/>
      <c r="S275" s="412"/>
      <c r="T275" s="412"/>
      <c r="U275" s="412"/>
      <c r="V275" s="413"/>
      <c r="W275" s="38" t="s">
        <v>71</v>
      </c>
      <c r="X275" s="403">
        <f>IFERROR(SUM(X272:X273),"0")</f>
        <v>0</v>
      </c>
      <c r="Y275" s="403">
        <f>IFERROR(SUM(Y272:Y273),"0")</f>
        <v>0</v>
      </c>
      <c r="Z275" s="38"/>
      <c r="AA275" s="404"/>
      <c r="AB275" s="404"/>
      <c r="AC275" s="404"/>
    </row>
    <row r="276" spans="1:68" ht="14.25" customHeight="1" x14ac:dyDescent="0.25">
      <c r="A276" s="414" t="s">
        <v>131</v>
      </c>
      <c r="B276" s="415"/>
      <c r="C276" s="415"/>
      <c r="D276" s="415"/>
      <c r="E276" s="415"/>
      <c r="F276" s="415"/>
      <c r="G276" s="415"/>
      <c r="H276" s="415"/>
      <c r="I276" s="415"/>
      <c r="J276" s="415"/>
      <c r="K276" s="415"/>
      <c r="L276" s="415"/>
      <c r="M276" s="415"/>
      <c r="N276" s="415"/>
      <c r="O276" s="415"/>
      <c r="P276" s="415"/>
      <c r="Q276" s="415"/>
      <c r="R276" s="415"/>
      <c r="S276" s="415"/>
      <c r="T276" s="415"/>
      <c r="U276" s="415"/>
      <c r="V276" s="415"/>
      <c r="W276" s="415"/>
      <c r="X276" s="415"/>
      <c r="Y276" s="415"/>
      <c r="Z276" s="415"/>
      <c r="AA276" s="397"/>
      <c r="AB276" s="397"/>
      <c r="AC276" s="397"/>
    </row>
    <row r="277" spans="1:68" ht="27" customHeight="1" x14ac:dyDescent="0.25">
      <c r="A277" s="55" t="s">
        <v>439</v>
      </c>
      <c r="B277" s="55" t="s">
        <v>440</v>
      </c>
      <c r="C277" s="32">
        <v>4301060439</v>
      </c>
      <c r="D277" s="416">
        <v>4607091384673</v>
      </c>
      <c r="E277" s="417"/>
      <c r="F277" s="400">
        <v>1.5</v>
      </c>
      <c r="G277" s="33">
        <v>6</v>
      </c>
      <c r="H277" s="400">
        <v>9</v>
      </c>
      <c r="I277" s="400">
        <v>9.5190000000000001</v>
      </c>
      <c r="J277" s="33">
        <v>64</v>
      </c>
      <c r="K277" s="33" t="s">
        <v>89</v>
      </c>
      <c r="L277" s="33"/>
      <c r="M277" s="34" t="s">
        <v>95</v>
      </c>
      <c r="N277" s="34"/>
      <c r="O277" s="33">
        <v>30</v>
      </c>
      <c r="P277" s="52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277" s="406"/>
      <c r="R277" s="406"/>
      <c r="S277" s="406"/>
      <c r="T277" s="407"/>
      <c r="U277" s="35"/>
      <c r="V277" s="35"/>
      <c r="W277" s="36" t="s">
        <v>71</v>
      </c>
      <c r="X277" s="401">
        <v>0</v>
      </c>
      <c r="Y277" s="402">
        <f>IFERROR(IF(X277="",0,CEILING((X277/$H277),1)*$H277),"")</f>
        <v>0</v>
      </c>
      <c r="Z277" s="37" t="str">
        <f>IFERROR(IF(Y277=0,"",ROUNDUP(Y277/H277,0)*0.01898),"")</f>
        <v/>
      </c>
      <c r="AA277" s="57"/>
      <c r="AB277" s="58"/>
      <c r="AC277" s="314" t="s">
        <v>441</v>
      </c>
      <c r="AG277" s="65"/>
      <c r="AJ277" s="69"/>
      <c r="AK277" s="69">
        <v>0</v>
      </c>
      <c r="BB277" s="315" t="s">
        <v>1</v>
      </c>
      <c r="BM277" s="65">
        <f>IFERROR(X277*I277/H277,"0")</f>
        <v>0</v>
      </c>
      <c r="BN277" s="65">
        <f>IFERROR(Y277*I277/H277,"0")</f>
        <v>0</v>
      </c>
      <c r="BO277" s="65">
        <f>IFERROR(1/J277*(X277/H277),"0")</f>
        <v>0</v>
      </c>
      <c r="BP277" s="65">
        <f>IFERROR(1/J277*(Y277/H277),"0")</f>
        <v>0</v>
      </c>
    </row>
    <row r="278" spans="1:68" x14ac:dyDescent="0.2">
      <c r="A278" s="425"/>
      <c r="B278" s="415"/>
      <c r="C278" s="415"/>
      <c r="D278" s="415"/>
      <c r="E278" s="415"/>
      <c r="F278" s="415"/>
      <c r="G278" s="415"/>
      <c r="H278" s="415"/>
      <c r="I278" s="415"/>
      <c r="J278" s="415"/>
      <c r="K278" s="415"/>
      <c r="L278" s="415"/>
      <c r="M278" s="415"/>
      <c r="N278" s="415"/>
      <c r="O278" s="426"/>
      <c r="P278" s="411" t="s">
        <v>76</v>
      </c>
      <c r="Q278" s="412"/>
      <c r="R278" s="412"/>
      <c r="S278" s="412"/>
      <c r="T278" s="412"/>
      <c r="U278" s="412"/>
      <c r="V278" s="413"/>
      <c r="W278" s="38" t="s">
        <v>77</v>
      </c>
      <c r="X278" s="403">
        <f>IFERROR(X277/H277,"0")</f>
        <v>0</v>
      </c>
      <c r="Y278" s="403">
        <f>IFERROR(Y277/H277,"0")</f>
        <v>0</v>
      </c>
      <c r="Z278" s="403">
        <f>IFERROR(IF(Z277="",0,Z277),"0")</f>
        <v>0</v>
      </c>
      <c r="AA278" s="404"/>
      <c r="AB278" s="404"/>
      <c r="AC278" s="404"/>
    </row>
    <row r="279" spans="1:68" x14ac:dyDescent="0.2">
      <c r="A279" s="415"/>
      <c r="B279" s="415"/>
      <c r="C279" s="415"/>
      <c r="D279" s="415"/>
      <c r="E279" s="415"/>
      <c r="F279" s="415"/>
      <c r="G279" s="415"/>
      <c r="H279" s="415"/>
      <c r="I279" s="415"/>
      <c r="J279" s="415"/>
      <c r="K279" s="415"/>
      <c r="L279" s="415"/>
      <c r="M279" s="415"/>
      <c r="N279" s="415"/>
      <c r="O279" s="426"/>
      <c r="P279" s="411" t="s">
        <v>76</v>
      </c>
      <c r="Q279" s="412"/>
      <c r="R279" s="412"/>
      <c r="S279" s="412"/>
      <c r="T279" s="412"/>
      <c r="U279" s="412"/>
      <c r="V279" s="413"/>
      <c r="W279" s="38" t="s">
        <v>71</v>
      </c>
      <c r="X279" s="403">
        <f>IFERROR(SUM(X277:X277),"0")</f>
        <v>0</v>
      </c>
      <c r="Y279" s="403">
        <f>IFERROR(SUM(Y277:Y277),"0")</f>
        <v>0</v>
      </c>
      <c r="Z279" s="38"/>
      <c r="AA279" s="404"/>
      <c r="AB279" s="404"/>
      <c r="AC279" s="404"/>
    </row>
    <row r="280" spans="1:68" ht="16.5" customHeight="1" x14ac:dyDescent="0.25">
      <c r="A280" s="463" t="s">
        <v>442</v>
      </c>
      <c r="B280" s="415"/>
      <c r="C280" s="415"/>
      <c r="D280" s="415"/>
      <c r="E280" s="415"/>
      <c r="F280" s="415"/>
      <c r="G280" s="415"/>
      <c r="H280" s="415"/>
      <c r="I280" s="415"/>
      <c r="J280" s="415"/>
      <c r="K280" s="415"/>
      <c r="L280" s="415"/>
      <c r="M280" s="415"/>
      <c r="N280" s="415"/>
      <c r="O280" s="415"/>
      <c r="P280" s="415"/>
      <c r="Q280" s="415"/>
      <c r="R280" s="415"/>
      <c r="S280" s="415"/>
      <c r="T280" s="415"/>
      <c r="U280" s="415"/>
      <c r="V280" s="415"/>
      <c r="W280" s="415"/>
      <c r="X280" s="415"/>
      <c r="Y280" s="415"/>
      <c r="Z280" s="415"/>
      <c r="AA280" s="396"/>
      <c r="AB280" s="396"/>
      <c r="AC280" s="396"/>
    </row>
    <row r="281" spans="1:68" ht="14.25" customHeight="1" x14ac:dyDescent="0.25">
      <c r="A281" s="414" t="s">
        <v>86</v>
      </c>
      <c r="B281" s="415"/>
      <c r="C281" s="415"/>
      <c r="D281" s="415"/>
      <c r="E281" s="415"/>
      <c r="F281" s="415"/>
      <c r="G281" s="415"/>
      <c r="H281" s="415"/>
      <c r="I281" s="415"/>
      <c r="J281" s="415"/>
      <c r="K281" s="415"/>
      <c r="L281" s="415"/>
      <c r="M281" s="415"/>
      <c r="N281" s="415"/>
      <c r="O281" s="415"/>
      <c r="P281" s="415"/>
      <c r="Q281" s="415"/>
      <c r="R281" s="415"/>
      <c r="S281" s="415"/>
      <c r="T281" s="415"/>
      <c r="U281" s="415"/>
      <c r="V281" s="415"/>
      <c r="W281" s="415"/>
      <c r="X281" s="415"/>
      <c r="Y281" s="415"/>
      <c r="Z281" s="415"/>
      <c r="AA281" s="397"/>
      <c r="AB281" s="397"/>
      <c r="AC281" s="397"/>
    </row>
    <row r="282" spans="1:68" ht="37.5" customHeight="1" x14ac:dyDescent="0.25">
      <c r="A282" s="55" t="s">
        <v>443</v>
      </c>
      <c r="B282" s="55" t="s">
        <v>444</v>
      </c>
      <c r="C282" s="32">
        <v>4301011873</v>
      </c>
      <c r="D282" s="416">
        <v>4680115881907</v>
      </c>
      <c r="E282" s="417"/>
      <c r="F282" s="400">
        <v>1.8</v>
      </c>
      <c r="G282" s="33">
        <v>6</v>
      </c>
      <c r="H282" s="400">
        <v>10.8</v>
      </c>
      <c r="I282" s="400">
        <v>11.234999999999999</v>
      </c>
      <c r="J282" s="33">
        <v>64</v>
      </c>
      <c r="K282" s="33" t="s">
        <v>89</v>
      </c>
      <c r="L282" s="33"/>
      <c r="M282" s="34" t="s">
        <v>70</v>
      </c>
      <c r="N282" s="34"/>
      <c r="O282" s="33">
        <v>60</v>
      </c>
      <c r="P282" s="59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282" s="406"/>
      <c r="R282" s="406"/>
      <c r="S282" s="406"/>
      <c r="T282" s="407"/>
      <c r="U282" s="35"/>
      <c r="V282" s="35"/>
      <c r="W282" s="36" t="s">
        <v>71</v>
      </c>
      <c r="X282" s="401">
        <v>0</v>
      </c>
      <c r="Y282" s="402">
        <f>IFERROR(IF(X282="",0,CEILING((X282/$H282),1)*$H282),"")</f>
        <v>0</v>
      </c>
      <c r="Z282" s="37" t="str">
        <f>IFERROR(IF(Y282=0,"",ROUNDUP(Y282/H282,0)*0.01898),"")</f>
        <v/>
      </c>
      <c r="AA282" s="57"/>
      <c r="AB282" s="58"/>
      <c r="AC282" s="316" t="s">
        <v>445</v>
      </c>
      <c r="AG282" s="65"/>
      <c r="AJ282" s="69"/>
      <c r="AK282" s="69">
        <v>0</v>
      </c>
      <c r="BB282" s="317" t="s">
        <v>1</v>
      </c>
      <c r="BM282" s="65">
        <f>IFERROR(X282*I282/H282,"0")</f>
        <v>0</v>
      </c>
      <c r="BN282" s="65">
        <f>IFERROR(Y282*I282/H282,"0")</f>
        <v>0</v>
      </c>
      <c r="BO282" s="65">
        <f>IFERROR(1/J282*(X282/H282),"0")</f>
        <v>0</v>
      </c>
      <c r="BP282" s="65">
        <f>IFERROR(1/J282*(Y282/H282),"0")</f>
        <v>0</v>
      </c>
    </row>
    <row r="283" spans="1:68" ht="37.5" customHeight="1" x14ac:dyDescent="0.25">
      <c r="A283" s="55" t="s">
        <v>446</v>
      </c>
      <c r="B283" s="55" t="s">
        <v>447</v>
      </c>
      <c r="C283" s="32">
        <v>4301011874</v>
      </c>
      <c r="D283" s="416">
        <v>4680115884892</v>
      </c>
      <c r="E283" s="417"/>
      <c r="F283" s="400">
        <v>1.8</v>
      </c>
      <c r="G283" s="33">
        <v>6</v>
      </c>
      <c r="H283" s="400">
        <v>10.8</v>
      </c>
      <c r="I283" s="400">
        <v>11.234999999999999</v>
      </c>
      <c r="J283" s="33">
        <v>64</v>
      </c>
      <c r="K283" s="33" t="s">
        <v>89</v>
      </c>
      <c r="L283" s="33"/>
      <c r="M283" s="34" t="s">
        <v>70</v>
      </c>
      <c r="N283" s="34"/>
      <c r="O283" s="33">
        <v>60</v>
      </c>
      <c r="P283" s="52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283" s="406"/>
      <c r="R283" s="406"/>
      <c r="S283" s="406"/>
      <c r="T283" s="407"/>
      <c r="U283" s="35"/>
      <c r="V283" s="35"/>
      <c r="W283" s="36" t="s">
        <v>71</v>
      </c>
      <c r="X283" s="401">
        <v>0</v>
      </c>
      <c r="Y283" s="402">
        <f>IFERROR(IF(X283="",0,CEILING((X283/$H283),1)*$H283),"")</f>
        <v>0</v>
      </c>
      <c r="Z283" s="37" t="str">
        <f>IFERROR(IF(Y283=0,"",ROUNDUP(Y283/H283,0)*0.01898),"")</f>
        <v/>
      </c>
      <c r="AA283" s="57"/>
      <c r="AB283" s="58"/>
      <c r="AC283" s="318" t="s">
        <v>448</v>
      </c>
      <c r="AG283" s="65"/>
      <c r="AJ283" s="69"/>
      <c r="AK283" s="69">
        <v>0</v>
      </c>
      <c r="BB283" s="319" t="s">
        <v>1</v>
      </c>
      <c r="BM283" s="65">
        <f>IFERROR(X283*I283/H283,"0")</f>
        <v>0</v>
      </c>
      <c r="BN283" s="65">
        <f>IFERROR(Y283*I283/H283,"0")</f>
        <v>0</v>
      </c>
      <c r="BO283" s="65">
        <f>IFERROR(1/J283*(X283/H283),"0")</f>
        <v>0</v>
      </c>
      <c r="BP283" s="65">
        <f>IFERROR(1/J283*(Y283/H283),"0")</f>
        <v>0</v>
      </c>
    </row>
    <row r="284" spans="1:68" ht="37.5" customHeight="1" x14ac:dyDescent="0.25">
      <c r="A284" s="55" t="s">
        <v>449</v>
      </c>
      <c r="B284" s="55" t="s">
        <v>450</v>
      </c>
      <c r="C284" s="32">
        <v>4301011875</v>
      </c>
      <c r="D284" s="416">
        <v>4680115884885</v>
      </c>
      <c r="E284" s="417"/>
      <c r="F284" s="400">
        <v>0.8</v>
      </c>
      <c r="G284" s="33">
        <v>15</v>
      </c>
      <c r="H284" s="400">
        <v>12</v>
      </c>
      <c r="I284" s="400">
        <v>12.435</v>
      </c>
      <c r="J284" s="33">
        <v>64</v>
      </c>
      <c r="K284" s="33" t="s">
        <v>89</v>
      </c>
      <c r="L284" s="33"/>
      <c r="M284" s="34" t="s">
        <v>70</v>
      </c>
      <c r="N284" s="34"/>
      <c r="O284" s="33">
        <v>60</v>
      </c>
      <c r="P284" s="47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284" s="406"/>
      <c r="R284" s="406"/>
      <c r="S284" s="406"/>
      <c r="T284" s="407"/>
      <c r="U284" s="35"/>
      <c r="V284" s="35"/>
      <c r="W284" s="36" t="s">
        <v>71</v>
      </c>
      <c r="X284" s="401">
        <v>200</v>
      </c>
      <c r="Y284" s="402">
        <f>IFERROR(IF(X284="",0,CEILING((X284/$H284),1)*$H284),"")</f>
        <v>204</v>
      </c>
      <c r="Z284" s="37">
        <f>IFERROR(IF(Y284=0,"",ROUNDUP(Y284/H284,0)*0.01898),"")</f>
        <v>0.32266</v>
      </c>
      <c r="AA284" s="57"/>
      <c r="AB284" s="58"/>
      <c r="AC284" s="320" t="s">
        <v>448</v>
      </c>
      <c r="AG284" s="65"/>
      <c r="AJ284" s="69"/>
      <c r="AK284" s="69">
        <v>0</v>
      </c>
      <c r="BB284" s="321" t="s">
        <v>1</v>
      </c>
      <c r="BM284" s="65">
        <f>IFERROR(X284*I284/H284,"0")</f>
        <v>207.25</v>
      </c>
      <c r="BN284" s="65">
        <f>IFERROR(Y284*I284/H284,"0")</f>
        <v>211.39500000000001</v>
      </c>
      <c r="BO284" s="65">
        <f>IFERROR(1/J284*(X284/H284),"0")</f>
        <v>0.26041666666666669</v>
      </c>
      <c r="BP284" s="65">
        <f>IFERROR(1/J284*(Y284/H284),"0")</f>
        <v>0.265625</v>
      </c>
    </row>
    <row r="285" spans="1:68" ht="37.5" customHeight="1" x14ac:dyDescent="0.25">
      <c r="A285" s="55" t="s">
        <v>451</v>
      </c>
      <c r="B285" s="55" t="s">
        <v>452</v>
      </c>
      <c r="C285" s="32">
        <v>4301011871</v>
      </c>
      <c r="D285" s="416">
        <v>4680115884908</v>
      </c>
      <c r="E285" s="417"/>
      <c r="F285" s="400">
        <v>0.4</v>
      </c>
      <c r="G285" s="33">
        <v>10</v>
      </c>
      <c r="H285" s="400">
        <v>4</v>
      </c>
      <c r="I285" s="400">
        <v>4.21</v>
      </c>
      <c r="J285" s="33">
        <v>132</v>
      </c>
      <c r="K285" s="33" t="s">
        <v>94</v>
      </c>
      <c r="L285" s="33"/>
      <c r="M285" s="34" t="s">
        <v>70</v>
      </c>
      <c r="N285" s="34"/>
      <c r="O285" s="33">
        <v>60</v>
      </c>
      <c r="P285" s="5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285" s="406"/>
      <c r="R285" s="406"/>
      <c r="S285" s="406"/>
      <c r="T285" s="407"/>
      <c r="U285" s="35"/>
      <c r="V285" s="35"/>
      <c r="W285" s="36" t="s">
        <v>71</v>
      </c>
      <c r="X285" s="401">
        <v>0</v>
      </c>
      <c r="Y285" s="402">
        <f>IFERROR(IF(X285="",0,CEILING((X285/$H285),1)*$H285),"")</f>
        <v>0</v>
      </c>
      <c r="Z285" s="37" t="str">
        <f>IFERROR(IF(Y285=0,"",ROUNDUP(Y285/H285,0)*0.00902),"")</f>
        <v/>
      </c>
      <c r="AA285" s="57"/>
      <c r="AB285" s="58"/>
      <c r="AC285" s="322" t="s">
        <v>448</v>
      </c>
      <c r="AG285" s="65"/>
      <c r="AJ285" s="69"/>
      <c r="AK285" s="69">
        <v>0</v>
      </c>
      <c r="BB285" s="323" t="s">
        <v>1</v>
      </c>
      <c r="BM285" s="65">
        <f>IFERROR(X285*I285/H285,"0")</f>
        <v>0</v>
      </c>
      <c r="BN285" s="65">
        <f>IFERROR(Y285*I285/H285,"0")</f>
        <v>0</v>
      </c>
      <c r="BO285" s="65">
        <f>IFERROR(1/J285*(X285/H285),"0")</f>
        <v>0</v>
      </c>
      <c r="BP285" s="65">
        <f>IFERROR(1/J285*(Y285/H285),"0")</f>
        <v>0</v>
      </c>
    </row>
    <row r="286" spans="1:68" x14ac:dyDescent="0.2">
      <c r="A286" s="425"/>
      <c r="B286" s="415"/>
      <c r="C286" s="415"/>
      <c r="D286" s="415"/>
      <c r="E286" s="415"/>
      <c r="F286" s="415"/>
      <c r="G286" s="415"/>
      <c r="H286" s="415"/>
      <c r="I286" s="415"/>
      <c r="J286" s="415"/>
      <c r="K286" s="415"/>
      <c r="L286" s="415"/>
      <c r="M286" s="415"/>
      <c r="N286" s="415"/>
      <c r="O286" s="426"/>
      <c r="P286" s="411" t="s">
        <v>76</v>
      </c>
      <c r="Q286" s="412"/>
      <c r="R286" s="412"/>
      <c r="S286" s="412"/>
      <c r="T286" s="412"/>
      <c r="U286" s="412"/>
      <c r="V286" s="413"/>
      <c r="W286" s="38" t="s">
        <v>77</v>
      </c>
      <c r="X286" s="403">
        <f>IFERROR(X282/H282,"0")+IFERROR(X283/H283,"0")+IFERROR(X284/H284,"0")+IFERROR(X285/H285,"0")</f>
        <v>16.666666666666668</v>
      </c>
      <c r="Y286" s="403">
        <f>IFERROR(Y282/H282,"0")+IFERROR(Y283/H283,"0")+IFERROR(Y284/H284,"0")+IFERROR(Y285/H285,"0")</f>
        <v>17</v>
      </c>
      <c r="Z286" s="403">
        <f>IFERROR(IF(Z282="",0,Z282),"0")+IFERROR(IF(Z283="",0,Z283),"0")+IFERROR(IF(Z284="",0,Z284),"0")+IFERROR(IF(Z285="",0,Z285),"0")</f>
        <v>0.32266</v>
      </c>
      <c r="AA286" s="404"/>
      <c r="AB286" s="404"/>
      <c r="AC286" s="404"/>
    </row>
    <row r="287" spans="1:68" x14ac:dyDescent="0.2">
      <c r="A287" s="415"/>
      <c r="B287" s="415"/>
      <c r="C287" s="415"/>
      <c r="D287" s="415"/>
      <c r="E287" s="415"/>
      <c r="F287" s="415"/>
      <c r="G287" s="415"/>
      <c r="H287" s="415"/>
      <c r="I287" s="415"/>
      <c r="J287" s="415"/>
      <c r="K287" s="415"/>
      <c r="L287" s="415"/>
      <c r="M287" s="415"/>
      <c r="N287" s="415"/>
      <c r="O287" s="426"/>
      <c r="P287" s="411" t="s">
        <v>76</v>
      </c>
      <c r="Q287" s="412"/>
      <c r="R287" s="412"/>
      <c r="S287" s="412"/>
      <c r="T287" s="412"/>
      <c r="U287" s="412"/>
      <c r="V287" s="413"/>
      <c r="W287" s="38" t="s">
        <v>71</v>
      </c>
      <c r="X287" s="403">
        <f>IFERROR(SUM(X282:X285),"0")</f>
        <v>200</v>
      </c>
      <c r="Y287" s="403">
        <f>IFERROR(SUM(Y282:Y285),"0")</f>
        <v>204</v>
      </c>
      <c r="Z287" s="38"/>
      <c r="AA287" s="404"/>
      <c r="AB287" s="404"/>
      <c r="AC287" s="404"/>
    </row>
    <row r="288" spans="1:68" ht="14.25" customHeight="1" x14ac:dyDescent="0.25">
      <c r="A288" s="414" t="s">
        <v>185</v>
      </c>
      <c r="B288" s="415"/>
      <c r="C288" s="415"/>
      <c r="D288" s="415"/>
      <c r="E288" s="415"/>
      <c r="F288" s="415"/>
      <c r="G288" s="415"/>
      <c r="H288" s="415"/>
      <c r="I288" s="415"/>
      <c r="J288" s="415"/>
      <c r="K288" s="415"/>
      <c r="L288" s="415"/>
      <c r="M288" s="415"/>
      <c r="N288" s="415"/>
      <c r="O288" s="415"/>
      <c r="P288" s="415"/>
      <c r="Q288" s="415"/>
      <c r="R288" s="415"/>
      <c r="S288" s="415"/>
      <c r="T288" s="415"/>
      <c r="U288" s="415"/>
      <c r="V288" s="415"/>
      <c r="W288" s="415"/>
      <c r="X288" s="415"/>
      <c r="Y288" s="415"/>
      <c r="Z288" s="415"/>
      <c r="AA288" s="397"/>
      <c r="AB288" s="397"/>
      <c r="AC288" s="397"/>
    </row>
    <row r="289" spans="1:68" ht="27" customHeight="1" x14ac:dyDescent="0.25">
      <c r="A289" s="55" t="s">
        <v>453</v>
      </c>
      <c r="B289" s="55" t="s">
        <v>454</v>
      </c>
      <c r="C289" s="32">
        <v>4301031303</v>
      </c>
      <c r="D289" s="416">
        <v>4607091384802</v>
      </c>
      <c r="E289" s="417"/>
      <c r="F289" s="400">
        <v>0.73</v>
      </c>
      <c r="G289" s="33">
        <v>6</v>
      </c>
      <c r="H289" s="400">
        <v>4.38</v>
      </c>
      <c r="I289" s="400">
        <v>4.6500000000000004</v>
      </c>
      <c r="J289" s="33">
        <v>132</v>
      </c>
      <c r="K289" s="33" t="s">
        <v>94</v>
      </c>
      <c r="L289" s="33"/>
      <c r="M289" s="34" t="s">
        <v>70</v>
      </c>
      <c r="N289" s="34"/>
      <c r="O289" s="33">
        <v>35</v>
      </c>
      <c r="P289" s="51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289" s="406"/>
      <c r="R289" s="406"/>
      <c r="S289" s="406"/>
      <c r="T289" s="407"/>
      <c r="U289" s="35"/>
      <c r="V289" s="35"/>
      <c r="W289" s="36" t="s">
        <v>71</v>
      </c>
      <c r="X289" s="401">
        <v>0</v>
      </c>
      <c r="Y289" s="402">
        <f>IFERROR(IF(X289="",0,CEILING((X289/$H289),1)*$H289),"")</f>
        <v>0</v>
      </c>
      <c r="Z289" s="37" t="str">
        <f>IFERROR(IF(Y289=0,"",ROUNDUP(Y289/H289,0)*0.00902),"")</f>
        <v/>
      </c>
      <c r="AA289" s="57"/>
      <c r="AB289" s="58"/>
      <c r="AC289" s="324" t="s">
        <v>455</v>
      </c>
      <c r="AG289" s="65"/>
      <c r="AJ289" s="69"/>
      <c r="AK289" s="69">
        <v>0</v>
      </c>
      <c r="BB289" s="325" t="s">
        <v>1</v>
      </c>
      <c r="BM289" s="65">
        <f>IFERROR(X289*I289/H289,"0")</f>
        <v>0</v>
      </c>
      <c r="BN289" s="65">
        <f>IFERROR(Y289*I289/H289,"0")</f>
        <v>0</v>
      </c>
      <c r="BO289" s="65">
        <f>IFERROR(1/J289*(X289/H289),"0")</f>
        <v>0</v>
      </c>
      <c r="BP289" s="65">
        <f>IFERROR(1/J289*(Y289/H289),"0")</f>
        <v>0</v>
      </c>
    </row>
    <row r="290" spans="1:68" x14ac:dyDescent="0.2">
      <c r="A290" s="425"/>
      <c r="B290" s="415"/>
      <c r="C290" s="415"/>
      <c r="D290" s="415"/>
      <c r="E290" s="415"/>
      <c r="F290" s="415"/>
      <c r="G290" s="415"/>
      <c r="H290" s="415"/>
      <c r="I290" s="415"/>
      <c r="J290" s="415"/>
      <c r="K290" s="415"/>
      <c r="L290" s="415"/>
      <c r="M290" s="415"/>
      <c r="N290" s="415"/>
      <c r="O290" s="426"/>
      <c r="P290" s="411" t="s">
        <v>76</v>
      </c>
      <c r="Q290" s="412"/>
      <c r="R290" s="412"/>
      <c r="S290" s="412"/>
      <c r="T290" s="412"/>
      <c r="U290" s="412"/>
      <c r="V290" s="413"/>
      <c r="W290" s="38" t="s">
        <v>77</v>
      </c>
      <c r="X290" s="403">
        <f>IFERROR(X289/H289,"0")</f>
        <v>0</v>
      </c>
      <c r="Y290" s="403">
        <f>IFERROR(Y289/H289,"0")</f>
        <v>0</v>
      </c>
      <c r="Z290" s="403">
        <f>IFERROR(IF(Z289="",0,Z289),"0")</f>
        <v>0</v>
      </c>
      <c r="AA290" s="404"/>
      <c r="AB290" s="404"/>
      <c r="AC290" s="404"/>
    </row>
    <row r="291" spans="1:68" x14ac:dyDescent="0.2">
      <c r="A291" s="415"/>
      <c r="B291" s="415"/>
      <c r="C291" s="415"/>
      <c r="D291" s="415"/>
      <c r="E291" s="415"/>
      <c r="F291" s="415"/>
      <c r="G291" s="415"/>
      <c r="H291" s="415"/>
      <c r="I291" s="415"/>
      <c r="J291" s="415"/>
      <c r="K291" s="415"/>
      <c r="L291" s="415"/>
      <c r="M291" s="415"/>
      <c r="N291" s="415"/>
      <c r="O291" s="426"/>
      <c r="P291" s="411" t="s">
        <v>76</v>
      </c>
      <c r="Q291" s="412"/>
      <c r="R291" s="412"/>
      <c r="S291" s="412"/>
      <c r="T291" s="412"/>
      <c r="U291" s="412"/>
      <c r="V291" s="413"/>
      <c r="W291" s="38" t="s">
        <v>71</v>
      </c>
      <c r="X291" s="403">
        <f>IFERROR(SUM(X289:X289),"0")</f>
        <v>0</v>
      </c>
      <c r="Y291" s="403">
        <f>IFERROR(SUM(Y289:Y289),"0")</f>
        <v>0</v>
      </c>
      <c r="Z291" s="38"/>
      <c r="AA291" s="404"/>
      <c r="AB291" s="404"/>
      <c r="AC291" s="404"/>
    </row>
    <row r="292" spans="1:68" ht="14.25" customHeight="1" x14ac:dyDescent="0.25">
      <c r="A292" s="414" t="s">
        <v>66</v>
      </c>
      <c r="B292" s="415"/>
      <c r="C292" s="415"/>
      <c r="D292" s="415"/>
      <c r="E292" s="415"/>
      <c r="F292" s="415"/>
      <c r="G292" s="415"/>
      <c r="H292" s="415"/>
      <c r="I292" s="415"/>
      <c r="J292" s="415"/>
      <c r="K292" s="415"/>
      <c r="L292" s="415"/>
      <c r="M292" s="415"/>
      <c r="N292" s="415"/>
      <c r="O292" s="415"/>
      <c r="P292" s="415"/>
      <c r="Q292" s="415"/>
      <c r="R292" s="415"/>
      <c r="S292" s="415"/>
      <c r="T292" s="415"/>
      <c r="U292" s="415"/>
      <c r="V292" s="415"/>
      <c r="W292" s="415"/>
      <c r="X292" s="415"/>
      <c r="Y292" s="415"/>
      <c r="Z292" s="415"/>
      <c r="AA292" s="397"/>
      <c r="AB292" s="397"/>
      <c r="AC292" s="397"/>
    </row>
    <row r="293" spans="1:68" ht="27" customHeight="1" x14ac:dyDescent="0.25">
      <c r="A293" s="55" t="s">
        <v>456</v>
      </c>
      <c r="B293" s="55" t="s">
        <v>457</v>
      </c>
      <c r="C293" s="32">
        <v>4301051899</v>
      </c>
      <c r="D293" s="416">
        <v>4607091384246</v>
      </c>
      <c r="E293" s="417"/>
      <c r="F293" s="400">
        <v>1.5</v>
      </c>
      <c r="G293" s="33">
        <v>6</v>
      </c>
      <c r="H293" s="400">
        <v>9</v>
      </c>
      <c r="I293" s="400">
        <v>9.5190000000000001</v>
      </c>
      <c r="J293" s="33">
        <v>64</v>
      </c>
      <c r="K293" s="33" t="s">
        <v>89</v>
      </c>
      <c r="L293" s="33"/>
      <c r="M293" s="34" t="s">
        <v>95</v>
      </c>
      <c r="N293" s="34"/>
      <c r="O293" s="33">
        <v>40</v>
      </c>
      <c r="P293" s="64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293" s="406"/>
      <c r="R293" s="406"/>
      <c r="S293" s="406"/>
      <c r="T293" s="407"/>
      <c r="U293" s="35"/>
      <c r="V293" s="35"/>
      <c r="W293" s="36" t="s">
        <v>71</v>
      </c>
      <c r="X293" s="401">
        <v>1120</v>
      </c>
      <c r="Y293" s="402">
        <f>IFERROR(IF(X293="",0,CEILING((X293/$H293),1)*$H293),"")</f>
        <v>1125</v>
      </c>
      <c r="Z293" s="37">
        <f>IFERROR(IF(Y293=0,"",ROUNDUP(Y293/H293,0)*0.01898),"")</f>
        <v>2.3725000000000001</v>
      </c>
      <c r="AA293" s="57"/>
      <c r="AB293" s="58"/>
      <c r="AC293" s="326" t="s">
        <v>458</v>
      </c>
      <c r="AG293" s="65"/>
      <c r="AJ293" s="69"/>
      <c r="AK293" s="69">
        <v>0</v>
      </c>
      <c r="BB293" s="327" t="s">
        <v>1</v>
      </c>
      <c r="BM293" s="65">
        <f>IFERROR(X293*I293/H293,"0")</f>
        <v>1184.5866666666668</v>
      </c>
      <c r="BN293" s="65">
        <f>IFERROR(Y293*I293/H293,"0")</f>
        <v>1189.875</v>
      </c>
      <c r="BO293" s="65">
        <f>IFERROR(1/J293*(X293/H293),"0")</f>
        <v>1.9444444444444444</v>
      </c>
      <c r="BP293" s="65">
        <f>IFERROR(1/J293*(Y293/H293),"0")</f>
        <v>1.953125</v>
      </c>
    </row>
    <row r="294" spans="1:68" ht="27" customHeight="1" x14ac:dyDescent="0.25">
      <c r="A294" s="55" t="s">
        <v>459</v>
      </c>
      <c r="B294" s="55" t="s">
        <v>460</v>
      </c>
      <c r="C294" s="32">
        <v>4301051660</v>
      </c>
      <c r="D294" s="416">
        <v>4607091384253</v>
      </c>
      <c r="E294" s="417"/>
      <c r="F294" s="400">
        <v>0.4</v>
      </c>
      <c r="G294" s="33">
        <v>6</v>
      </c>
      <c r="H294" s="400">
        <v>2.4</v>
      </c>
      <c r="I294" s="400">
        <v>2.6640000000000001</v>
      </c>
      <c r="J294" s="33">
        <v>182</v>
      </c>
      <c r="K294" s="33" t="s">
        <v>69</v>
      </c>
      <c r="L294" s="33"/>
      <c r="M294" s="34" t="s">
        <v>95</v>
      </c>
      <c r="N294" s="34"/>
      <c r="O294" s="33">
        <v>40</v>
      </c>
      <c r="P294" s="64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294" s="406"/>
      <c r="R294" s="406"/>
      <c r="S294" s="406"/>
      <c r="T294" s="407"/>
      <c r="U294" s="35"/>
      <c r="V294" s="35"/>
      <c r="W294" s="36" t="s">
        <v>71</v>
      </c>
      <c r="X294" s="401">
        <v>250</v>
      </c>
      <c r="Y294" s="402">
        <f>IFERROR(IF(X294="",0,CEILING((X294/$H294),1)*$H294),"")</f>
        <v>252</v>
      </c>
      <c r="Z294" s="37">
        <f>IFERROR(IF(Y294=0,"",ROUNDUP(Y294/H294,0)*0.00651),"")</f>
        <v>0.68354999999999999</v>
      </c>
      <c r="AA294" s="57"/>
      <c r="AB294" s="58"/>
      <c r="AC294" s="328" t="s">
        <v>458</v>
      </c>
      <c r="AG294" s="65"/>
      <c r="AJ294" s="69"/>
      <c r="AK294" s="69">
        <v>0</v>
      </c>
      <c r="BB294" s="329" t="s">
        <v>1</v>
      </c>
      <c r="BM294" s="65">
        <f>IFERROR(X294*I294/H294,"0")</f>
        <v>277.5</v>
      </c>
      <c r="BN294" s="65">
        <f>IFERROR(Y294*I294/H294,"0")</f>
        <v>279.72000000000003</v>
      </c>
      <c r="BO294" s="65">
        <f>IFERROR(1/J294*(X294/H294),"0")</f>
        <v>0.57234432234432242</v>
      </c>
      <c r="BP294" s="65">
        <f>IFERROR(1/J294*(Y294/H294),"0")</f>
        <v>0.57692307692307698</v>
      </c>
    </row>
    <row r="295" spans="1:68" x14ac:dyDescent="0.2">
      <c r="A295" s="425"/>
      <c r="B295" s="415"/>
      <c r="C295" s="415"/>
      <c r="D295" s="415"/>
      <c r="E295" s="415"/>
      <c r="F295" s="415"/>
      <c r="G295" s="415"/>
      <c r="H295" s="415"/>
      <c r="I295" s="415"/>
      <c r="J295" s="415"/>
      <c r="K295" s="415"/>
      <c r="L295" s="415"/>
      <c r="M295" s="415"/>
      <c r="N295" s="415"/>
      <c r="O295" s="426"/>
      <c r="P295" s="411" t="s">
        <v>76</v>
      </c>
      <c r="Q295" s="412"/>
      <c r="R295" s="412"/>
      <c r="S295" s="412"/>
      <c r="T295" s="412"/>
      <c r="U295" s="412"/>
      <c r="V295" s="413"/>
      <c r="W295" s="38" t="s">
        <v>77</v>
      </c>
      <c r="X295" s="403">
        <f>IFERROR(X293/H293,"0")+IFERROR(X294/H294,"0")</f>
        <v>228.61111111111111</v>
      </c>
      <c r="Y295" s="403">
        <f>IFERROR(Y293/H293,"0")+IFERROR(Y294/H294,"0")</f>
        <v>230</v>
      </c>
      <c r="Z295" s="403">
        <f>IFERROR(IF(Z293="",0,Z293),"0")+IFERROR(IF(Z294="",0,Z294),"0")</f>
        <v>3.0560499999999999</v>
      </c>
      <c r="AA295" s="404"/>
      <c r="AB295" s="404"/>
      <c r="AC295" s="404"/>
    </row>
    <row r="296" spans="1:68" x14ac:dyDescent="0.2">
      <c r="A296" s="415"/>
      <c r="B296" s="415"/>
      <c r="C296" s="415"/>
      <c r="D296" s="415"/>
      <c r="E296" s="415"/>
      <c r="F296" s="415"/>
      <c r="G296" s="415"/>
      <c r="H296" s="415"/>
      <c r="I296" s="415"/>
      <c r="J296" s="415"/>
      <c r="K296" s="415"/>
      <c r="L296" s="415"/>
      <c r="M296" s="415"/>
      <c r="N296" s="415"/>
      <c r="O296" s="426"/>
      <c r="P296" s="411" t="s">
        <v>76</v>
      </c>
      <c r="Q296" s="412"/>
      <c r="R296" s="412"/>
      <c r="S296" s="412"/>
      <c r="T296" s="412"/>
      <c r="U296" s="412"/>
      <c r="V296" s="413"/>
      <c r="W296" s="38" t="s">
        <v>71</v>
      </c>
      <c r="X296" s="403">
        <f>IFERROR(SUM(X293:X294),"0")</f>
        <v>1370</v>
      </c>
      <c r="Y296" s="403">
        <f>IFERROR(SUM(Y293:Y294),"0")</f>
        <v>1377</v>
      </c>
      <c r="Z296" s="38"/>
      <c r="AA296" s="404"/>
      <c r="AB296" s="404"/>
      <c r="AC296" s="404"/>
    </row>
    <row r="297" spans="1:68" ht="14.25" customHeight="1" x14ac:dyDescent="0.25">
      <c r="A297" s="414" t="s">
        <v>131</v>
      </c>
      <c r="B297" s="415"/>
      <c r="C297" s="415"/>
      <c r="D297" s="415"/>
      <c r="E297" s="415"/>
      <c r="F297" s="415"/>
      <c r="G297" s="415"/>
      <c r="H297" s="415"/>
      <c r="I297" s="415"/>
      <c r="J297" s="415"/>
      <c r="K297" s="415"/>
      <c r="L297" s="415"/>
      <c r="M297" s="415"/>
      <c r="N297" s="415"/>
      <c r="O297" s="415"/>
      <c r="P297" s="415"/>
      <c r="Q297" s="415"/>
      <c r="R297" s="415"/>
      <c r="S297" s="415"/>
      <c r="T297" s="415"/>
      <c r="U297" s="415"/>
      <c r="V297" s="415"/>
      <c r="W297" s="415"/>
      <c r="X297" s="415"/>
      <c r="Y297" s="415"/>
      <c r="Z297" s="415"/>
      <c r="AA297" s="397"/>
      <c r="AB297" s="397"/>
      <c r="AC297" s="397"/>
    </row>
    <row r="298" spans="1:68" ht="27" customHeight="1" x14ac:dyDescent="0.25">
      <c r="A298" s="55" t="s">
        <v>461</v>
      </c>
      <c r="B298" s="55" t="s">
        <v>462</v>
      </c>
      <c r="C298" s="32">
        <v>4301060441</v>
      </c>
      <c r="D298" s="416">
        <v>4607091389357</v>
      </c>
      <c r="E298" s="417"/>
      <c r="F298" s="400">
        <v>1.5</v>
      </c>
      <c r="G298" s="33">
        <v>6</v>
      </c>
      <c r="H298" s="400">
        <v>9</v>
      </c>
      <c r="I298" s="400">
        <v>9.4350000000000005</v>
      </c>
      <c r="J298" s="33">
        <v>64</v>
      </c>
      <c r="K298" s="33" t="s">
        <v>89</v>
      </c>
      <c r="L298" s="33"/>
      <c r="M298" s="34" t="s">
        <v>95</v>
      </c>
      <c r="N298" s="34"/>
      <c r="O298" s="33">
        <v>40</v>
      </c>
      <c r="P298" s="61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298" s="406"/>
      <c r="R298" s="406"/>
      <c r="S298" s="406"/>
      <c r="T298" s="407"/>
      <c r="U298" s="35"/>
      <c r="V298" s="35"/>
      <c r="W298" s="36" t="s">
        <v>71</v>
      </c>
      <c r="X298" s="401">
        <v>350</v>
      </c>
      <c r="Y298" s="402">
        <f>IFERROR(IF(X298="",0,CEILING((X298/$H298),1)*$H298),"")</f>
        <v>351</v>
      </c>
      <c r="Z298" s="37">
        <f>IFERROR(IF(Y298=0,"",ROUNDUP(Y298/H298,0)*0.01898),"")</f>
        <v>0.74021999999999999</v>
      </c>
      <c r="AA298" s="57"/>
      <c r="AB298" s="58"/>
      <c r="AC298" s="330" t="s">
        <v>463</v>
      </c>
      <c r="AG298" s="65"/>
      <c r="AJ298" s="69"/>
      <c r="AK298" s="69">
        <v>0</v>
      </c>
      <c r="BB298" s="331" t="s">
        <v>1</v>
      </c>
      <c r="BM298" s="65">
        <f>IFERROR(X298*I298/H298,"0")</f>
        <v>366.91666666666669</v>
      </c>
      <c r="BN298" s="65">
        <f>IFERROR(Y298*I298/H298,"0")</f>
        <v>367.96500000000003</v>
      </c>
      <c r="BO298" s="65">
        <f>IFERROR(1/J298*(X298/H298),"0")</f>
        <v>0.60763888888888884</v>
      </c>
      <c r="BP298" s="65">
        <f>IFERROR(1/J298*(Y298/H298),"0")</f>
        <v>0.609375</v>
      </c>
    </row>
    <row r="299" spans="1:68" x14ac:dyDescent="0.2">
      <c r="A299" s="425"/>
      <c r="B299" s="415"/>
      <c r="C299" s="415"/>
      <c r="D299" s="415"/>
      <c r="E299" s="415"/>
      <c r="F299" s="415"/>
      <c r="G299" s="415"/>
      <c r="H299" s="415"/>
      <c r="I299" s="415"/>
      <c r="J299" s="415"/>
      <c r="K299" s="415"/>
      <c r="L299" s="415"/>
      <c r="M299" s="415"/>
      <c r="N299" s="415"/>
      <c r="O299" s="426"/>
      <c r="P299" s="411" t="s">
        <v>76</v>
      </c>
      <c r="Q299" s="412"/>
      <c r="R299" s="412"/>
      <c r="S299" s="412"/>
      <c r="T299" s="412"/>
      <c r="U299" s="412"/>
      <c r="V299" s="413"/>
      <c r="W299" s="38" t="s">
        <v>77</v>
      </c>
      <c r="X299" s="403">
        <f>IFERROR(X298/H298,"0")</f>
        <v>38.888888888888886</v>
      </c>
      <c r="Y299" s="403">
        <f>IFERROR(Y298/H298,"0")</f>
        <v>39</v>
      </c>
      <c r="Z299" s="403">
        <f>IFERROR(IF(Z298="",0,Z298),"0")</f>
        <v>0.74021999999999999</v>
      </c>
      <c r="AA299" s="404"/>
      <c r="AB299" s="404"/>
      <c r="AC299" s="404"/>
    </row>
    <row r="300" spans="1:68" x14ac:dyDescent="0.2">
      <c r="A300" s="415"/>
      <c r="B300" s="415"/>
      <c r="C300" s="415"/>
      <c r="D300" s="415"/>
      <c r="E300" s="415"/>
      <c r="F300" s="415"/>
      <c r="G300" s="415"/>
      <c r="H300" s="415"/>
      <c r="I300" s="415"/>
      <c r="J300" s="415"/>
      <c r="K300" s="415"/>
      <c r="L300" s="415"/>
      <c r="M300" s="415"/>
      <c r="N300" s="415"/>
      <c r="O300" s="426"/>
      <c r="P300" s="411" t="s">
        <v>76</v>
      </c>
      <c r="Q300" s="412"/>
      <c r="R300" s="412"/>
      <c r="S300" s="412"/>
      <c r="T300" s="412"/>
      <c r="U300" s="412"/>
      <c r="V300" s="413"/>
      <c r="W300" s="38" t="s">
        <v>71</v>
      </c>
      <c r="X300" s="403">
        <f>IFERROR(SUM(X298:X298),"0")</f>
        <v>350</v>
      </c>
      <c r="Y300" s="403">
        <f>IFERROR(SUM(Y298:Y298),"0")</f>
        <v>351</v>
      </c>
      <c r="Z300" s="38"/>
      <c r="AA300" s="404"/>
      <c r="AB300" s="404"/>
      <c r="AC300" s="404"/>
    </row>
    <row r="301" spans="1:68" ht="27.75" customHeight="1" x14ac:dyDescent="0.2">
      <c r="A301" s="439" t="s">
        <v>464</v>
      </c>
      <c r="B301" s="440"/>
      <c r="C301" s="440"/>
      <c r="D301" s="440"/>
      <c r="E301" s="440"/>
      <c r="F301" s="440"/>
      <c r="G301" s="440"/>
      <c r="H301" s="440"/>
      <c r="I301" s="440"/>
      <c r="J301" s="440"/>
      <c r="K301" s="440"/>
      <c r="L301" s="440"/>
      <c r="M301" s="440"/>
      <c r="N301" s="440"/>
      <c r="O301" s="440"/>
      <c r="P301" s="440"/>
      <c r="Q301" s="440"/>
      <c r="R301" s="440"/>
      <c r="S301" s="440"/>
      <c r="T301" s="440"/>
      <c r="U301" s="440"/>
      <c r="V301" s="440"/>
      <c r="W301" s="440"/>
      <c r="X301" s="440"/>
      <c r="Y301" s="440"/>
      <c r="Z301" s="440"/>
      <c r="AA301" s="49"/>
      <c r="AB301" s="49"/>
      <c r="AC301" s="49"/>
    </row>
    <row r="302" spans="1:68" ht="16.5" customHeight="1" x14ac:dyDescent="0.25">
      <c r="A302" s="463" t="s">
        <v>465</v>
      </c>
      <c r="B302" s="415"/>
      <c r="C302" s="415"/>
      <c r="D302" s="415"/>
      <c r="E302" s="415"/>
      <c r="F302" s="415"/>
      <c r="G302" s="415"/>
      <c r="H302" s="415"/>
      <c r="I302" s="415"/>
      <c r="J302" s="415"/>
      <c r="K302" s="415"/>
      <c r="L302" s="415"/>
      <c r="M302" s="415"/>
      <c r="N302" s="415"/>
      <c r="O302" s="415"/>
      <c r="P302" s="415"/>
      <c r="Q302" s="415"/>
      <c r="R302" s="415"/>
      <c r="S302" s="415"/>
      <c r="T302" s="415"/>
      <c r="U302" s="415"/>
      <c r="V302" s="415"/>
      <c r="W302" s="415"/>
      <c r="X302" s="415"/>
      <c r="Y302" s="415"/>
      <c r="Z302" s="415"/>
      <c r="AA302" s="396"/>
      <c r="AB302" s="396"/>
      <c r="AC302" s="396"/>
    </row>
    <row r="303" spans="1:68" ht="14.25" customHeight="1" x14ac:dyDescent="0.25">
      <c r="A303" s="414" t="s">
        <v>185</v>
      </c>
      <c r="B303" s="415"/>
      <c r="C303" s="415"/>
      <c r="D303" s="415"/>
      <c r="E303" s="415"/>
      <c r="F303" s="415"/>
      <c r="G303" s="415"/>
      <c r="H303" s="415"/>
      <c r="I303" s="415"/>
      <c r="J303" s="415"/>
      <c r="K303" s="415"/>
      <c r="L303" s="415"/>
      <c r="M303" s="415"/>
      <c r="N303" s="415"/>
      <c r="O303" s="415"/>
      <c r="P303" s="415"/>
      <c r="Q303" s="415"/>
      <c r="R303" s="415"/>
      <c r="S303" s="415"/>
      <c r="T303" s="415"/>
      <c r="U303" s="415"/>
      <c r="V303" s="415"/>
      <c r="W303" s="415"/>
      <c r="X303" s="415"/>
      <c r="Y303" s="415"/>
      <c r="Z303" s="415"/>
      <c r="AA303" s="397"/>
      <c r="AB303" s="397"/>
      <c r="AC303" s="397"/>
    </row>
    <row r="304" spans="1:68" ht="27" customHeight="1" x14ac:dyDescent="0.25">
      <c r="A304" s="55" t="s">
        <v>466</v>
      </c>
      <c r="B304" s="55" t="s">
        <v>467</v>
      </c>
      <c r="C304" s="32">
        <v>4301031405</v>
      </c>
      <c r="D304" s="416">
        <v>4680115886100</v>
      </c>
      <c r="E304" s="417"/>
      <c r="F304" s="400">
        <v>0.9</v>
      </c>
      <c r="G304" s="33">
        <v>6</v>
      </c>
      <c r="H304" s="400">
        <v>5.4</v>
      </c>
      <c r="I304" s="400">
        <v>5.61</v>
      </c>
      <c r="J304" s="33">
        <v>132</v>
      </c>
      <c r="K304" s="33" t="s">
        <v>94</v>
      </c>
      <c r="L304" s="33"/>
      <c r="M304" s="34" t="s">
        <v>70</v>
      </c>
      <c r="N304" s="34"/>
      <c r="O304" s="33">
        <v>50</v>
      </c>
      <c r="P304" s="55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04" s="406"/>
      <c r="R304" s="406"/>
      <c r="S304" s="406"/>
      <c r="T304" s="407"/>
      <c r="U304" s="35"/>
      <c r="V304" s="35"/>
      <c r="W304" s="36" t="s">
        <v>71</v>
      </c>
      <c r="X304" s="401">
        <v>0</v>
      </c>
      <c r="Y304" s="402">
        <f>IFERROR(IF(X304="",0,CEILING((X304/$H304),1)*$H304),"")</f>
        <v>0</v>
      </c>
      <c r="Z304" s="37" t="str">
        <f>IFERROR(IF(Y304=0,"",ROUNDUP(Y304/H304,0)*0.00902),"")</f>
        <v/>
      </c>
      <c r="AA304" s="57"/>
      <c r="AB304" s="58"/>
      <c r="AC304" s="332" t="s">
        <v>468</v>
      </c>
      <c r="AG304" s="65"/>
      <c r="AJ304" s="69"/>
      <c r="AK304" s="69">
        <v>0</v>
      </c>
      <c r="BB304" s="333" t="s">
        <v>1</v>
      </c>
      <c r="BM304" s="65">
        <f>IFERROR(X304*I304/H304,"0")</f>
        <v>0</v>
      </c>
      <c r="BN304" s="65">
        <f>IFERROR(Y304*I304/H304,"0")</f>
        <v>0</v>
      </c>
      <c r="BO304" s="65">
        <f>IFERROR(1/J304*(X304/H304),"0")</f>
        <v>0</v>
      </c>
      <c r="BP304" s="65">
        <f>IFERROR(1/J304*(Y304/H304),"0")</f>
        <v>0</v>
      </c>
    </row>
    <row r="305" spans="1:68" ht="27" customHeight="1" x14ac:dyDescent="0.25">
      <c r="A305" s="55" t="s">
        <v>469</v>
      </c>
      <c r="B305" s="55" t="s">
        <v>470</v>
      </c>
      <c r="C305" s="32">
        <v>4301031382</v>
      </c>
      <c r="D305" s="416">
        <v>4680115886117</v>
      </c>
      <c r="E305" s="417"/>
      <c r="F305" s="400">
        <v>0.9</v>
      </c>
      <c r="G305" s="33">
        <v>6</v>
      </c>
      <c r="H305" s="400">
        <v>5.4</v>
      </c>
      <c r="I305" s="400">
        <v>5.61</v>
      </c>
      <c r="J305" s="33">
        <v>132</v>
      </c>
      <c r="K305" s="33" t="s">
        <v>94</v>
      </c>
      <c r="L305" s="33"/>
      <c r="M305" s="34" t="s">
        <v>70</v>
      </c>
      <c r="N305" s="34"/>
      <c r="O305" s="33">
        <v>50</v>
      </c>
      <c r="P305" s="51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5" s="406"/>
      <c r="R305" s="406"/>
      <c r="S305" s="406"/>
      <c r="T305" s="407"/>
      <c r="U305" s="35"/>
      <c r="V305" s="35"/>
      <c r="W305" s="36" t="s">
        <v>71</v>
      </c>
      <c r="X305" s="401">
        <v>0</v>
      </c>
      <c r="Y305" s="402">
        <f>IFERROR(IF(X305="",0,CEILING((X305/$H305),1)*$H305),"")</f>
        <v>0</v>
      </c>
      <c r="Z305" s="37" t="str">
        <f>IFERROR(IF(Y305=0,"",ROUNDUP(Y305/H305,0)*0.00902),"")</f>
        <v/>
      </c>
      <c r="AA305" s="57"/>
      <c r="AB305" s="58"/>
      <c r="AC305" s="334" t="s">
        <v>471</v>
      </c>
      <c r="AG305" s="65"/>
      <c r="AJ305" s="69"/>
      <c r="AK305" s="69">
        <v>0</v>
      </c>
      <c r="BB305" s="335" t="s">
        <v>1</v>
      </c>
      <c r="BM305" s="65">
        <f>IFERROR(X305*I305/H305,"0")</f>
        <v>0</v>
      </c>
      <c r="BN305" s="65">
        <f>IFERROR(Y305*I305/H305,"0")</f>
        <v>0</v>
      </c>
      <c r="BO305" s="65">
        <f>IFERROR(1/J305*(X305/H305),"0")</f>
        <v>0</v>
      </c>
      <c r="BP305" s="65">
        <f>IFERROR(1/J305*(Y305/H305),"0")</f>
        <v>0</v>
      </c>
    </row>
    <row r="306" spans="1:68" ht="27" customHeight="1" x14ac:dyDescent="0.25">
      <c r="A306" s="55" t="s">
        <v>469</v>
      </c>
      <c r="B306" s="55" t="s">
        <v>472</v>
      </c>
      <c r="C306" s="32">
        <v>4301031406</v>
      </c>
      <c r="D306" s="416">
        <v>4680115886117</v>
      </c>
      <c r="E306" s="417"/>
      <c r="F306" s="400">
        <v>0.9</v>
      </c>
      <c r="G306" s="33">
        <v>6</v>
      </c>
      <c r="H306" s="400">
        <v>5.4</v>
      </c>
      <c r="I306" s="400">
        <v>5.61</v>
      </c>
      <c r="J306" s="33">
        <v>132</v>
      </c>
      <c r="K306" s="33" t="s">
        <v>94</v>
      </c>
      <c r="L306" s="33"/>
      <c r="M306" s="34" t="s">
        <v>70</v>
      </c>
      <c r="N306" s="34"/>
      <c r="O306" s="33">
        <v>50</v>
      </c>
      <c r="P306" s="55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6" s="406"/>
      <c r="R306" s="406"/>
      <c r="S306" s="406"/>
      <c r="T306" s="407"/>
      <c r="U306" s="35"/>
      <c r="V306" s="35"/>
      <c r="W306" s="36" t="s">
        <v>71</v>
      </c>
      <c r="X306" s="401">
        <v>0</v>
      </c>
      <c r="Y306" s="402">
        <f>IFERROR(IF(X306="",0,CEILING((X306/$H306),1)*$H306),"")</f>
        <v>0</v>
      </c>
      <c r="Z306" s="37" t="str">
        <f>IFERROR(IF(Y306=0,"",ROUNDUP(Y306/H306,0)*0.00902),"")</f>
        <v/>
      </c>
      <c r="AA306" s="57"/>
      <c r="AB306" s="58"/>
      <c r="AC306" s="336" t="s">
        <v>471</v>
      </c>
      <c r="AG306" s="65"/>
      <c r="AJ306" s="69"/>
      <c r="AK306" s="69">
        <v>0</v>
      </c>
      <c r="BB306" s="337" t="s">
        <v>1</v>
      </c>
      <c r="BM306" s="65">
        <f>IFERROR(X306*I306/H306,"0")</f>
        <v>0</v>
      </c>
      <c r="BN306" s="65">
        <f>IFERROR(Y306*I306/H306,"0")</f>
        <v>0</v>
      </c>
      <c r="BO306" s="65">
        <f>IFERROR(1/J306*(X306/H306),"0")</f>
        <v>0</v>
      </c>
      <c r="BP306" s="65">
        <f>IFERROR(1/J306*(Y306/H306),"0")</f>
        <v>0</v>
      </c>
    </row>
    <row r="307" spans="1:68" ht="27" customHeight="1" x14ac:dyDescent="0.25">
      <c r="A307" s="55" t="s">
        <v>473</v>
      </c>
      <c r="B307" s="55" t="s">
        <v>474</v>
      </c>
      <c r="C307" s="32">
        <v>4301031358</v>
      </c>
      <c r="D307" s="416">
        <v>4607091389531</v>
      </c>
      <c r="E307" s="417"/>
      <c r="F307" s="400">
        <v>0.35</v>
      </c>
      <c r="G307" s="33">
        <v>6</v>
      </c>
      <c r="H307" s="400">
        <v>2.1</v>
      </c>
      <c r="I307" s="400">
        <v>2.23</v>
      </c>
      <c r="J307" s="33">
        <v>234</v>
      </c>
      <c r="K307" s="33" t="s">
        <v>169</v>
      </c>
      <c r="L307" s="33"/>
      <c r="M307" s="34" t="s">
        <v>70</v>
      </c>
      <c r="N307" s="34"/>
      <c r="O307" s="33">
        <v>50</v>
      </c>
      <c r="P307" s="65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07" s="406"/>
      <c r="R307" s="406"/>
      <c r="S307" s="406"/>
      <c r="T307" s="407"/>
      <c r="U307" s="35"/>
      <c r="V307" s="35"/>
      <c r="W307" s="36" t="s">
        <v>71</v>
      </c>
      <c r="X307" s="401">
        <v>0</v>
      </c>
      <c r="Y307" s="402">
        <f>IFERROR(IF(X307="",0,CEILING((X307/$H307),1)*$H307),"")</f>
        <v>0</v>
      </c>
      <c r="Z307" s="37" t="str">
        <f>IFERROR(IF(Y307=0,"",ROUNDUP(Y307/H307,0)*0.00502),"")</f>
        <v/>
      </c>
      <c r="AA307" s="57"/>
      <c r="AB307" s="58"/>
      <c r="AC307" s="338" t="s">
        <v>475</v>
      </c>
      <c r="AG307" s="65"/>
      <c r="AJ307" s="69"/>
      <c r="AK307" s="69">
        <v>0</v>
      </c>
      <c r="BB307" s="339" t="s">
        <v>1</v>
      </c>
      <c r="BM307" s="65">
        <f>IFERROR(X307*I307/H307,"0")</f>
        <v>0</v>
      </c>
      <c r="BN307" s="65">
        <f>IFERROR(Y307*I307/H307,"0")</f>
        <v>0</v>
      </c>
      <c r="BO307" s="65">
        <f>IFERROR(1/J307*(X307/H307),"0")</f>
        <v>0</v>
      </c>
      <c r="BP307" s="65">
        <f>IFERROR(1/J307*(Y307/H307),"0")</f>
        <v>0</v>
      </c>
    </row>
    <row r="308" spans="1:68" x14ac:dyDescent="0.2">
      <c r="A308" s="425"/>
      <c r="B308" s="415"/>
      <c r="C308" s="415"/>
      <c r="D308" s="415"/>
      <c r="E308" s="415"/>
      <c r="F308" s="415"/>
      <c r="G308" s="415"/>
      <c r="H308" s="415"/>
      <c r="I308" s="415"/>
      <c r="J308" s="415"/>
      <c r="K308" s="415"/>
      <c r="L308" s="415"/>
      <c r="M308" s="415"/>
      <c r="N308" s="415"/>
      <c r="O308" s="426"/>
      <c r="P308" s="411" t="s">
        <v>76</v>
      </c>
      <c r="Q308" s="412"/>
      <c r="R308" s="412"/>
      <c r="S308" s="412"/>
      <c r="T308" s="412"/>
      <c r="U308" s="412"/>
      <c r="V308" s="413"/>
      <c r="W308" s="38" t="s">
        <v>77</v>
      </c>
      <c r="X308" s="403">
        <f>IFERROR(X304/H304,"0")+IFERROR(X305/H305,"0")+IFERROR(X306/H306,"0")+IFERROR(X307/H307,"0")</f>
        <v>0</v>
      </c>
      <c r="Y308" s="403">
        <f>IFERROR(Y304/H304,"0")+IFERROR(Y305/H305,"0")+IFERROR(Y306/H306,"0")+IFERROR(Y307/H307,"0")</f>
        <v>0</v>
      </c>
      <c r="Z308" s="403">
        <f>IFERROR(IF(Z304="",0,Z304),"0")+IFERROR(IF(Z305="",0,Z305),"0")+IFERROR(IF(Z306="",0,Z306),"0")+IFERROR(IF(Z307="",0,Z307),"0")</f>
        <v>0</v>
      </c>
      <c r="AA308" s="404"/>
      <c r="AB308" s="404"/>
      <c r="AC308" s="404"/>
    </row>
    <row r="309" spans="1:68" x14ac:dyDescent="0.2">
      <c r="A309" s="415"/>
      <c r="B309" s="415"/>
      <c r="C309" s="415"/>
      <c r="D309" s="415"/>
      <c r="E309" s="415"/>
      <c r="F309" s="415"/>
      <c r="G309" s="415"/>
      <c r="H309" s="415"/>
      <c r="I309" s="415"/>
      <c r="J309" s="415"/>
      <c r="K309" s="415"/>
      <c r="L309" s="415"/>
      <c r="M309" s="415"/>
      <c r="N309" s="415"/>
      <c r="O309" s="426"/>
      <c r="P309" s="411" t="s">
        <v>76</v>
      </c>
      <c r="Q309" s="412"/>
      <c r="R309" s="412"/>
      <c r="S309" s="412"/>
      <c r="T309" s="412"/>
      <c r="U309" s="412"/>
      <c r="V309" s="413"/>
      <c r="W309" s="38" t="s">
        <v>71</v>
      </c>
      <c r="X309" s="403">
        <f>IFERROR(SUM(X304:X307),"0")</f>
        <v>0</v>
      </c>
      <c r="Y309" s="403">
        <f>IFERROR(SUM(Y304:Y307),"0")</f>
        <v>0</v>
      </c>
      <c r="Z309" s="38"/>
      <c r="AA309" s="404"/>
      <c r="AB309" s="404"/>
      <c r="AC309" s="404"/>
    </row>
    <row r="310" spans="1:68" ht="14.25" customHeight="1" x14ac:dyDescent="0.25">
      <c r="A310" s="414" t="s">
        <v>66</v>
      </c>
      <c r="B310" s="415"/>
      <c r="C310" s="415"/>
      <c r="D310" s="415"/>
      <c r="E310" s="415"/>
      <c r="F310" s="415"/>
      <c r="G310" s="415"/>
      <c r="H310" s="415"/>
      <c r="I310" s="415"/>
      <c r="J310" s="415"/>
      <c r="K310" s="415"/>
      <c r="L310" s="415"/>
      <c r="M310" s="415"/>
      <c r="N310" s="415"/>
      <c r="O310" s="415"/>
      <c r="P310" s="415"/>
      <c r="Q310" s="415"/>
      <c r="R310" s="415"/>
      <c r="S310" s="415"/>
      <c r="T310" s="415"/>
      <c r="U310" s="415"/>
      <c r="V310" s="415"/>
      <c r="W310" s="415"/>
      <c r="X310" s="415"/>
      <c r="Y310" s="415"/>
      <c r="Z310" s="415"/>
      <c r="AA310" s="397"/>
      <c r="AB310" s="397"/>
      <c r="AC310" s="397"/>
    </row>
    <row r="311" spans="1:68" ht="27" customHeight="1" x14ac:dyDescent="0.25">
      <c r="A311" s="55" t="s">
        <v>476</v>
      </c>
      <c r="B311" s="55" t="s">
        <v>477</v>
      </c>
      <c r="C311" s="32">
        <v>4301051284</v>
      </c>
      <c r="D311" s="416">
        <v>4607091384352</v>
      </c>
      <c r="E311" s="417"/>
      <c r="F311" s="400">
        <v>0.6</v>
      </c>
      <c r="G311" s="33">
        <v>4</v>
      </c>
      <c r="H311" s="400">
        <v>2.4</v>
      </c>
      <c r="I311" s="400">
        <v>2.6459999999999999</v>
      </c>
      <c r="J311" s="33">
        <v>132</v>
      </c>
      <c r="K311" s="33" t="s">
        <v>94</v>
      </c>
      <c r="L311" s="33"/>
      <c r="M311" s="34" t="s">
        <v>95</v>
      </c>
      <c r="N311" s="34"/>
      <c r="O311" s="33">
        <v>45</v>
      </c>
      <c r="P311" s="53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11" s="406"/>
      <c r="R311" s="406"/>
      <c r="S311" s="406"/>
      <c r="T311" s="407"/>
      <c r="U311" s="35"/>
      <c r="V311" s="35"/>
      <c r="W311" s="36" t="s">
        <v>71</v>
      </c>
      <c r="X311" s="401">
        <v>0</v>
      </c>
      <c r="Y311" s="402">
        <f>IFERROR(IF(X311="",0,CEILING((X311/$H311),1)*$H311),"")</f>
        <v>0</v>
      </c>
      <c r="Z311" s="37" t="str">
        <f>IFERROR(IF(Y311=0,"",ROUNDUP(Y311/H311,0)*0.00902),"")</f>
        <v/>
      </c>
      <c r="AA311" s="57"/>
      <c r="AB311" s="58"/>
      <c r="AC311" s="340" t="s">
        <v>478</v>
      </c>
      <c r="AG311" s="65"/>
      <c r="AJ311" s="69"/>
      <c r="AK311" s="69">
        <v>0</v>
      </c>
      <c r="BB311" s="341" t="s">
        <v>1</v>
      </c>
      <c r="BM311" s="65">
        <f>IFERROR(X311*I311/H311,"0")</f>
        <v>0</v>
      </c>
      <c r="BN311" s="65">
        <f>IFERROR(Y311*I311/H311,"0")</f>
        <v>0</v>
      </c>
      <c r="BO311" s="65">
        <f>IFERROR(1/J311*(X311/H311),"0")</f>
        <v>0</v>
      </c>
      <c r="BP311" s="65">
        <f>IFERROR(1/J311*(Y311/H311),"0")</f>
        <v>0</v>
      </c>
    </row>
    <row r="312" spans="1:68" ht="27" customHeight="1" x14ac:dyDescent="0.25">
      <c r="A312" s="55" t="s">
        <v>479</v>
      </c>
      <c r="B312" s="55" t="s">
        <v>480</v>
      </c>
      <c r="C312" s="32">
        <v>4301051431</v>
      </c>
      <c r="D312" s="416">
        <v>4607091389654</v>
      </c>
      <c r="E312" s="417"/>
      <c r="F312" s="400">
        <v>0.33</v>
      </c>
      <c r="G312" s="33">
        <v>6</v>
      </c>
      <c r="H312" s="400">
        <v>1.98</v>
      </c>
      <c r="I312" s="400">
        <v>2.238</v>
      </c>
      <c r="J312" s="33">
        <v>182</v>
      </c>
      <c r="K312" s="33" t="s">
        <v>69</v>
      </c>
      <c r="L312" s="33"/>
      <c r="M312" s="34" t="s">
        <v>95</v>
      </c>
      <c r="N312" s="34"/>
      <c r="O312" s="33">
        <v>45</v>
      </c>
      <c r="P312" s="49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12" s="406"/>
      <c r="R312" s="406"/>
      <c r="S312" s="406"/>
      <c r="T312" s="407"/>
      <c r="U312" s="35"/>
      <c r="V312" s="35"/>
      <c r="W312" s="36" t="s">
        <v>71</v>
      </c>
      <c r="X312" s="401">
        <v>0</v>
      </c>
      <c r="Y312" s="402">
        <f>IFERROR(IF(X312="",0,CEILING((X312/$H312),1)*$H312),"")</f>
        <v>0</v>
      </c>
      <c r="Z312" s="37" t="str">
        <f>IFERROR(IF(Y312=0,"",ROUNDUP(Y312/H312,0)*0.00651),"")</f>
        <v/>
      </c>
      <c r="AA312" s="57"/>
      <c r="AB312" s="58"/>
      <c r="AC312" s="342" t="s">
        <v>481</v>
      </c>
      <c r="AG312" s="65"/>
      <c r="AJ312" s="69"/>
      <c r="AK312" s="69">
        <v>0</v>
      </c>
      <c r="BB312" s="343" t="s">
        <v>1</v>
      </c>
      <c r="BM312" s="65">
        <f>IFERROR(X312*I312/H312,"0")</f>
        <v>0</v>
      </c>
      <c r="BN312" s="65">
        <f>IFERROR(Y312*I312/H312,"0")</f>
        <v>0</v>
      </c>
      <c r="BO312" s="65">
        <f>IFERROR(1/J312*(X312/H312),"0")</f>
        <v>0</v>
      </c>
      <c r="BP312" s="65">
        <f>IFERROR(1/J312*(Y312/H312),"0")</f>
        <v>0</v>
      </c>
    </row>
    <row r="313" spans="1:68" x14ac:dyDescent="0.2">
      <c r="A313" s="425"/>
      <c r="B313" s="415"/>
      <c r="C313" s="415"/>
      <c r="D313" s="415"/>
      <c r="E313" s="415"/>
      <c r="F313" s="415"/>
      <c r="G313" s="415"/>
      <c r="H313" s="415"/>
      <c r="I313" s="415"/>
      <c r="J313" s="415"/>
      <c r="K313" s="415"/>
      <c r="L313" s="415"/>
      <c r="M313" s="415"/>
      <c r="N313" s="415"/>
      <c r="O313" s="426"/>
      <c r="P313" s="411" t="s">
        <v>76</v>
      </c>
      <c r="Q313" s="412"/>
      <c r="R313" s="412"/>
      <c r="S313" s="412"/>
      <c r="T313" s="412"/>
      <c r="U313" s="412"/>
      <c r="V313" s="413"/>
      <c r="W313" s="38" t="s">
        <v>77</v>
      </c>
      <c r="X313" s="403">
        <f>IFERROR(X311/H311,"0")+IFERROR(X312/H312,"0")</f>
        <v>0</v>
      </c>
      <c r="Y313" s="403">
        <f>IFERROR(Y311/H311,"0")+IFERROR(Y312/H312,"0")</f>
        <v>0</v>
      </c>
      <c r="Z313" s="403">
        <f>IFERROR(IF(Z311="",0,Z311),"0")+IFERROR(IF(Z312="",0,Z312),"0")</f>
        <v>0</v>
      </c>
      <c r="AA313" s="404"/>
      <c r="AB313" s="404"/>
      <c r="AC313" s="404"/>
    </row>
    <row r="314" spans="1:68" x14ac:dyDescent="0.2">
      <c r="A314" s="415"/>
      <c r="B314" s="415"/>
      <c r="C314" s="415"/>
      <c r="D314" s="415"/>
      <c r="E314" s="415"/>
      <c r="F314" s="415"/>
      <c r="G314" s="415"/>
      <c r="H314" s="415"/>
      <c r="I314" s="415"/>
      <c r="J314" s="415"/>
      <c r="K314" s="415"/>
      <c r="L314" s="415"/>
      <c r="M314" s="415"/>
      <c r="N314" s="415"/>
      <c r="O314" s="426"/>
      <c r="P314" s="411" t="s">
        <v>76</v>
      </c>
      <c r="Q314" s="412"/>
      <c r="R314" s="412"/>
      <c r="S314" s="412"/>
      <c r="T314" s="412"/>
      <c r="U314" s="412"/>
      <c r="V314" s="413"/>
      <c r="W314" s="38" t="s">
        <v>71</v>
      </c>
      <c r="X314" s="403">
        <f>IFERROR(SUM(X311:X312),"0")</f>
        <v>0</v>
      </c>
      <c r="Y314" s="403">
        <f>IFERROR(SUM(Y311:Y312),"0")</f>
        <v>0</v>
      </c>
      <c r="Z314" s="38"/>
      <c r="AA314" s="404"/>
      <c r="AB314" s="404"/>
      <c r="AC314" s="404"/>
    </row>
    <row r="315" spans="1:68" ht="16.5" customHeight="1" x14ac:dyDescent="0.25">
      <c r="A315" s="463" t="s">
        <v>482</v>
      </c>
      <c r="B315" s="415"/>
      <c r="C315" s="415"/>
      <c r="D315" s="415"/>
      <c r="E315" s="415"/>
      <c r="F315" s="415"/>
      <c r="G315" s="415"/>
      <c r="H315" s="415"/>
      <c r="I315" s="415"/>
      <c r="J315" s="415"/>
      <c r="K315" s="415"/>
      <c r="L315" s="415"/>
      <c r="M315" s="415"/>
      <c r="N315" s="415"/>
      <c r="O315" s="415"/>
      <c r="P315" s="415"/>
      <c r="Q315" s="415"/>
      <c r="R315" s="415"/>
      <c r="S315" s="415"/>
      <c r="T315" s="415"/>
      <c r="U315" s="415"/>
      <c r="V315" s="415"/>
      <c r="W315" s="415"/>
      <c r="X315" s="415"/>
      <c r="Y315" s="415"/>
      <c r="Z315" s="415"/>
      <c r="AA315" s="396"/>
      <c r="AB315" s="396"/>
      <c r="AC315" s="396"/>
    </row>
    <row r="316" spans="1:68" ht="14.25" customHeight="1" x14ac:dyDescent="0.25">
      <c r="A316" s="414" t="s">
        <v>120</v>
      </c>
      <c r="B316" s="415"/>
      <c r="C316" s="415"/>
      <c r="D316" s="415"/>
      <c r="E316" s="415"/>
      <c r="F316" s="415"/>
      <c r="G316" s="415"/>
      <c r="H316" s="415"/>
      <c r="I316" s="415"/>
      <c r="J316" s="415"/>
      <c r="K316" s="415"/>
      <c r="L316" s="415"/>
      <c r="M316" s="415"/>
      <c r="N316" s="415"/>
      <c r="O316" s="415"/>
      <c r="P316" s="415"/>
      <c r="Q316" s="415"/>
      <c r="R316" s="415"/>
      <c r="S316" s="415"/>
      <c r="T316" s="415"/>
      <c r="U316" s="415"/>
      <c r="V316" s="415"/>
      <c r="W316" s="415"/>
      <c r="X316" s="415"/>
      <c r="Y316" s="415"/>
      <c r="Z316" s="415"/>
      <c r="AA316" s="397"/>
      <c r="AB316" s="397"/>
      <c r="AC316" s="397"/>
    </row>
    <row r="317" spans="1:68" ht="27" customHeight="1" x14ac:dyDescent="0.25">
      <c r="A317" s="55" t="s">
        <v>483</v>
      </c>
      <c r="B317" s="55" t="s">
        <v>484</v>
      </c>
      <c r="C317" s="32">
        <v>4301020319</v>
      </c>
      <c r="D317" s="416">
        <v>4680115885240</v>
      </c>
      <c r="E317" s="417"/>
      <c r="F317" s="400">
        <v>0.35</v>
      </c>
      <c r="G317" s="33">
        <v>6</v>
      </c>
      <c r="H317" s="400">
        <v>2.1</v>
      </c>
      <c r="I317" s="400">
        <v>2.31</v>
      </c>
      <c r="J317" s="33">
        <v>182</v>
      </c>
      <c r="K317" s="33" t="s">
        <v>69</v>
      </c>
      <c r="L317" s="33"/>
      <c r="M317" s="34" t="s">
        <v>70</v>
      </c>
      <c r="N317" s="34"/>
      <c r="O317" s="33">
        <v>40</v>
      </c>
      <c r="P317" s="63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317" s="406"/>
      <c r="R317" s="406"/>
      <c r="S317" s="406"/>
      <c r="T317" s="407"/>
      <c r="U317" s="35"/>
      <c r="V317" s="35"/>
      <c r="W317" s="36" t="s">
        <v>71</v>
      </c>
      <c r="X317" s="401">
        <v>0</v>
      </c>
      <c r="Y317" s="402">
        <f>IFERROR(IF(X317="",0,CEILING((X317/$H317),1)*$H317),"")</f>
        <v>0</v>
      </c>
      <c r="Z317" s="37" t="str">
        <f>IFERROR(IF(Y317=0,"",ROUNDUP(Y317/H317,0)*0.00651),"")</f>
        <v/>
      </c>
      <c r="AA317" s="57"/>
      <c r="AB317" s="58"/>
      <c r="AC317" s="344" t="s">
        <v>485</v>
      </c>
      <c r="AG317" s="65"/>
      <c r="AJ317" s="69"/>
      <c r="AK317" s="69">
        <v>0</v>
      </c>
      <c r="BB317" s="345" t="s">
        <v>1</v>
      </c>
      <c r="BM317" s="65">
        <f>IFERROR(X317*I317/H317,"0")</f>
        <v>0</v>
      </c>
      <c r="BN317" s="65">
        <f>IFERROR(Y317*I317/H317,"0")</f>
        <v>0</v>
      </c>
      <c r="BO317" s="65">
        <f>IFERROR(1/J317*(X317/H317),"0")</f>
        <v>0</v>
      </c>
      <c r="BP317" s="65">
        <f>IFERROR(1/J317*(Y317/H317),"0")</f>
        <v>0</v>
      </c>
    </row>
    <row r="318" spans="1:68" ht="27" customHeight="1" x14ac:dyDescent="0.25">
      <c r="A318" s="55" t="s">
        <v>486</v>
      </c>
      <c r="B318" s="55" t="s">
        <v>487</v>
      </c>
      <c r="C318" s="32">
        <v>4301020315</v>
      </c>
      <c r="D318" s="416">
        <v>4607091389364</v>
      </c>
      <c r="E318" s="417"/>
      <c r="F318" s="400">
        <v>0.42</v>
      </c>
      <c r="G318" s="33">
        <v>6</v>
      </c>
      <c r="H318" s="400">
        <v>2.52</v>
      </c>
      <c r="I318" s="400">
        <v>2.73</v>
      </c>
      <c r="J318" s="33">
        <v>182</v>
      </c>
      <c r="K318" s="33" t="s">
        <v>69</v>
      </c>
      <c r="L318" s="33"/>
      <c r="M318" s="34" t="s">
        <v>70</v>
      </c>
      <c r="N318" s="34"/>
      <c r="O318" s="33">
        <v>40</v>
      </c>
      <c r="P318" s="5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318" s="406"/>
      <c r="R318" s="406"/>
      <c r="S318" s="406"/>
      <c r="T318" s="407"/>
      <c r="U318" s="35"/>
      <c r="V318" s="35"/>
      <c r="W318" s="36" t="s">
        <v>71</v>
      </c>
      <c r="X318" s="401">
        <v>0</v>
      </c>
      <c r="Y318" s="402">
        <f>IFERROR(IF(X318="",0,CEILING((X318/$H318),1)*$H318),"")</f>
        <v>0</v>
      </c>
      <c r="Z318" s="37" t="str">
        <f>IFERROR(IF(Y318=0,"",ROUNDUP(Y318/H318,0)*0.00651),"")</f>
        <v/>
      </c>
      <c r="AA318" s="57"/>
      <c r="AB318" s="58"/>
      <c r="AC318" s="346" t="s">
        <v>488</v>
      </c>
      <c r="AG318" s="65"/>
      <c r="AJ318" s="69"/>
      <c r="AK318" s="69">
        <v>0</v>
      </c>
      <c r="BB318" s="347" t="s">
        <v>1</v>
      </c>
      <c r="BM318" s="65">
        <f>IFERROR(X318*I318/H318,"0")</f>
        <v>0</v>
      </c>
      <c r="BN318" s="65">
        <f>IFERROR(Y318*I318/H318,"0")</f>
        <v>0</v>
      </c>
      <c r="BO318" s="65">
        <f>IFERROR(1/J318*(X318/H318),"0")</f>
        <v>0</v>
      </c>
      <c r="BP318" s="65">
        <f>IFERROR(1/J318*(Y318/H318),"0")</f>
        <v>0</v>
      </c>
    </row>
    <row r="319" spans="1:68" x14ac:dyDescent="0.2">
      <c r="A319" s="425"/>
      <c r="B319" s="415"/>
      <c r="C319" s="415"/>
      <c r="D319" s="415"/>
      <c r="E319" s="415"/>
      <c r="F319" s="415"/>
      <c r="G319" s="415"/>
      <c r="H319" s="415"/>
      <c r="I319" s="415"/>
      <c r="J319" s="415"/>
      <c r="K319" s="415"/>
      <c r="L319" s="415"/>
      <c r="M319" s="415"/>
      <c r="N319" s="415"/>
      <c r="O319" s="426"/>
      <c r="P319" s="411" t="s">
        <v>76</v>
      </c>
      <c r="Q319" s="412"/>
      <c r="R319" s="412"/>
      <c r="S319" s="412"/>
      <c r="T319" s="412"/>
      <c r="U319" s="412"/>
      <c r="V319" s="413"/>
      <c r="W319" s="38" t="s">
        <v>77</v>
      </c>
      <c r="X319" s="403">
        <f>IFERROR(X317/H317,"0")+IFERROR(X318/H318,"0")</f>
        <v>0</v>
      </c>
      <c r="Y319" s="403">
        <f>IFERROR(Y317/H317,"0")+IFERROR(Y318/H318,"0")</f>
        <v>0</v>
      </c>
      <c r="Z319" s="403">
        <f>IFERROR(IF(Z317="",0,Z317),"0")+IFERROR(IF(Z318="",0,Z318),"0")</f>
        <v>0</v>
      </c>
      <c r="AA319" s="404"/>
      <c r="AB319" s="404"/>
      <c r="AC319" s="404"/>
    </row>
    <row r="320" spans="1:68" x14ac:dyDescent="0.2">
      <c r="A320" s="415"/>
      <c r="B320" s="415"/>
      <c r="C320" s="415"/>
      <c r="D320" s="415"/>
      <c r="E320" s="415"/>
      <c r="F320" s="415"/>
      <c r="G320" s="415"/>
      <c r="H320" s="415"/>
      <c r="I320" s="415"/>
      <c r="J320" s="415"/>
      <c r="K320" s="415"/>
      <c r="L320" s="415"/>
      <c r="M320" s="415"/>
      <c r="N320" s="415"/>
      <c r="O320" s="426"/>
      <c r="P320" s="411" t="s">
        <v>76</v>
      </c>
      <c r="Q320" s="412"/>
      <c r="R320" s="412"/>
      <c r="S320" s="412"/>
      <c r="T320" s="412"/>
      <c r="U320" s="412"/>
      <c r="V320" s="413"/>
      <c r="W320" s="38" t="s">
        <v>71</v>
      </c>
      <c r="X320" s="403">
        <f>IFERROR(SUM(X317:X318),"0")</f>
        <v>0</v>
      </c>
      <c r="Y320" s="403">
        <f>IFERROR(SUM(Y317:Y318),"0")</f>
        <v>0</v>
      </c>
      <c r="Z320" s="38"/>
      <c r="AA320" s="404"/>
      <c r="AB320" s="404"/>
      <c r="AC320" s="404"/>
    </row>
    <row r="321" spans="1:68" ht="14.25" customHeight="1" x14ac:dyDescent="0.25">
      <c r="A321" s="414" t="s">
        <v>185</v>
      </c>
      <c r="B321" s="415"/>
      <c r="C321" s="415"/>
      <c r="D321" s="415"/>
      <c r="E321" s="415"/>
      <c r="F321" s="415"/>
      <c r="G321" s="415"/>
      <c r="H321" s="415"/>
      <c r="I321" s="415"/>
      <c r="J321" s="415"/>
      <c r="K321" s="415"/>
      <c r="L321" s="415"/>
      <c r="M321" s="415"/>
      <c r="N321" s="415"/>
      <c r="O321" s="415"/>
      <c r="P321" s="415"/>
      <c r="Q321" s="415"/>
      <c r="R321" s="415"/>
      <c r="S321" s="415"/>
      <c r="T321" s="415"/>
      <c r="U321" s="415"/>
      <c r="V321" s="415"/>
      <c r="W321" s="415"/>
      <c r="X321" s="415"/>
      <c r="Y321" s="415"/>
      <c r="Z321" s="415"/>
      <c r="AA321" s="397"/>
      <c r="AB321" s="397"/>
      <c r="AC321" s="397"/>
    </row>
    <row r="322" spans="1:68" ht="27" customHeight="1" x14ac:dyDescent="0.25">
      <c r="A322" s="55" t="s">
        <v>489</v>
      </c>
      <c r="B322" s="55" t="s">
        <v>490</v>
      </c>
      <c r="C322" s="32">
        <v>4301031403</v>
      </c>
      <c r="D322" s="416">
        <v>4680115886094</v>
      </c>
      <c r="E322" s="417"/>
      <c r="F322" s="400">
        <v>0.9</v>
      </c>
      <c r="G322" s="33">
        <v>6</v>
      </c>
      <c r="H322" s="400">
        <v>5.4</v>
      </c>
      <c r="I322" s="400">
        <v>5.61</v>
      </c>
      <c r="J322" s="33">
        <v>132</v>
      </c>
      <c r="K322" s="33" t="s">
        <v>94</v>
      </c>
      <c r="L322" s="33"/>
      <c r="M322" s="34" t="s">
        <v>90</v>
      </c>
      <c r="N322" s="34"/>
      <c r="O322" s="33">
        <v>50</v>
      </c>
      <c r="P322" s="54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322" s="406"/>
      <c r="R322" s="406"/>
      <c r="S322" s="406"/>
      <c r="T322" s="407"/>
      <c r="U322" s="35"/>
      <c r="V322" s="35"/>
      <c r="W322" s="36" t="s">
        <v>71</v>
      </c>
      <c r="X322" s="401">
        <v>0</v>
      </c>
      <c r="Y322" s="402">
        <f>IFERROR(IF(X322="",0,CEILING((X322/$H322),1)*$H322),"")</f>
        <v>0</v>
      </c>
      <c r="Z322" s="37" t="str">
        <f>IFERROR(IF(Y322=0,"",ROUNDUP(Y322/H322,0)*0.00902),"")</f>
        <v/>
      </c>
      <c r="AA322" s="57"/>
      <c r="AB322" s="58"/>
      <c r="AC322" s="348" t="s">
        <v>491</v>
      </c>
      <c r="AG322" s="65"/>
      <c r="AJ322" s="69"/>
      <c r="AK322" s="69">
        <v>0</v>
      </c>
      <c r="BB322" s="349" t="s">
        <v>1</v>
      </c>
      <c r="BM322" s="65">
        <f>IFERROR(X322*I322/H322,"0")</f>
        <v>0</v>
      </c>
      <c r="BN322" s="65">
        <f>IFERROR(Y322*I322/H322,"0")</f>
        <v>0</v>
      </c>
      <c r="BO322" s="65">
        <f>IFERROR(1/J322*(X322/H322),"0")</f>
        <v>0</v>
      </c>
      <c r="BP322" s="65">
        <f>IFERROR(1/J322*(Y322/H322),"0")</f>
        <v>0</v>
      </c>
    </row>
    <row r="323" spans="1:68" x14ac:dyDescent="0.2">
      <c r="A323" s="425"/>
      <c r="B323" s="415"/>
      <c r="C323" s="415"/>
      <c r="D323" s="415"/>
      <c r="E323" s="415"/>
      <c r="F323" s="415"/>
      <c r="G323" s="415"/>
      <c r="H323" s="415"/>
      <c r="I323" s="415"/>
      <c r="J323" s="415"/>
      <c r="K323" s="415"/>
      <c r="L323" s="415"/>
      <c r="M323" s="415"/>
      <c r="N323" s="415"/>
      <c r="O323" s="426"/>
      <c r="P323" s="411" t="s">
        <v>76</v>
      </c>
      <c r="Q323" s="412"/>
      <c r="R323" s="412"/>
      <c r="S323" s="412"/>
      <c r="T323" s="412"/>
      <c r="U323" s="412"/>
      <c r="V323" s="413"/>
      <c r="W323" s="38" t="s">
        <v>77</v>
      </c>
      <c r="X323" s="403">
        <f>IFERROR(X322/H322,"0")</f>
        <v>0</v>
      </c>
      <c r="Y323" s="403">
        <f>IFERROR(Y322/H322,"0")</f>
        <v>0</v>
      </c>
      <c r="Z323" s="403">
        <f>IFERROR(IF(Z322="",0,Z322),"0")</f>
        <v>0</v>
      </c>
      <c r="AA323" s="404"/>
      <c r="AB323" s="404"/>
      <c r="AC323" s="404"/>
    </row>
    <row r="324" spans="1:68" x14ac:dyDescent="0.2">
      <c r="A324" s="415"/>
      <c r="B324" s="415"/>
      <c r="C324" s="415"/>
      <c r="D324" s="415"/>
      <c r="E324" s="415"/>
      <c r="F324" s="415"/>
      <c r="G324" s="415"/>
      <c r="H324" s="415"/>
      <c r="I324" s="415"/>
      <c r="J324" s="415"/>
      <c r="K324" s="415"/>
      <c r="L324" s="415"/>
      <c r="M324" s="415"/>
      <c r="N324" s="415"/>
      <c r="O324" s="426"/>
      <c r="P324" s="411" t="s">
        <v>76</v>
      </c>
      <c r="Q324" s="412"/>
      <c r="R324" s="412"/>
      <c r="S324" s="412"/>
      <c r="T324" s="412"/>
      <c r="U324" s="412"/>
      <c r="V324" s="413"/>
      <c r="W324" s="38" t="s">
        <v>71</v>
      </c>
      <c r="X324" s="403">
        <f>IFERROR(SUM(X322:X322),"0")</f>
        <v>0</v>
      </c>
      <c r="Y324" s="403">
        <f>IFERROR(SUM(Y322:Y322),"0")</f>
        <v>0</v>
      </c>
      <c r="Z324" s="38"/>
      <c r="AA324" s="404"/>
      <c r="AB324" s="404"/>
      <c r="AC324" s="404"/>
    </row>
    <row r="325" spans="1:68" ht="27.75" customHeight="1" x14ac:dyDescent="0.2">
      <c r="A325" s="439" t="s">
        <v>492</v>
      </c>
      <c r="B325" s="440"/>
      <c r="C325" s="440"/>
      <c r="D325" s="440"/>
      <c r="E325" s="440"/>
      <c r="F325" s="440"/>
      <c r="G325" s="440"/>
      <c r="H325" s="440"/>
      <c r="I325" s="440"/>
      <c r="J325" s="440"/>
      <c r="K325" s="440"/>
      <c r="L325" s="440"/>
      <c r="M325" s="440"/>
      <c r="N325" s="440"/>
      <c r="O325" s="440"/>
      <c r="P325" s="440"/>
      <c r="Q325" s="440"/>
      <c r="R325" s="440"/>
      <c r="S325" s="440"/>
      <c r="T325" s="440"/>
      <c r="U325" s="440"/>
      <c r="V325" s="440"/>
      <c r="W325" s="440"/>
      <c r="X325" s="440"/>
      <c r="Y325" s="440"/>
      <c r="Z325" s="440"/>
      <c r="AA325" s="49"/>
      <c r="AB325" s="49"/>
      <c r="AC325" s="49"/>
    </row>
    <row r="326" spans="1:68" ht="16.5" customHeight="1" x14ac:dyDescent="0.25">
      <c r="A326" s="463" t="s">
        <v>492</v>
      </c>
      <c r="B326" s="415"/>
      <c r="C326" s="415"/>
      <c r="D326" s="415"/>
      <c r="E326" s="415"/>
      <c r="F326" s="415"/>
      <c r="G326" s="415"/>
      <c r="H326" s="415"/>
      <c r="I326" s="415"/>
      <c r="J326" s="415"/>
      <c r="K326" s="415"/>
      <c r="L326" s="415"/>
      <c r="M326" s="415"/>
      <c r="N326" s="415"/>
      <c r="O326" s="415"/>
      <c r="P326" s="415"/>
      <c r="Q326" s="415"/>
      <c r="R326" s="415"/>
      <c r="S326" s="415"/>
      <c r="T326" s="415"/>
      <c r="U326" s="415"/>
      <c r="V326" s="415"/>
      <c r="W326" s="415"/>
      <c r="X326" s="415"/>
      <c r="Y326" s="415"/>
      <c r="Z326" s="415"/>
      <c r="AA326" s="396"/>
      <c r="AB326" s="396"/>
      <c r="AC326" s="396"/>
    </row>
    <row r="327" spans="1:68" ht="14.25" customHeight="1" x14ac:dyDescent="0.25">
      <c r="A327" s="414" t="s">
        <v>86</v>
      </c>
      <c r="B327" s="415"/>
      <c r="C327" s="415"/>
      <c r="D327" s="415"/>
      <c r="E327" s="415"/>
      <c r="F327" s="415"/>
      <c r="G327" s="415"/>
      <c r="H327" s="415"/>
      <c r="I327" s="415"/>
      <c r="J327" s="415"/>
      <c r="K327" s="415"/>
      <c r="L327" s="415"/>
      <c r="M327" s="415"/>
      <c r="N327" s="415"/>
      <c r="O327" s="415"/>
      <c r="P327" s="415"/>
      <c r="Q327" s="415"/>
      <c r="R327" s="415"/>
      <c r="S327" s="415"/>
      <c r="T327" s="415"/>
      <c r="U327" s="415"/>
      <c r="V327" s="415"/>
      <c r="W327" s="415"/>
      <c r="X327" s="415"/>
      <c r="Y327" s="415"/>
      <c r="Z327" s="415"/>
      <c r="AA327" s="397"/>
      <c r="AB327" s="397"/>
      <c r="AC327" s="397"/>
    </row>
    <row r="328" spans="1:68" ht="27" customHeight="1" x14ac:dyDescent="0.25">
      <c r="A328" s="55" t="s">
        <v>493</v>
      </c>
      <c r="B328" s="55" t="s">
        <v>494</v>
      </c>
      <c r="C328" s="32">
        <v>4301011795</v>
      </c>
      <c r="D328" s="416">
        <v>4607091389067</v>
      </c>
      <c r="E328" s="417"/>
      <c r="F328" s="400">
        <v>0.88</v>
      </c>
      <c r="G328" s="33">
        <v>6</v>
      </c>
      <c r="H328" s="400">
        <v>5.28</v>
      </c>
      <c r="I328" s="400">
        <v>5.64</v>
      </c>
      <c r="J328" s="33">
        <v>104</v>
      </c>
      <c r="K328" s="33" t="s">
        <v>89</v>
      </c>
      <c r="L328" s="33"/>
      <c r="M328" s="34" t="s">
        <v>90</v>
      </c>
      <c r="N328" s="34"/>
      <c r="O328" s="33">
        <v>60</v>
      </c>
      <c r="P328" s="42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328" s="406"/>
      <c r="R328" s="406"/>
      <c r="S328" s="406"/>
      <c r="T328" s="407"/>
      <c r="U328" s="35"/>
      <c r="V328" s="35"/>
      <c r="W328" s="36" t="s">
        <v>71</v>
      </c>
      <c r="X328" s="401">
        <v>0</v>
      </c>
      <c r="Y328" s="402">
        <f t="shared" ref="Y328:Y337" si="30">IFERROR(IF(X328="",0,CEILING((X328/$H328),1)*$H328),"")</f>
        <v>0</v>
      </c>
      <c r="Z328" s="37" t="str">
        <f>IFERROR(IF(Y328=0,"",ROUNDUP(Y328/H328,0)*0.01196),"")</f>
        <v/>
      </c>
      <c r="AA328" s="57"/>
      <c r="AB328" s="58"/>
      <c r="AC328" s="350" t="s">
        <v>495</v>
      </c>
      <c r="AG328" s="65"/>
      <c r="AJ328" s="69"/>
      <c r="AK328" s="69">
        <v>0</v>
      </c>
      <c r="BB328" s="351" t="s">
        <v>1</v>
      </c>
      <c r="BM328" s="65">
        <f t="shared" ref="BM328:BM337" si="31">IFERROR(X328*I328/H328,"0")</f>
        <v>0</v>
      </c>
      <c r="BN328" s="65">
        <f t="shared" ref="BN328:BN337" si="32">IFERROR(Y328*I328/H328,"0")</f>
        <v>0</v>
      </c>
      <c r="BO328" s="65">
        <f t="shared" ref="BO328:BO337" si="33">IFERROR(1/J328*(X328/H328),"0")</f>
        <v>0</v>
      </c>
      <c r="BP328" s="65">
        <f t="shared" ref="BP328:BP337" si="34">IFERROR(1/J328*(Y328/H328),"0")</f>
        <v>0</v>
      </c>
    </row>
    <row r="329" spans="1:68" ht="27" customHeight="1" x14ac:dyDescent="0.25">
      <c r="A329" s="55" t="s">
        <v>496</v>
      </c>
      <c r="B329" s="55" t="s">
        <v>497</v>
      </c>
      <c r="C329" s="32">
        <v>4301011376</v>
      </c>
      <c r="D329" s="416">
        <v>4680115885226</v>
      </c>
      <c r="E329" s="417"/>
      <c r="F329" s="400">
        <v>0.88</v>
      </c>
      <c r="G329" s="33">
        <v>6</v>
      </c>
      <c r="H329" s="400">
        <v>5.28</v>
      </c>
      <c r="I329" s="400">
        <v>5.64</v>
      </c>
      <c r="J329" s="33">
        <v>104</v>
      </c>
      <c r="K329" s="33" t="s">
        <v>89</v>
      </c>
      <c r="L329" s="33"/>
      <c r="M329" s="34" t="s">
        <v>95</v>
      </c>
      <c r="N329" s="34"/>
      <c r="O329" s="33">
        <v>60</v>
      </c>
      <c r="P329" s="45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329" s="406"/>
      <c r="R329" s="406"/>
      <c r="S329" s="406"/>
      <c r="T329" s="407"/>
      <c r="U329" s="35"/>
      <c r="V329" s="35"/>
      <c r="W329" s="36" t="s">
        <v>71</v>
      </c>
      <c r="X329" s="401">
        <v>450</v>
      </c>
      <c r="Y329" s="402">
        <f t="shared" si="30"/>
        <v>454.08000000000004</v>
      </c>
      <c r="Z329" s="37">
        <f>IFERROR(IF(Y329=0,"",ROUNDUP(Y329/H329,0)*0.01196),"")</f>
        <v>1.0285599999999999</v>
      </c>
      <c r="AA329" s="57"/>
      <c r="AB329" s="58"/>
      <c r="AC329" s="352" t="s">
        <v>498</v>
      </c>
      <c r="AG329" s="65"/>
      <c r="AJ329" s="69"/>
      <c r="AK329" s="69">
        <v>0</v>
      </c>
      <c r="BB329" s="353" t="s">
        <v>1</v>
      </c>
      <c r="BM329" s="65">
        <f t="shared" si="31"/>
        <v>480.68181818181819</v>
      </c>
      <c r="BN329" s="65">
        <f t="shared" si="32"/>
        <v>485.03999999999996</v>
      </c>
      <c r="BO329" s="65">
        <f t="shared" si="33"/>
        <v>0.81949300699300698</v>
      </c>
      <c r="BP329" s="65">
        <f t="shared" si="34"/>
        <v>0.82692307692307698</v>
      </c>
    </row>
    <row r="330" spans="1:68" ht="16.5" customHeight="1" x14ac:dyDescent="0.25">
      <c r="A330" s="55" t="s">
        <v>499</v>
      </c>
      <c r="B330" s="55" t="s">
        <v>500</v>
      </c>
      <c r="C330" s="32">
        <v>4301011774</v>
      </c>
      <c r="D330" s="416">
        <v>4680115884502</v>
      </c>
      <c r="E330" s="417"/>
      <c r="F330" s="400">
        <v>0.88</v>
      </c>
      <c r="G330" s="33">
        <v>6</v>
      </c>
      <c r="H330" s="400">
        <v>5.28</v>
      </c>
      <c r="I330" s="400">
        <v>5.64</v>
      </c>
      <c r="J330" s="33">
        <v>104</v>
      </c>
      <c r="K330" s="33" t="s">
        <v>89</v>
      </c>
      <c r="L330" s="33"/>
      <c r="M330" s="34" t="s">
        <v>90</v>
      </c>
      <c r="N330" s="34"/>
      <c r="O330" s="33">
        <v>60</v>
      </c>
      <c r="P330" s="5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330" s="406"/>
      <c r="R330" s="406"/>
      <c r="S330" s="406"/>
      <c r="T330" s="407"/>
      <c r="U330" s="35"/>
      <c r="V330" s="35"/>
      <c r="W330" s="36" t="s">
        <v>71</v>
      </c>
      <c r="X330" s="401">
        <v>0</v>
      </c>
      <c r="Y330" s="402">
        <f t="shared" si="30"/>
        <v>0</v>
      </c>
      <c r="Z330" s="37" t="str">
        <f>IFERROR(IF(Y330=0,"",ROUNDUP(Y330/H330,0)*0.01196),"")</f>
        <v/>
      </c>
      <c r="AA330" s="57"/>
      <c r="AB330" s="58"/>
      <c r="AC330" s="354" t="s">
        <v>501</v>
      </c>
      <c r="AG330" s="65"/>
      <c r="AJ330" s="69"/>
      <c r="AK330" s="69">
        <v>0</v>
      </c>
      <c r="BB330" s="355" t="s">
        <v>1</v>
      </c>
      <c r="BM330" s="65">
        <f t="shared" si="31"/>
        <v>0</v>
      </c>
      <c r="BN330" s="65">
        <f t="shared" si="32"/>
        <v>0</v>
      </c>
      <c r="BO330" s="65">
        <f t="shared" si="33"/>
        <v>0</v>
      </c>
      <c r="BP330" s="65">
        <f t="shared" si="34"/>
        <v>0</v>
      </c>
    </row>
    <row r="331" spans="1:68" ht="27" customHeight="1" x14ac:dyDescent="0.25">
      <c r="A331" s="55" t="s">
        <v>502</v>
      </c>
      <c r="B331" s="55" t="s">
        <v>503</v>
      </c>
      <c r="C331" s="32">
        <v>4301011771</v>
      </c>
      <c r="D331" s="416">
        <v>4607091389104</v>
      </c>
      <c r="E331" s="417"/>
      <c r="F331" s="400">
        <v>0.88</v>
      </c>
      <c r="G331" s="33">
        <v>6</v>
      </c>
      <c r="H331" s="400">
        <v>5.28</v>
      </c>
      <c r="I331" s="400">
        <v>5.64</v>
      </c>
      <c r="J331" s="33">
        <v>104</v>
      </c>
      <c r="K331" s="33" t="s">
        <v>89</v>
      </c>
      <c r="L331" s="33"/>
      <c r="M331" s="34" t="s">
        <v>90</v>
      </c>
      <c r="N331" s="34"/>
      <c r="O331" s="33">
        <v>60</v>
      </c>
      <c r="P331" s="46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331" s="406"/>
      <c r="R331" s="406"/>
      <c r="S331" s="406"/>
      <c r="T331" s="407"/>
      <c r="U331" s="35"/>
      <c r="V331" s="35"/>
      <c r="W331" s="36" t="s">
        <v>71</v>
      </c>
      <c r="X331" s="401">
        <v>0</v>
      </c>
      <c r="Y331" s="402">
        <f t="shared" si="30"/>
        <v>0</v>
      </c>
      <c r="Z331" s="37" t="str">
        <f>IFERROR(IF(Y331=0,"",ROUNDUP(Y331/H331,0)*0.01196),"")</f>
        <v/>
      </c>
      <c r="AA331" s="57"/>
      <c r="AB331" s="58"/>
      <c r="AC331" s="356" t="s">
        <v>504</v>
      </c>
      <c r="AG331" s="65"/>
      <c r="AJ331" s="69"/>
      <c r="AK331" s="69">
        <v>0</v>
      </c>
      <c r="BB331" s="357" t="s">
        <v>1</v>
      </c>
      <c r="BM331" s="65">
        <f t="shared" si="31"/>
        <v>0</v>
      </c>
      <c r="BN331" s="65">
        <f t="shared" si="32"/>
        <v>0</v>
      </c>
      <c r="BO331" s="65">
        <f t="shared" si="33"/>
        <v>0</v>
      </c>
      <c r="BP331" s="65">
        <f t="shared" si="34"/>
        <v>0</v>
      </c>
    </row>
    <row r="332" spans="1:68" ht="16.5" customHeight="1" x14ac:dyDescent="0.25">
      <c r="A332" s="55" t="s">
        <v>505</v>
      </c>
      <c r="B332" s="55" t="s">
        <v>506</v>
      </c>
      <c r="C332" s="32">
        <v>4301011799</v>
      </c>
      <c r="D332" s="416">
        <v>4680115884519</v>
      </c>
      <c r="E332" s="417"/>
      <c r="F332" s="400">
        <v>0.88</v>
      </c>
      <c r="G332" s="33">
        <v>6</v>
      </c>
      <c r="H332" s="400">
        <v>5.28</v>
      </c>
      <c r="I332" s="400">
        <v>5.64</v>
      </c>
      <c r="J332" s="33">
        <v>104</v>
      </c>
      <c r="K332" s="33" t="s">
        <v>89</v>
      </c>
      <c r="L332" s="33"/>
      <c r="M332" s="34" t="s">
        <v>95</v>
      </c>
      <c r="N332" s="34"/>
      <c r="O332" s="33">
        <v>60</v>
      </c>
      <c r="P332" s="56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332" s="406"/>
      <c r="R332" s="406"/>
      <c r="S332" s="406"/>
      <c r="T332" s="407"/>
      <c r="U332" s="35"/>
      <c r="V332" s="35"/>
      <c r="W332" s="36" t="s">
        <v>71</v>
      </c>
      <c r="X332" s="401">
        <v>0</v>
      </c>
      <c r="Y332" s="402">
        <f t="shared" si="30"/>
        <v>0</v>
      </c>
      <c r="Z332" s="37" t="str">
        <f>IFERROR(IF(Y332=0,"",ROUNDUP(Y332/H332,0)*0.01196),"")</f>
        <v/>
      </c>
      <c r="AA332" s="57"/>
      <c r="AB332" s="58"/>
      <c r="AC332" s="358" t="s">
        <v>507</v>
      </c>
      <c r="AG332" s="65"/>
      <c r="AJ332" s="69"/>
      <c r="AK332" s="69">
        <v>0</v>
      </c>
      <c r="BB332" s="359" t="s">
        <v>1</v>
      </c>
      <c r="BM332" s="65">
        <f t="shared" si="31"/>
        <v>0</v>
      </c>
      <c r="BN332" s="65">
        <f t="shared" si="32"/>
        <v>0</v>
      </c>
      <c r="BO332" s="65">
        <f t="shared" si="33"/>
        <v>0</v>
      </c>
      <c r="BP332" s="65">
        <f t="shared" si="34"/>
        <v>0</v>
      </c>
    </row>
    <row r="333" spans="1:68" ht="27" customHeight="1" x14ac:dyDescent="0.25">
      <c r="A333" s="55" t="s">
        <v>508</v>
      </c>
      <c r="B333" s="55" t="s">
        <v>509</v>
      </c>
      <c r="C333" s="32">
        <v>4301011778</v>
      </c>
      <c r="D333" s="416">
        <v>4680115880603</v>
      </c>
      <c r="E333" s="417"/>
      <c r="F333" s="400">
        <v>0.6</v>
      </c>
      <c r="G333" s="33">
        <v>6</v>
      </c>
      <c r="H333" s="400">
        <v>3.6</v>
      </c>
      <c r="I333" s="400">
        <v>3.81</v>
      </c>
      <c r="J333" s="33">
        <v>132</v>
      </c>
      <c r="K333" s="33" t="s">
        <v>94</v>
      </c>
      <c r="L333" s="33"/>
      <c r="M333" s="34" t="s">
        <v>90</v>
      </c>
      <c r="N333" s="34"/>
      <c r="O333" s="33">
        <v>60</v>
      </c>
      <c r="P333" s="5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333" s="406"/>
      <c r="R333" s="406"/>
      <c r="S333" s="406"/>
      <c r="T333" s="407"/>
      <c r="U333" s="35"/>
      <c r="V333" s="35"/>
      <c r="W333" s="36" t="s">
        <v>71</v>
      </c>
      <c r="X333" s="401">
        <v>0</v>
      </c>
      <c r="Y333" s="402">
        <f t="shared" si="30"/>
        <v>0</v>
      </c>
      <c r="Z333" s="37" t="str">
        <f>IFERROR(IF(Y333=0,"",ROUNDUP(Y333/H333,0)*0.00902),"")</f>
        <v/>
      </c>
      <c r="AA333" s="57"/>
      <c r="AB333" s="58"/>
      <c r="AC333" s="360" t="s">
        <v>495</v>
      </c>
      <c r="AG333" s="65"/>
      <c r="AJ333" s="69"/>
      <c r="AK333" s="69">
        <v>0</v>
      </c>
      <c r="BB333" s="361" t="s">
        <v>1</v>
      </c>
      <c r="BM333" s="65">
        <f t="shared" si="31"/>
        <v>0</v>
      </c>
      <c r="BN333" s="65">
        <f t="shared" si="32"/>
        <v>0</v>
      </c>
      <c r="BO333" s="65">
        <f t="shared" si="33"/>
        <v>0</v>
      </c>
      <c r="BP333" s="65">
        <f t="shared" si="34"/>
        <v>0</v>
      </c>
    </row>
    <row r="334" spans="1:68" ht="27" customHeight="1" x14ac:dyDescent="0.25">
      <c r="A334" s="55" t="s">
        <v>508</v>
      </c>
      <c r="B334" s="55" t="s">
        <v>510</v>
      </c>
      <c r="C334" s="32">
        <v>4301012035</v>
      </c>
      <c r="D334" s="416">
        <v>4680115880603</v>
      </c>
      <c r="E334" s="417"/>
      <c r="F334" s="400">
        <v>0.6</v>
      </c>
      <c r="G334" s="33">
        <v>8</v>
      </c>
      <c r="H334" s="400">
        <v>4.8</v>
      </c>
      <c r="I334" s="400">
        <v>6.93</v>
      </c>
      <c r="J334" s="33">
        <v>132</v>
      </c>
      <c r="K334" s="33" t="s">
        <v>94</v>
      </c>
      <c r="L334" s="33"/>
      <c r="M334" s="34" t="s">
        <v>90</v>
      </c>
      <c r="N334" s="34"/>
      <c r="O334" s="33">
        <v>60</v>
      </c>
      <c r="P334" s="45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334" s="406"/>
      <c r="R334" s="406"/>
      <c r="S334" s="406"/>
      <c r="T334" s="407"/>
      <c r="U334" s="35"/>
      <c r="V334" s="35"/>
      <c r="W334" s="36" t="s">
        <v>71</v>
      </c>
      <c r="X334" s="401">
        <v>0</v>
      </c>
      <c r="Y334" s="402">
        <f t="shared" si="30"/>
        <v>0</v>
      </c>
      <c r="Z334" s="37" t="str">
        <f>IFERROR(IF(Y334=0,"",ROUNDUP(Y334/H334,0)*0.00902),"")</f>
        <v/>
      </c>
      <c r="AA334" s="57"/>
      <c r="AB334" s="58"/>
      <c r="AC334" s="362" t="s">
        <v>495</v>
      </c>
      <c r="AG334" s="65"/>
      <c r="AJ334" s="69"/>
      <c r="AK334" s="69">
        <v>0</v>
      </c>
      <c r="BB334" s="363" t="s">
        <v>1</v>
      </c>
      <c r="BM334" s="65">
        <f t="shared" si="31"/>
        <v>0</v>
      </c>
      <c r="BN334" s="65">
        <f t="shared" si="32"/>
        <v>0</v>
      </c>
      <c r="BO334" s="65">
        <f t="shared" si="33"/>
        <v>0</v>
      </c>
      <c r="BP334" s="65">
        <f t="shared" si="34"/>
        <v>0</v>
      </c>
    </row>
    <row r="335" spans="1:68" ht="27" customHeight="1" x14ac:dyDescent="0.25">
      <c r="A335" s="55" t="s">
        <v>511</v>
      </c>
      <c r="B335" s="55" t="s">
        <v>512</v>
      </c>
      <c r="C335" s="32">
        <v>4301012036</v>
      </c>
      <c r="D335" s="416">
        <v>4680115882782</v>
      </c>
      <c r="E335" s="417"/>
      <c r="F335" s="400">
        <v>0.6</v>
      </c>
      <c r="G335" s="33">
        <v>8</v>
      </c>
      <c r="H335" s="400">
        <v>4.8</v>
      </c>
      <c r="I335" s="400">
        <v>6.96</v>
      </c>
      <c r="J335" s="33">
        <v>120</v>
      </c>
      <c r="K335" s="33" t="s">
        <v>94</v>
      </c>
      <c r="L335" s="33"/>
      <c r="M335" s="34" t="s">
        <v>90</v>
      </c>
      <c r="N335" s="34"/>
      <c r="O335" s="33">
        <v>60</v>
      </c>
      <c r="P335" s="59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335" s="406"/>
      <c r="R335" s="406"/>
      <c r="S335" s="406"/>
      <c r="T335" s="407"/>
      <c r="U335" s="35"/>
      <c r="V335" s="35"/>
      <c r="W335" s="36" t="s">
        <v>71</v>
      </c>
      <c r="X335" s="401">
        <v>0</v>
      </c>
      <c r="Y335" s="402">
        <f t="shared" si="30"/>
        <v>0</v>
      </c>
      <c r="Z335" s="37" t="str">
        <f>IFERROR(IF(Y335=0,"",ROUNDUP(Y335/H335,0)*0.00937),"")</f>
        <v/>
      </c>
      <c r="AA335" s="57"/>
      <c r="AB335" s="58"/>
      <c r="AC335" s="364" t="s">
        <v>513</v>
      </c>
      <c r="AG335" s="65"/>
      <c r="AJ335" s="69"/>
      <c r="AK335" s="69">
        <v>0</v>
      </c>
      <c r="BB335" s="365" t="s">
        <v>1</v>
      </c>
      <c r="BM335" s="65">
        <f t="shared" si="31"/>
        <v>0</v>
      </c>
      <c r="BN335" s="65">
        <f t="shared" si="32"/>
        <v>0</v>
      </c>
      <c r="BO335" s="65">
        <f t="shared" si="33"/>
        <v>0</v>
      </c>
      <c r="BP335" s="65">
        <f t="shared" si="34"/>
        <v>0</v>
      </c>
    </row>
    <row r="336" spans="1:68" ht="27" customHeight="1" x14ac:dyDescent="0.25">
      <c r="A336" s="55" t="s">
        <v>514</v>
      </c>
      <c r="B336" s="55" t="s">
        <v>515</v>
      </c>
      <c r="C336" s="32">
        <v>4301011784</v>
      </c>
      <c r="D336" s="416">
        <v>4607091389982</v>
      </c>
      <c r="E336" s="417"/>
      <c r="F336" s="400">
        <v>0.6</v>
      </c>
      <c r="G336" s="33">
        <v>6</v>
      </c>
      <c r="H336" s="400">
        <v>3.6</v>
      </c>
      <c r="I336" s="400">
        <v>3.81</v>
      </c>
      <c r="J336" s="33">
        <v>132</v>
      </c>
      <c r="K336" s="33" t="s">
        <v>94</v>
      </c>
      <c r="L336" s="33"/>
      <c r="M336" s="34" t="s">
        <v>90</v>
      </c>
      <c r="N336" s="34"/>
      <c r="O336" s="33">
        <v>60</v>
      </c>
      <c r="P336" s="61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36" s="406"/>
      <c r="R336" s="406"/>
      <c r="S336" s="406"/>
      <c r="T336" s="407"/>
      <c r="U336" s="35"/>
      <c r="V336" s="35"/>
      <c r="W336" s="36" t="s">
        <v>71</v>
      </c>
      <c r="X336" s="401">
        <v>0</v>
      </c>
      <c r="Y336" s="402">
        <f t="shared" si="30"/>
        <v>0</v>
      </c>
      <c r="Z336" s="37" t="str">
        <f>IFERROR(IF(Y336=0,"",ROUNDUP(Y336/H336,0)*0.00902),"")</f>
        <v/>
      </c>
      <c r="AA336" s="57"/>
      <c r="AB336" s="58"/>
      <c r="AC336" s="366" t="s">
        <v>504</v>
      </c>
      <c r="AG336" s="65"/>
      <c r="AJ336" s="69"/>
      <c r="AK336" s="69">
        <v>0</v>
      </c>
      <c r="BB336" s="367" t="s">
        <v>1</v>
      </c>
      <c r="BM336" s="65">
        <f t="shared" si="31"/>
        <v>0</v>
      </c>
      <c r="BN336" s="65">
        <f t="shared" si="32"/>
        <v>0</v>
      </c>
      <c r="BO336" s="65">
        <f t="shared" si="33"/>
        <v>0</v>
      </c>
      <c r="BP336" s="65">
        <f t="shared" si="34"/>
        <v>0</v>
      </c>
    </row>
    <row r="337" spans="1:68" ht="27" customHeight="1" x14ac:dyDescent="0.25">
      <c r="A337" s="55" t="s">
        <v>514</v>
      </c>
      <c r="B337" s="55" t="s">
        <v>516</v>
      </c>
      <c r="C337" s="32">
        <v>4301012034</v>
      </c>
      <c r="D337" s="416">
        <v>4607091389982</v>
      </c>
      <c r="E337" s="417"/>
      <c r="F337" s="400">
        <v>0.6</v>
      </c>
      <c r="G337" s="33">
        <v>8</v>
      </c>
      <c r="H337" s="400">
        <v>4.8</v>
      </c>
      <c r="I337" s="400">
        <v>6.96</v>
      </c>
      <c r="J337" s="33">
        <v>120</v>
      </c>
      <c r="K337" s="33" t="s">
        <v>94</v>
      </c>
      <c r="L337" s="33"/>
      <c r="M337" s="34" t="s">
        <v>90</v>
      </c>
      <c r="N337" s="34"/>
      <c r="O337" s="33">
        <v>60</v>
      </c>
      <c r="P337" s="47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37" s="406"/>
      <c r="R337" s="406"/>
      <c r="S337" s="406"/>
      <c r="T337" s="407"/>
      <c r="U337" s="35"/>
      <c r="V337" s="35"/>
      <c r="W337" s="36" t="s">
        <v>71</v>
      </c>
      <c r="X337" s="401">
        <v>0</v>
      </c>
      <c r="Y337" s="402">
        <f t="shared" si="30"/>
        <v>0</v>
      </c>
      <c r="Z337" s="37" t="str">
        <f>IFERROR(IF(Y337=0,"",ROUNDUP(Y337/H337,0)*0.00937),"")</f>
        <v/>
      </c>
      <c r="AA337" s="57"/>
      <c r="AB337" s="58"/>
      <c r="AC337" s="368" t="s">
        <v>504</v>
      </c>
      <c r="AG337" s="65"/>
      <c r="AJ337" s="69"/>
      <c r="AK337" s="69">
        <v>0</v>
      </c>
      <c r="BB337" s="369" t="s">
        <v>1</v>
      </c>
      <c r="BM337" s="65">
        <f t="shared" si="31"/>
        <v>0</v>
      </c>
      <c r="BN337" s="65">
        <f t="shared" si="32"/>
        <v>0</v>
      </c>
      <c r="BO337" s="65">
        <f t="shared" si="33"/>
        <v>0</v>
      </c>
      <c r="BP337" s="65">
        <f t="shared" si="34"/>
        <v>0</v>
      </c>
    </row>
    <row r="338" spans="1:68" x14ac:dyDescent="0.2">
      <c r="A338" s="425"/>
      <c r="B338" s="415"/>
      <c r="C338" s="415"/>
      <c r="D338" s="415"/>
      <c r="E338" s="415"/>
      <c r="F338" s="415"/>
      <c r="G338" s="415"/>
      <c r="H338" s="415"/>
      <c r="I338" s="415"/>
      <c r="J338" s="415"/>
      <c r="K338" s="415"/>
      <c r="L338" s="415"/>
      <c r="M338" s="415"/>
      <c r="N338" s="415"/>
      <c r="O338" s="426"/>
      <c r="P338" s="411" t="s">
        <v>76</v>
      </c>
      <c r="Q338" s="412"/>
      <c r="R338" s="412"/>
      <c r="S338" s="412"/>
      <c r="T338" s="412"/>
      <c r="U338" s="412"/>
      <c r="V338" s="413"/>
      <c r="W338" s="38" t="s">
        <v>77</v>
      </c>
      <c r="X338" s="403">
        <f>IFERROR(X328/H328,"0")+IFERROR(X329/H329,"0")+IFERROR(X330/H330,"0")+IFERROR(X331/H331,"0")+IFERROR(X332/H332,"0")+IFERROR(X333/H333,"0")+IFERROR(X334/H334,"0")+IFERROR(X335/H335,"0")+IFERROR(X336/H336,"0")+IFERROR(X337/H337,"0")</f>
        <v>85.22727272727272</v>
      </c>
      <c r="Y338" s="403">
        <f>IFERROR(Y328/H328,"0")+IFERROR(Y329/H329,"0")+IFERROR(Y330/H330,"0")+IFERROR(Y331/H331,"0")+IFERROR(Y332/H332,"0")+IFERROR(Y333/H333,"0")+IFERROR(Y334/H334,"0")+IFERROR(Y335/H335,"0")+IFERROR(Y336/H336,"0")+IFERROR(Y337/H337,"0")</f>
        <v>86</v>
      </c>
      <c r="Z338" s="403">
        <f>IFERROR(IF(Z328="",0,Z328),"0")+IFERROR(IF(Z329="",0,Z329),"0")+IFERROR(IF(Z330="",0,Z330),"0")+IFERROR(IF(Z331="",0,Z331),"0")+IFERROR(IF(Z332="",0,Z332),"0")+IFERROR(IF(Z333="",0,Z333),"0")+IFERROR(IF(Z334="",0,Z334),"0")+IFERROR(IF(Z335="",0,Z335),"0")+IFERROR(IF(Z336="",0,Z336),"0")+IFERROR(IF(Z337="",0,Z337),"0")</f>
        <v>1.0285599999999999</v>
      </c>
      <c r="AA338" s="404"/>
      <c r="AB338" s="404"/>
      <c r="AC338" s="404"/>
    </row>
    <row r="339" spans="1:68" x14ac:dyDescent="0.2">
      <c r="A339" s="415"/>
      <c r="B339" s="415"/>
      <c r="C339" s="415"/>
      <c r="D339" s="415"/>
      <c r="E339" s="415"/>
      <c r="F339" s="415"/>
      <c r="G339" s="415"/>
      <c r="H339" s="415"/>
      <c r="I339" s="415"/>
      <c r="J339" s="415"/>
      <c r="K339" s="415"/>
      <c r="L339" s="415"/>
      <c r="M339" s="415"/>
      <c r="N339" s="415"/>
      <c r="O339" s="426"/>
      <c r="P339" s="411" t="s">
        <v>76</v>
      </c>
      <c r="Q339" s="412"/>
      <c r="R339" s="412"/>
      <c r="S339" s="412"/>
      <c r="T339" s="412"/>
      <c r="U339" s="412"/>
      <c r="V339" s="413"/>
      <c r="W339" s="38" t="s">
        <v>71</v>
      </c>
      <c r="X339" s="403">
        <f>IFERROR(SUM(X328:X337),"0")</f>
        <v>450</v>
      </c>
      <c r="Y339" s="403">
        <f>IFERROR(SUM(Y328:Y337),"0")</f>
        <v>454.08000000000004</v>
      </c>
      <c r="Z339" s="38"/>
      <c r="AA339" s="404"/>
      <c r="AB339" s="404"/>
      <c r="AC339" s="404"/>
    </row>
    <row r="340" spans="1:68" ht="14.25" customHeight="1" x14ac:dyDescent="0.25">
      <c r="A340" s="414" t="s">
        <v>120</v>
      </c>
      <c r="B340" s="415"/>
      <c r="C340" s="415"/>
      <c r="D340" s="415"/>
      <c r="E340" s="415"/>
      <c r="F340" s="415"/>
      <c r="G340" s="415"/>
      <c r="H340" s="415"/>
      <c r="I340" s="415"/>
      <c r="J340" s="415"/>
      <c r="K340" s="415"/>
      <c r="L340" s="415"/>
      <c r="M340" s="415"/>
      <c r="N340" s="415"/>
      <c r="O340" s="415"/>
      <c r="P340" s="415"/>
      <c r="Q340" s="415"/>
      <c r="R340" s="415"/>
      <c r="S340" s="415"/>
      <c r="T340" s="415"/>
      <c r="U340" s="415"/>
      <c r="V340" s="415"/>
      <c r="W340" s="415"/>
      <c r="X340" s="415"/>
      <c r="Y340" s="415"/>
      <c r="Z340" s="415"/>
      <c r="AA340" s="397"/>
      <c r="AB340" s="397"/>
      <c r="AC340" s="397"/>
    </row>
    <row r="341" spans="1:68" ht="16.5" customHeight="1" x14ac:dyDescent="0.25">
      <c r="A341" s="55" t="s">
        <v>517</v>
      </c>
      <c r="B341" s="55" t="s">
        <v>518</v>
      </c>
      <c r="C341" s="32">
        <v>4301020334</v>
      </c>
      <c r="D341" s="416">
        <v>4607091388930</v>
      </c>
      <c r="E341" s="417"/>
      <c r="F341" s="400">
        <v>0.88</v>
      </c>
      <c r="G341" s="33">
        <v>6</v>
      </c>
      <c r="H341" s="400">
        <v>5.28</v>
      </c>
      <c r="I341" s="400">
        <v>5.64</v>
      </c>
      <c r="J341" s="33">
        <v>104</v>
      </c>
      <c r="K341" s="33" t="s">
        <v>89</v>
      </c>
      <c r="L341" s="33"/>
      <c r="M341" s="34" t="s">
        <v>95</v>
      </c>
      <c r="N341" s="34"/>
      <c r="O341" s="33">
        <v>70</v>
      </c>
      <c r="P341" s="61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341" s="406"/>
      <c r="R341" s="406"/>
      <c r="S341" s="406"/>
      <c r="T341" s="407"/>
      <c r="U341" s="35"/>
      <c r="V341" s="35"/>
      <c r="W341" s="36" t="s">
        <v>71</v>
      </c>
      <c r="X341" s="401">
        <v>200</v>
      </c>
      <c r="Y341" s="402">
        <f>IFERROR(IF(X341="",0,CEILING((X341/$H341),1)*$H341),"")</f>
        <v>200.64000000000001</v>
      </c>
      <c r="Z341" s="37">
        <f>IFERROR(IF(Y341=0,"",ROUNDUP(Y341/H341,0)*0.01196),"")</f>
        <v>0.45448</v>
      </c>
      <c r="AA341" s="57"/>
      <c r="AB341" s="58"/>
      <c r="AC341" s="370" t="s">
        <v>519</v>
      </c>
      <c r="AG341" s="65"/>
      <c r="AJ341" s="69"/>
      <c r="AK341" s="69">
        <v>0</v>
      </c>
      <c r="BB341" s="371" t="s">
        <v>1</v>
      </c>
      <c r="BM341" s="65">
        <f>IFERROR(X341*I341/H341,"0")</f>
        <v>213.63636363636363</v>
      </c>
      <c r="BN341" s="65">
        <f>IFERROR(Y341*I341/H341,"0")</f>
        <v>214.32</v>
      </c>
      <c r="BO341" s="65">
        <f>IFERROR(1/J341*(X341/H341),"0")</f>
        <v>0.36421911421911418</v>
      </c>
      <c r="BP341" s="65">
        <f>IFERROR(1/J341*(Y341/H341),"0")</f>
        <v>0.36538461538461542</v>
      </c>
    </row>
    <row r="342" spans="1:68" ht="16.5" customHeight="1" x14ac:dyDescent="0.25">
      <c r="A342" s="55" t="s">
        <v>520</v>
      </c>
      <c r="B342" s="55" t="s">
        <v>521</v>
      </c>
      <c r="C342" s="32">
        <v>4301020385</v>
      </c>
      <c r="D342" s="416">
        <v>4680115880054</v>
      </c>
      <c r="E342" s="417"/>
      <c r="F342" s="400">
        <v>0.6</v>
      </c>
      <c r="G342" s="33">
        <v>8</v>
      </c>
      <c r="H342" s="400">
        <v>4.8</v>
      </c>
      <c r="I342" s="400">
        <v>6.93</v>
      </c>
      <c r="J342" s="33">
        <v>132</v>
      </c>
      <c r="K342" s="33" t="s">
        <v>94</v>
      </c>
      <c r="L342" s="33"/>
      <c r="M342" s="34" t="s">
        <v>90</v>
      </c>
      <c r="N342" s="34"/>
      <c r="O342" s="33">
        <v>70</v>
      </c>
      <c r="P342" s="63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342" s="406"/>
      <c r="R342" s="406"/>
      <c r="S342" s="406"/>
      <c r="T342" s="407"/>
      <c r="U342" s="35"/>
      <c r="V342" s="35"/>
      <c r="W342" s="36" t="s">
        <v>71</v>
      </c>
      <c r="X342" s="401">
        <v>0</v>
      </c>
      <c r="Y342" s="402">
        <f>IFERROR(IF(X342="",0,CEILING((X342/$H342),1)*$H342),"")</f>
        <v>0</v>
      </c>
      <c r="Z342" s="37" t="str">
        <f>IFERROR(IF(Y342=0,"",ROUNDUP(Y342/H342,0)*0.00902),"")</f>
        <v/>
      </c>
      <c r="AA342" s="57"/>
      <c r="AB342" s="58"/>
      <c r="AC342" s="372" t="s">
        <v>519</v>
      </c>
      <c r="AG342" s="65"/>
      <c r="AJ342" s="69"/>
      <c r="AK342" s="69">
        <v>0</v>
      </c>
      <c r="BB342" s="373" t="s">
        <v>1</v>
      </c>
      <c r="BM342" s="65">
        <f>IFERROR(X342*I342/H342,"0")</f>
        <v>0</v>
      </c>
      <c r="BN342" s="65">
        <f>IFERROR(Y342*I342/H342,"0")</f>
        <v>0</v>
      </c>
      <c r="BO342" s="65">
        <f>IFERROR(1/J342*(X342/H342),"0")</f>
        <v>0</v>
      </c>
      <c r="BP342" s="65">
        <f>IFERROR(1/J342*(Y342/H342),"0")</f>
        <v>0</v>
      </c>
    </row>
    <row r="343" spans="1:68" x14ac:dyDescent="0.2">
      <c r="A343" s="425"/>
      <c r="B343" s="415"/>
      <c r="C343" s="415"/>
      <c r="D343" s="415"/>
      <c r="E343" s="415"/>
      <c r="F343" s="415"/>
      <c r="G343" s="415"/>
      <c r="H343" s="415"/>
      <c r="I343" s="415"/>
      <c r="J343" s="415"/>
      <c r="K343" s="415"/>
      <c r="L343" s="415"/>
      <c r="M343" s="415"/>
      <c r="N343" s="415"/>
      <c r="O343" s="426"/>
      <c r="P343" s="411" t="s">
        <v>76</v>
      </c>
      <c r="Q343" s="412"/>
      <c r="R343" s="412"/>
      <c r="S343" s="412"/>
      <c r="T343" s="412"/>
      <c r="U343" s="412"/>
      <c r="V343" s="413"/>
      <c r="W343" s="38" t="s">
        <v>77</v>
      </c>
      <c r="X343" s="403">
        <f>IFERROR(X341/H341,"0")+IFERROR(X342/H342,"0")</f>
        <v>37.878787878787875</v>
      </c>
      <c r="Y343" s="403">
        <f>IFERROR(Y341/H341,"0")+IFERROR(Y342/H342,"0")</f>
        <v>38</v>
      </c>
      <c r="Z343" s="403">
        <f>IFERROR(IF(Z341="",0,Z341),"0")+IFERROR(IF(Z342="",0,Z342),"0")</f>
        <v>0.45448</v>
      </c>
      <c r="AA343" s="404"/>
      <c r="AB343" s="404"/>
      <c r="AC343" s="404"/>
    </row>
    <row r="344" spans="1:68" x14ac:dyDescent="0.2">
      <c r="A344" s="415"/>
      <c r="B344" s="415"/>
      <c r="C344" s="415"/>
      <c r="D344" s="415"/>
      <c r="E344" s="415"/>
      <c r="F344" s="415"/>
      <c r="G344" s="415"/>
      <c r="H344" s="415"/>
      <c r="I344" s="415"/>
      <c r="J344" s="415"/>
      <c r="K344" s="415"/>
      <c r="L344" s="415"/>
      <c r="M344" s="415"/>
      <c r="N344" s="415"/>
      <c r="O344" s="426"/>
      <c r="P344" s="411" t="s">
        <v>76</v>
      </c>
      <c r="Q344" s="412"/>
      <c r="R344" s="412"/>
      <c r="S344" s="412"/>
      <c r="T344" s="412"/>
      <c r="U344" s="412"/>
      <c r="V344" s="413"/>
      <c r="W344" s="38" t="s">
        <v>71</v>
      </c>
      <c r="X344" s="403">
        <f>IFERROR(SUM(X341:X342),"0")</f>
        <v>200</v>
      </c>
      <c r="Y344" s="403">
        <f>IFERROR(SUM(Y341:Y342),"0")</f>
        <v>200.64000000000001</v>
      </c>
      <c r="Z344" s="38"/>
      <c r="AA344" s="404"/>
      <c r="AB344" s="404"/>
      <c r="AC344" s="404"/>
    </row>
    <row r="345" spans="1:68" ht="14.25" customHeight="1" x14ac:dyDescent="0.25">
      <c r="A345" s="414" t="s">
        <v>185</v>
      </c>
      <c r="B345" s="415"/>
      <c r="C345" s="415"/>
      <c r="D345" s="415"/>
      <c r="E345" s="415"/>
      <c r="F345" s="415"/>
      <c r="G345" s="415"/>
      <c r="H345" s="415"/>
      <c r="I345" s="415"/>
      <c r="J345" s="415"/>
      <c r="K345" s="415"/>
      <c r="L345" s="415"/>
      <c r="M345" s="415"/>
      <c r="N345" s="415"/>
      <c r="O345" s="415"/>
      <c r="P345" s="415"/>
      <c r="Q345" s="415"/>
      <c r="R345" s="415"/>
      <c r="S345" s="415"/>
      <c r="T345" s="415"/>
      <c r="U345" s="415"/>
      <c r="V345" s="415"/>
      <c r="W345" s="415"/>
      <c r="X345" s="415"/>
      <c r="Y345" s="415"/>
      <c r="Z345" s="415"/>
      <c r="AA345" s="397"/>
      <c r="AB345" s="397"/>
      <c r="AC345" s="397"/>
    </row>
    <row r="346" spans="1:68" ht="27" customHeight="1" x14ac:dyDescent="0.25">
      <c r="A346" s="55" t="s">
        <v>522</v>
      </c>
      <c r="B346" s="55" t="s">
        <v>523</v>
      </c>
      <c r="C346" s="32">
        <v>4301031349</v>
      </c>
      <c r="D346" s="416">
        <v>4680115883116</v>
      </c>
      <c r="E346" s="417"/>
      <c r="F346" s="400">
        <v>0.88</v>
      </c>
      <c r="G346" s="33">
        <v>6</v>
      </c>
      <c r="H346" s="400">
        <v>5.28</v>
      </c>
      <c r="I346" s="400">
        <v>5.64</v>
      </c>
      <c r="J346" s="33">
        <v>104</v>
      </c>
      <c r="K346" s="33" t="s">
        <v>89</v>
      </c>
      <c r="L346" s="33"/>
      <c r="M346" s="34" t="s">
        <v>90</v>
      </c>
      <c r="N346" s="34"/>
      <c r="O346" s="33">
        <v>70</v>
      </c>
      <c r="P346" s="59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346" s="406"/>
      <c r="R346" s="406"/>
      <c r="S346" s="406"/>
      <c r="T346" s="407"/>
      <c r="U346" s="35"/>
      <c r="V346" s="35"/>
      <c r="W346" s="36" t="s">
        <v>71</v>
      </c>
      <c r="X346" s="401">
        <v>0</v>
      </c>
      <c r="Y346" s="402">
        <f t="shared" ref="Y346:Y352" si="35">IFERROR(IF(X346="",0,CEILING((X346/$H346),1)*$H346),"")</f>
        <v>0</v>
      </c>
      <c r="Z346" s="37" t="str">
        <f>IFERROR(IF(Y346=0,"",ROUNDUP(Y346/H346,0)*0.01196),"")</f>
        <v/>
      </c>
      <c r="AA346" s="57"/>
      <c r="AB346" s="58"/>
      <c r="AC346" s="374" t="s">
        <v>524</v>
      </c>
      <c r="AG346" s="65"/>
      <c r="AJ346" s="69"/>
      <c r="AK346" s="69">
        <v>0</v>
      </c>
      <c r="BB346" s="375" t="s">
        <v>1</v>
      </c>
      <c r="BM346" s="65">
        <f t="shared" ref="BM346:BM352" si="36">IFERROR(X346*I346/H346,"0")</f>
        <v>0</v>
      </c>
      <c r="BN346" s="65">
        <f t="shared" ref="BN346:BN352" si="37">IFERROR(Y346*I346/H346,"0")</f>
        <v>0</v>
      </c>
      <c r="BO346" s="65">
        <f t="shared" ref="BO346:BO352" si="38">IFERROR(1/J346*(X346/H346),"0")</f>
        <v>0</v>
      </c>
      <c r="BP346" s="65">
        <f t="shared" ref="BP346:BP352" si="39">IFERROR(1/J346*(Y346/H346),"0")</f>
        <v>0</v>
      </c>
    </row>
    <row r="347" spans="1:68" ht="27" customHeight="1" x14ac:dyDescent="0.25">
      <c r="A347" s="55" t="s">
        <v>525</v>
      </c>
      <c r="B347" s="55" t="s">
        <v>526</v>
      </c>
      <c r="C347" s="32">
        <v>4301031350</v>
      </c>
      <c r="D347" s="416">
        <v>4680115883093</v>
      </c>
      <c r="E347" s="417"/>
      <c r="F347" s="400">
        <v>0.88</v>
      </c>
      <c r="G347" s="33">
        <v>6</v>
      </c>
      <c r="H347" s="400">
        <v>5.28</v>
      </c>
      <c r="I347" s="400">
        <v>5.64</v>
      </c>
      <c r="J347" s="33">
        <v>104</v>
      </c>
      <c r="K347" s="33" t="s">
        <v>89</v>
      </c>
      <c r="L347" s="33"/>
      <c r="M347" s="34" t="s">
        <v>70</v>
      </c>
      <c r="N347" s="34"/>
      <c r="O347" s="33">
        <v>70</v>
      </c>
      <c r="P347" s="61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347" s="406"/>
      <c r="R347" s="406"/>
      <c r="S347" s="406"/>
      <c r="T347" s="407"/>
      <c r="U347" s="35"/>
      <c r="V347" s="35"/>
      <c r="W347" s="36" t="s">
        <v>71</v>
      </c>
      <c r="X347" s="401">
        <v>200</v>
      </c>
      <c r="Y347" s="402">
        <f t="shared" si="35"/>
        <v>200.64000000000001</v>
      </c>
      <c r="Z347" s="37">
        <f>IFERROR(IF(Y347=0,"",ROUNDUP(Y347/H347,0)*0.01196),"")</f>
        <v>0.45448</v>
      </c>
      <c r="AA347" s="57"/>
      <c r="AB347" s="58"/>
      <c r="AC347" s="376" t="s">
        <v>527</v>
      </c>
      <c r="AG347" s="65"/>
      <c r="AJ347" s="69"/>
      <c r="AK347" s="69">
        <v>0</v>
      </c>
      <c r="BB347" s="377" t="s">
        <v>1</v>
      </c>
      <c r="BM347" s="65">
        <f t="shared" si="36"/>
        <v>213.63636363636363</v>
      </c>
      <c r="BN347" s="65">
        <f t="shared" si="37"/>
        <v>214.32</v>
      </c>
      <c r="BO347" s="65">
        <f t="shared" si="38"/>
        <v>0.36421911421911418</v>
      </c>
      <c r="BP347" s="65">
        <f t="shared" si="39"/>
        <v>0.36538461538461542</v>
      </c>
    </row>
    <row r="348" spans="1:68" ht="27" customHeight="1" x14ac:dyDescent="0.25">
      <c r="A348" s="55" t="s">
        <v>528</v>
      </c>
      <c r="B348" s="55" t="s">
        <v>529</v>
      </c>
      <c r="C348" s="32">
        <v>4301031353</v>
      </c>
      <c r="D348" s="416">
        <v>4680115883109</v>
      </c>
      <c r="E348" s="417"/>
      <c r="F348" s="400">
        <v>0.88</v>
      </c>
      <c r="G348" s="33">
        <v>6</v>
      </c>
      <c r="H348" s="400">
        <v>5.28</v>
      </c>
      <c r="I348" s="400">
        <v>5.64</v>
      </c>
      <c r="J348" s="33">
        <v>104</v>
      </c>
      <c r="K348" s="33" t="s">
        <v>89</v>
      </c>
      <c r="L348" s="33"/>
      <c r="M348" s="34" t="s">
        <v>70</v>
      </c>
      <c r="N348" s="34"/>
      <c r="O348" s="33">
        <v>70</v>
      </c>
      <c r="P348" s="60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348" s="406"/>
      <c r="R348" s="406"/>
      <c r="S348" s="406"/>
      <c r="T348" s="407"/>
      <c r="U348" s="35"/>
      <c r="V348" s="35"/>
      <c r="W348" s="36" t="s">
        <v>71</v>
      </c>
      <c r="X348" s="401">
        <v>50</v>
      </c>
      <c r="Y348" s="402">
        <f t="shared" si="35"/>
        <v>52.800000000000004</v>
      </c>
      <c r="Z348" s="37">
        <f>IFERROR(IF(Y348=0,"",ROUNDUP(Y348/H348,0)*0.01196),"")</f>
        <v>0.1196</v>
      </c>
      <c r="AA348" s="57"/>
      <c r="AB348" s="58"/>
      <c r="AC348" s="378" t="s">
        <v>530</v>
      </c>
      <c r="AG348" s="65"/>
      <c r="AJ348" s="69"/>
      <c r="AK348" s="69">
        <v>0</v>
      </c>
      <c r="BB348" s="379" t="s">
        <v>1</v>
      </c>
      <c r="BM348" s="65">
        <f t="shared" si="36"/>
        <v>53.409090909090907</v>
      </c>
      <c r="BN348" s="65">
        <f t="shared" si="37"/>
        <v>56.400000000000006</v>
      </c>
      <c r="BO348" s="65">
        <f t="shared" si="38"/>
        <v>9.1054778554778545E-2</v>
      </c>
      <c r="BP348" s="65">
        <f t="shared" si="39"/>
        <v>9.6153846153846159E-2</v>
      </c>
    </row>
    <row r="349" spans="1:68" ht="27" customHeight="1" x14ac:dyDescent="0.25">
      <c r="A349" s="55" t="s">
        <v>531</v>
      </c>
      <c r="B349" s="55" t="s">
        <v>532</v>
      </c>
      <c r="C349" s="32">
        <v>4301031419</v>
      </c>
      <c r="D349" s="416">
        <v>4680115882072</v>
      </c>
      <c r="E349" s="417"/>
      <c r="F349" s="400">
        <v>0.6</v>
      </c>
      <c r="G349" s="33">
        <v>8</v>
      </c>
      <c r="H349" s="400">
        <v>4.8</v>
      </c>
      <c r="I349" s="400">
        <v>6.93</v>
      </c>
      <c r="J349" s="33">
        <v>132</v>
      </c>
      <c r="K349" s="33" t="s">
        <v>94</v>
      </c>
      <c r="L349" s="33"/>
      <c r="M349" s="34" t="s">
        <v>90</v>
      </c>
      <c r="N349" s="34"/>
      <c r="O349" s="33">
        <v>70</v>
      </c>
      <c r="P349" s="62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49" s="406"/>
      <c r="R349" s="406"/>
      <c r="S349" s="406"/>
      <c r="T349" s="407"/>
      <c r="U349" s="35"/>
      <c r="V349" s="35"/>
      <c r="W349" s="36" t="s">
        <v>71</v>
      </c>
      <c r="X349" s="401">
        <v>0</v>
      </c>
      <c r="Y349" s="402">
        <f t="shared" si="35"/>
        <v>0</v>
      </c>
      <c r="Z349" s="37" t="str">
        <f>IFERROR(IF(Y349=0,"",ROUNDUP(Y349/H349,0)*0.00902),"")</f>
        <v/>
      </c>
      <c r="AA349" s="57"/>
      <c r="AB349" s="58"/>
      <c r="AC349" s="380" t="s">
        <v>524</v>
      </c>
      <c r="AG349" s="65"/>
      <c r="AJ349" s="69"/>
      <c r="AK349" s="69">
        <v>0</v>
      </c>
      <c r="BB349" s="381" t="s">
        <v>1</v>
      </c>
      <c r="BM349" s="65">
        <f t="shared" si="36"/>
        <v>0</v>
      </c>
      <c r="BN349" s="65">
        <f t="shared" si="37"/>
        <v>0</v>
      </c>
      <c r="BO349" s="65">
        <f t="shared" si="38"/>
        <v>0</v>
      </c>
      <c r="BP349" s="65">
        <f t="shared" si="39"/>
        <v>0</v>
      </c>
    </row>
    <row r="350" spans="1:68" ht="27" customHeight="1" x14ac:dyDescent="0.25">
      <c r="A350" s="55" t="s">
        <v>531</v>
      </c>
      <c r="B350" s="55" t="s">
        <v>533</v>
      </c>
      <c r="C350" s="32">
        <v>4301031351</v>
      </c>
      <c r="D350" s="416">
        <v>4680115882072</v>
      </c>
      <c r="E350" s="417"/>
      <c r="F350" s="400">
        <v>0.6</v>
      </c>
      <c r="G350" s="33">
        <v>6</v>
      </c>
      <c r="H350" s="400">
        <v>3.6</v>
      </c>
      <c r="I350" s="400">
        <v>3.81</v>
      </c>
      <c r="J350" s="33">
        <v>132</v>
      </c>
      <c r="K350" s="33" t="s">
        <v>94</v>
      </c>
      <c r="L350" s="33"/>
      <c r="M350" s="34" t="s">
        <v>90</v>
      </c>
      <c r="N350" s="34"/>
      <c r="O350" s="33">
        <v>70</v>
      </c>
      <c r="P350" s="48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50" s="406"/>
      <c r="R350" s="406"/>
      <c r="S350" s="406"/>
      <c r="T350" s="407"/>
      <c r="U350" s="35"/>
      <c r="V350" s="35"/>
      <c r="W350" s="36" t="s">
        <v>71</v>
      </c>
      <c r="X350" s="401">
        <v>0</v>
      </c>
      <c r="Y350" s="402">
        <f t="shared" si="35"/>
        <v>0</v>
      </c>
      <c r="Z350" s="37" t="str">
        <f>IFERROR(IF(Y350=0,"",ROUNDUP(Y350/H350,0)*0.00902),"")</f>
        <v/>
      </c>
      <c r="AA350" s="57"/>
      <c r="AB350" s="58"/>
      <c r="AC350" s="382" t="s">
        <v>524</v>
      </c>
      <c r="AG350" s="65"/>
      <c r="AJ350" s="69"/>
      <c r="AK350" s="69">
        <v>0</v>
      </c>
      <c r="BB350" s="383" t="s">
        <v>1</v>
      </c>
      <c r="BM350" s="65">
        <f t="shared" si="36"/>
        <v>0</v>
      </c>
      <c r="BN350" s="65">
        <f t="shared" si="37"/>
        <v>0</v>
      </c>
      <c r="BO350" s="65">
        <f t="shared" si="38"/>
        <v>0</v>
      </c>
      <c r="BP350" s="65">
        <f t="shared" si="39"/>
        <v>0</v>
      </c>
    </row>
    <row r="351" spans="1:68" ht="27" customHeight="1" x14ac:dyDescent="0.25">
      <c r="A351" s="55" t="s">
        <v>534</v>
      </c>
      <c r="B351" s="55" t="s">
        <v>535</v>
      </c>
      <c r="C351" s="32">
        <v>4301031418</v>
      </c>
      <c r="D351" s="416">
        <v>4680115882102</v>
      </c>
      <c r="E351" s="417"/>
      <c r="F351" s="400">
        <v>0.6</v>
      </c>
      <c r="G351" s="33">
        <v>8</v>
      </c>
      <c r="H351" s="400">
        <v>4.8</v>
      </c>
      <c r="I351" s="400">
        <v>6.69</v>
      </c>
      <c r="J351" s="33">
        <v>132</v>
      </c>
      <c r="K351" s="33" t="s">
        <v>94</v>
      </c>
      <c r="L351" s="33"/>
      <c r="M351" s="34" t="s">
        <v>70</v>
      </c>
      <c r="N351" s="34"/>
      <c r="O351" s="33">
        <v>70</v>
      </c>
      <c r="P351" s="51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351" s="406"/>
      <c r="R351" s="406"/>
      <c r="S351" s="406"/>
      <c r="T351" s="407"/>
      <c r="U351" s="35"/>
      <c r="V351" s="35"/>
      <c r="W351" s="36" t="s">
        <v>71</v>
      </c>
      <c r="X351" s="401">
        <v>0</v>
      </c>
      <c r="Y351" s="402">
        <f t="shared" si="35"/>
        <v>0</v>
      </c>
      <c r="Z351" s="37" t="str">
        <f>IFERROR(IF(Y351=0,"",ROUNDUP(Y351/H351,0)*0.00902),"")</f>
        <v/>
      </c>
      <c r="AA351" s="57"/>
      <c r="AB351" s="58"/>
      <c r="AC351" s="384" t="s">
        <v>527</v>
      </c>
      <c r="AG351" s="65"/>
      <c r="AJ351" s="69"/>
      <c r="AK351" s="69">
        <v>0</v>
      </c>
      <c r="BB351" s="385" t="s">
        <v>1</v>
      </c>
      <c r="BM351" s="65">
        <f t="shared" si="36"/>
        <v>0</v>
      </c>
      <c r="BN351" s="65">
        <f t="shared" si="37"/>
        <v>0</v>
      </c>
      <c r="BO351" s="65">
        <f t="shared" si="38"/>
        <v>0</v>
      </c>
      <c r="BP351" s="65">
        <f t="shared" si="39"/>
        <v>0</v>
      </c>
    </row>
    <row r="352" spans="1:68" ht="27" customHeight="1" x14ac:dyDescent="0.25">
      <c r="A352" s="55" t="s">
        <v>536</v>
      </c>
      <c r="B352" s="55" t="s">
        <v>537</v>
      </c>
      <c r="C352" s="32">
        <v>4301031417</v>
      </c>
      <c r="D352" s="416">
        <v>4680115882096</v>
      </c>
      <c r="E352" s="417"/>
      <c r="F352" s="400">
        <v>0.6</v>
      </c>
      <c r="G352" s="33">
        <v>8</v>
      </c>
      <c r="H352" s="400">
        <v>4.8</v>
      </c>
      <c r="I352" s="400">
        <v>6.69</v>
      </c>
      <c r="J352" s="33">
        <v>132</v>
      </c>
      <c r="K352" s="33" t="s">
        <v>94</v>
      </c>
      <c r="L352" s="33"/>
      <c r="M352" s="34" t="s">
        <v>70</v>
      </c>
      <c r="N352" s="34"/>
      <c r="O352" s="33">
        <v>70</v>
      </c>
      <c r="P352" s="4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352" s="406"/>
      <c r="R352" s="406"/>
      <c r="S352" s="406"/>
      <c r="T352" s="407"/>
      <c r="U352" s="35"/>
      <c r="V352" s="35"/>
      <c r="W352" s="36" t="s">
        <v>71</v>
      </c>
      <c r="X352" s="401">
        <v>0</v>
      </c>
      <c r="Y352" s="402">
        <f t="shared" si="35"/>
        <v>0</v>
      </c>
      <c r="Z352" s="37" t="str">
        <f>IFERROR(IF(Y352=0,"",ROUNDUP(Y352/H352,0)*0.00902),"")</f>
        <v/>
      </c>
      <c r="AA352" s="57"/>
      <c r="AB352" s="58"/>
      <c r="AC352" s="386" t="s">
        <v>530</v>
      </c>
      <c r="AG352" s="65"/>
      <c r="AJ352" s="69"/>
      <c r="AK352" s="69">
        <v>0</v>
      </c>
      <c r="BB352" s="387" t="s">
        <v>1</v>
      </c>
      <c r="BM352" s="65">
        <f t="shared" si="36"/>
        <v>0</v>
      </c>
      <c r="BN352" s="65">
        <f t="shared" si="37"/>
        <v>0</v>
      </c>
      <c r="BO352" s="65">
        <f t="shared" si="38"/>
        <v>0</v>
      </c>
      <c r="BP352" s="65">
        <f t="shared" si="39"/>
        <v>0</v>
      </c>
    </row>
    <row r="353" spans="1:68" x14ac:dyDescent="0.2">
      <c r="A353" s="425"/>
      <c r="B353" s="415"/>
      <c r="C353" s="415"/>
      <c r="D353" s="415"/>
      <c r="E353" s="415"/>
      <c r="F353" s="415"/>
      <c r="G353" s="415"/>
      <c r="H353" s="415"/>
      <c r="I353" s="415"/>
      <c r="J353" s="415"/>
      <c r="K353" s="415"/>
      <c r="L353" s="415"/>
      <c r="M353" s="415"/>
      <c r="N353" s="415"/>
      <c r="O353" s="426"/>
      <c r="P353" s="411" t="s">
        <v>76</v>
      </c>
      <c r="Q353" s="412"/>
      <c r="R353" s="412"/>
      <c r="S353" s="412"/>
      <c r="T353" s="412"/>
      <c r="U353" s="412"/>
      <c r="V353" s="413"/>
      <c r="W353" s="38" t="s">
        <v>77</v>
      </c>
      <c r="X353" s="403">
        <f>IFERROR(X346/H346,"0")+IFERROR(X347/H347,"0")+IFERROR(X348/H348,"0")+IFERROR(X349/H349,"0")+IFERROR(X350/H350,"0")+IFERROR(X351/H351,"0")+IFERROR(X352/H352,"0")</f>
        <v>47.348484848484844</v>
      </c>
      <c r="Y353" s="403">
        <f>IFERROR(Y346/H346,"0")+IFERROR(Y347/H347,"0")+IFERROR(Y348/H348,"0")+IFERROR(Y349/H349,"0")+IFERROR(Y350/H350,"0")+IFERROR(Y351/H351,"0")+IFERROR(Y352/H352,"0")</f>
        <v>48</v>
      </c>
      <c r="Z353" s="403">
        <f>IFERROR(IF(Z346="",0,Z346),"0")+IFERROR(IF(Z347="",0,Z347),"0")+IFERROR(IF(Z348="",0,Z348),"0")+IFERROR(IF(Z349="",0,Z349),"0")+IFERROR(IF(Z350="",0,Z350),"0")+IFERROR(IF(Z351="",0,Z351),"0")+IFERROR(IF(Z352="",0,Z352),"0")</f>
        <v>0.57408000000000003</v>
      </c>
      <c r="AA353" s="404"/>
      <c r="AB353" s="404"/>
      <c r="AC353" s="404"/>
    </row>
    <row r="354" spans="1:68" x14ac:dyDescent="0.2">
      <c r="A354" s="415"/>
      <c r="B354" s="415"/>
      <c r="C354" s="415"/>
      <c r="D354" s="415"/>
      <c r="E354" s="415"/>
      <c r="F354" s="415"/>
      <c r="G354" s="415"/>
      <c r="H354" s="415"/>
      <c r="I354" s="415"/>
      <c r="J354" s="415"/>
      <c r="K354" s="415"/>
      <c r="L354" s="415"/>
      <c r="M354" s="415"/>
      <c r="N354" s="415"/>
      <c r="O354" s="426"/>
      <c r="P354" s="411" t="s">
        <v>76</v>
      </c>
      <c r="Q354" s="412"/>
      <c r="R354" s="412"/>
      <c r="S354" s="412"/>
      <c r="T354" s="412"/>
      <c r="U354" s="412"/>
      <c r="V354" s="413"/>
      <c r="W354" s="38" t="s">
        <v>71</v>
      </c>
      <c r="X354" s="403">
        <f>IFERROR(SUM(X346:X352),"0")</f>
        <v>250</v>
      </c>
      <c r="Y354" s="403">
        <f>IFERROR(SUM(Y346:Y352),"0")</f>
        <v>253.44000000000003</v>
      </c>
      <c r="Z354" s="38"/>
      <c r="AA354" s="404"/>
      <c r="AB354" s="404"/>
      <c r="AC354" s="404"/>
    </row>
    <row r="355" spans="1:68" ht="14.25" customHeight="1" x14ac:dyDescent="0.25">
      <c r="A355" s="414" t="s">
        <v>66</v>
      </c>
      <c r="B355" s="415"/>
      <c r="C355" s="415"/>
      <c r="D355" s="415"/>
      <c r="E355" s="415"/>
      <c r="F355" s="415"/>
      <c r="G355" s="415"/>
      <c r="H355" s="415"/>
      <c r="I355" s="415"/>
      <c r="J355" s="415"/>
      <c r="K355" s="415"/>
      <c r="L355" s="415"/>
      <c r="M355" s="415"/>
      <c r="N355" s="415"/>
      <c r="O355" s="415"/>
      <c r="P355" s="415"/>
      <c r="Q355" s="415"/>
      <c r="R355" s="415"/>
      <c r="S355" s="415"/>
      <c r="T355" s="415"/>
      <c r="U355" s="415"/>
      <c r="V355" s="415"/>
      <c r="W355" s="415"/>
      <c r="X355" s="415"/>
      <c r="Y355" s="415"/>
      <c r="Z355" s="415"/>
      <c r="AA355" s="397"/>
      <c r="AB355" s="397"/>
      <c r="AC355" s="397"/>
    </row>
    <row r="356" spans="1:68" ht="16.5" customHeight="1" x14ac:dyDescent="0.25">
      <c r="A356" s="55" t="s">
        <v>538</v>
      </c>
      <c r="B356" s="55" t="s">
        <v>539</v>
      </c>
      <c r="C356" s="32">
        <v>4301051232</v>
      </c>
      <c r="D356" s="416">
        <v>4607091383409</v>
      </c>
      <c r="E356" s="417"/>
      <c r="F356" s="400">
        <v>1.3</v>
      </c>
      <c r="G356" s="33">
        <v>6</v>
      </c>
      <c r="H356" s="400">
        <v>7.8</v>
      </c>
      <c r="I356" s="400">
        <v>8.3010000000000002</v>
      </c>
      <c r="J356" s="33">
        <v>64</v>
      </c>
      <c r="K356" s="33" t="s">
        <v>89</v>
      </c>
      <c r="L356" s="33"/>
      <c r="M356" s="34" t="s">
        <v>95</v>
      </c>
      <c r="N356" s="34"/>
      <c r="O356" s="33">
        <v>45</v>
      </c>
      <c r="P356" s="53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356" s="406"/>
      <c r="R356" s="406"/>
      <c r="S356" s="406"/>
      <c r="T356" s="407"/>
      <c r="U356" s="35"/>
      <c r="V356" s="35"/>
      <c r="W356" s="36" t="s">
        <v>71</v>
      </c>
      <c r="X356" s="401">
        <v>0</v>
      </c>
      <c r="Y356" s="402">
        <f>IFERROR(IF(X356="",0,CEILING((X356/$H356),1)*$H356),"")</f>
        <v>0</v>
      </c>
      <c r="Z356" s="37" t="str">
        <f>IFERROR(IF(Y356=0,"",ROUNDUP(Y356/H356,0)*0.01898),"")</f>
        <v/>
      </c>
      <c r="AA356" s="57"/>
      <c r="AB356" s="58"/>
      <c r="AC356" s="388" t="s">
        <v>540</v>
      </c>
      <c r="AG356" s="65"/>
      <c r="AJ356" s="69"/>
      <c r="AK356" s="69">
        <v>0</v>
      </c>
      <c r="BB356" s="389" t="s">
        <v>1</v>
      </c>
      <c r="BM356" s="65">
        <f>IFERROR(X356*I356/H356,"0")</f>
        <v>0</v>
      </c>
      <c r="BN356" s="65">
        <f>IFERROR(Y356*I356/H356,"0")</f>
        <v>0</v>
      </c>
      <c r="BO356" s="65">
        <f>IFERROR(1/J356*(X356/H356),"0")</f>
        <v>0</v>
      </c>
      <c r="BP356" s="65">
        <f>IFERROR(1/J356*(Y356/H356),"0")</f>
        <v>0</v>
      </c>
    </row>
    <row r="357" spans="1:68" ht="16.5" customHeight="1" x14ac:dyDescent="0.25">
      <c r="A357" s="55" t="s">
        <v>541</v>
      </c>
      <c r="B357" s="55" t="s">
        <v>542</v>
      </c>
      <c r="C357" s="32">
        <v>4301051233</v>
      </c>
      <c r="D357" s="416">
        <v>4607091383416</v>
      </c>
      <c r="E357" s="417"/>
      <c r="F357" s="400">
        <v>1.3</v>
      </c>
      <c r="G357" s="33">
        <v>6</v>
      </c>
      <c r="H357" s="400">
        <v>7.8</v>
      </c>
      <c r="I357" s="400">
        <v>8.3010000000000002</v>
      </c>
      <c r="J357" s="33">
        <v>64</v>
      </c>
      <c r="K357" s="33" t="s">
        <v>89</v>
      </c>
      <c r="L357" s="33"/>
      <c r="M357" s="34" t="s">
        <v>95</v>
      </c>
      <c r="N357" s="34"/>
      <c r="O357" s="33">
        <v>45</v>
      </c>
      <c r="P357" s="63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357" s="406"/>
      <c r="R357" s="406"/>
      <c r="S357" s="406"/>
      <c r="T357" s="407"/>
      <c r="U357" s="35"/>
      <c r="V357" s="35"/>
      <c r="W357" s="36" t="s">
        <v>71</v>
      </c>
      <c r="X357" s="401">
        <v>0</v>
      </c>
      <c r="Y357" s="402">
        <f>IFERROR(IF(X357="",0,CEILING((X357/$H357),1)*$H357),"")</f>
        <v>0</v>
      </c>
      <c r="Z357" s="37" t="str">
        <f>IFERROR(IF(Y357=0,"",ROUNDUP(Y357/H357,0)*0.01898),"")</f>
        <v/>
      </c>
      <c r="AA357" s="57"/>
      <c r="AB357" s="58"/>
      <c r="AC357" s="390" t="s">
        <v>543</v>
      </c>
      <c r="AG357" s="65"/>
      <c r="AJ357" s="69"/>
      <c r="AK357" s="69">
        <v>0</v>
      </c>
      <c r="BB357" s="391" t="s">
        <v>1</v>
      </c>
      <c r="BM357" s="65">
        <f>IFERROR(X357*I357/H357,"0")</f>
        <v>0</v>
      </c>
      <c r="BN357" s="65">
        <f>IFERROR(Y357*I357/H357,"0")</f>
        <v>0</v>
      </c>
      <c r="BO357" s="65">
        <f>IFERROR(1/J357*(X357/H357),"0")</f>
        <v>0</v>
      </c>
      <c r="BP357" s="65">
        <f>IFERROR(1/J357*(Y357/H357),"0")</f>
        <v>0</v>
      </c>
    </row>
    <row r="358" spans="1:68" x14ac:dyDescent="0.2">
      <c r="A358" s="425"/>
      <c r="B358" s="415"/>
      <c r="C358" s="415"/>
      <c r="D358" s="415"/>
      <c r="E358" s="415"/>
      <c r="F358" s="415"/>
      <c r="G358" s="415"/>
      <c r="H358" s="415"/>
      <c r="I358" s="415"/>
      <c r="J358" s="415"/>
      <c r="K358" s="415"/>
      <c r="L358" s="415"/>
      <c r="M358" s="415"/>
      <c r="N358" s="415"/>
      <c r="O358" s="426"/>
      <c r="P358" s="411" t="s">
        <v>76</v>
      </c>
      <c r="Q358" s="412"/>
      <c r="R358" s="412"/>
      <c r="S358" s="412"/>
      <c r="T358" s="412"/>
      <c r="U358" s="412"/>
      <c r="V358" s="413"/>
      <c r="W358" s="38" t="s">
        <v>77</v>
      </c>
      <c r="X358" s="403">
        <f>IFERROR(X356/H356,"0")+IFERROR(X357/H357,"0")</f>
        <v>0</v>
      </c>
      <c r="Y358" s="403">
        <f>IFERROR(Y356/H356,"0")+IFERROR(Y357/H357,"0")</f>
        <v>0</v>
      </c>
      <c r="Z358" s="403">
        <f>IFERROR(IF(Z356="",0,Z356),"0")+IFERROR(IF(Z357="",0,Z357),"0")</f>
        <v>0</v>
      </c>
      <c r="AA358" s="404"/>
      <c r="AB358" s="404"/>
      <c r="AC358" s="404"/>
    </row>
    <row r="359" spans="1:68" x14ac:dyDescent="0.2">
      <c r="A359" s="415"/>
      <c r="B359" s="415"/>
      <c r="C359" s="415"/>
      <c r="D359" s="415"/>
      <c r="E359" s="415"/>
      <c r="F359" s="415"/>
      <c r="G359" s="415"/>
      <c r="H359" s="415"/>
      <c r="I359" s="415"/>
      <c r="J359" s="415"/>
      <c r="K359" s="415"/>
      <c r="L359" s="415"/>
      <c r="M359" s="415"/>
      <c r="N359" s="415"/>
      <c r="O359" s="426"/>
      <c r="P359" s="411" t="s">
        <v>76</v>
      </c>
      <c r="Q359" s="412"/>
      <c r="R359" s="412"/>
      <c r="S359" s="412"/>
      <c r="T359" s="412"/>
      <c r="U359" s="412"/>
      <c r="V359" s="413"/>
      <c r="W359" s="38" t="s">
        <v>71</v>
      </c>
      <c r="X359" s="403">
        <f>IFERROR(SUM(X356:X357),"0")</f>
        <v>0</v>
      </c>
      <c r="Y359" s="403">
        <f>IFERROR(SUM(Y356:Y357),"0")</f>
        <v>0</v>
      </c>
      <c r="Z359" s="38"/>
      <c r="AA359" s="404"/>
      <c r="AB359" s="404"/>
      <c r="AC359" s="404"/>
    </row>
    <row r="360" spans="1:68" ht="27.75" customHeight="1" x14ac:dyDescent="0.2">
      <c r="A360" s="439" t="s">
        <v>544</v>
      </c>
      <c r="B360" s="440"/>
      <c r="C360" s="440"/>
      <c r="D360" s="440"/>
      <c r="E360" s="440"/>
      <c r="F360" s="440"/>
      <c r="G360" s="440"/>
      <c r="H360" s="440"/>
      <c r="I360" s="440"/>
      <c r="J360" s="440"/>
      <c r="K360" s="440"/>
      <c r="L360" s="440"/>
      <c r="M360" s="440"/>
      <c r="N360" s="440"/>
      <c r="O360" s="440"/>
      <c r="P360" s="440"/>
      <c r="Q360" s="440"/>
      <c r="R360" s="440"/>
      <c r="S360" s="440"/>
      <c r="T360" s="440"/>
      <c r="U360" s="440"/>
      <c r="V360" s="440"/>
      <c r="W360" s="440"/>
      <c r="X360" s="440"/>
      <c r="Y360" s="440"/>
      <c r="Z360" s="440"/>
      <c r="AA360" s="49"/>
      <c r="AB360" s="49"/>
      <c r="AC360" s="49"/>
    </row>
    <row r="361" spans="1:68" ht="16.5" customHeight="1" x14ac:dyDescent="0.25">
      <c r="A361" s="463" t="s">
        <v>544</v>
      </c>
      <c r="B361" s="415"/>
      <c r="C361" s="415"/>
      <c r="D361" s="415"/>
      <c r="E361" s="415"/>
      <c r="F361" s="415"/>
      <c r="G361" s="415"/>
      <c r="H361" s="415"/>
      <c r="I361" s="415"/>
      <c r="J361" s="415"/>
      <c r="K361" s="415"/>
      <c r="L361" s="415"/>
      <c r="M361" s="415"/>
      <c r="N361" s="415"/>
      <c r="O361" s="415"/>
      <c r="P361" s="415"/>
      <c r="Q361" s="415"/>
      <c r="R361" s="415"/>
      <c r="S361" s="415"/>
      <c r="T361" s="415"/>
      <c r="U361" s="415"/>
      <c r="V361" s="415"/>
      <c r="W361" s="415"/>
      <c r="X361" s="415"/>
      <c r="Y361" s="415"/>
      <c r="Z361" s="415"/>
      <c r="AA361" s="396"/>
      <c r="AB361" s="396"/>
      <c r="AC361" s="396"/>
    </row>
    <row r="362" spans="1:68" ht="14.25" customHeight="1" x14ac:dyDescent="0.25">
      <c r="A362" s="414" t="s">
        <v>66</v>
      </c>
      <c r="B362" s="415"/>
      <c r="C362" s="415"/>
      <c r="D362" s="415"/>
      <c r="E362" s="415"/>
      <c r="F362" s="415"/>
      <c r="G362" s="415"/>
      <c r="H362" s="415"/>
      <c r="I362" s="415"/>
      <c r="J362" s="415"/>
      <c r="K362" s="415"/>
      <c r="L362" s="415"/>
      <c r="M362" s="415"/>
      <c r="N362" s="415"/>
      <c r="O362" s="415"/>
      <c r="P362" s="415"/>
      <c r="Q362" s="415"/>
      <c r="R362" s="415"/>
      <c r="S362" s="415"/>
      <c r="T362" s="415"/>
      <c r="U362" s="415"/>
      <c r="V362" s="415"/>
      <c r="W362" s="415"/>
      <c r="X362" s="415"/>
      <c r="Y362" s="415"/>
      <c r="Z362" s="415"/>
      <c r="AA362" s="397"/>
      <c r="AB362" s="397"/>
      <c r="AC362" s="397"/>
    </row>
    <row r="363" spans="1:68" ht="27" customHeight="1" x14ac:dyDescent="0.25">
      <c r="A363" s="55" t="s">
        <v>545</v>
      </c>
      <c r="B363" s="55" t="s">
        <v>546</v>
      </c>
      <c r="C363" s="32">
        <v>4301051933</v>
      </c>
      <c r="D363" s="416">
        <v>4640242180540</v>
      </c>
      <c r="E363" s="417"/>
      <c r="F363" s="400">
        <v>1.3</v>
      </c>
      <c r="G363" s="33">
        <v>6</v>
      </c>
      <c r="H363" s="400">
        <v>7.8</v>
      </c>
      <c r="I363" s="400">
        <v>8.3190000000000008</v>
      </c>
      <c r="J363" s="33">
        <v>64</v>
      </c>
      <c r="K363" s="33" t="s">
        <v>89</v>
      </c>
      <c r="L363" s="33"/>
      <c r="M363" s="34" t="s">
        <v>95</v>
      </c>
      <c r="N363" s="34"/>
      <c r="O363" s="33">
        <v>45</v>
      </c>
      <c r="P363" s="655" t="s">
        <v>547</v>
      </c>
      <c r="Q363" s="406"/>
      <c r="R363" s="406"/>
      <c r="S363" s="406"/>
      <c r="T363" s="407"/>
      <c r="U363" s="35"/>
      <c r="V363" s="35"/>
      <c r="W363" s="36" t="s">
        <v>71</v>
      </c>
      <c r="X363" s="401">
        <v>0</v>
      </c>
      <c r="Y363" s="402">
        <f>IFERROR(IF(X363="",0,CEILING((X363/$H363),1)*$H363),"")</f>
        <v>0</v>
      </c>
      <c r="Z363" s="37" t="str">
        <f>IFERROR(IF(Y363=0,"",ROUNDUP(Y363/H363,0)*0.01898),"")</f>
        <v/>
      </c>
      <c r="AA363" s="57"/>
      <c r="AB363" s="58"/>
      <c r="AC363" s="392" t="s">
        <v>548</v>
      </c>
      <c r="AG363" s="65"/>
      <c r="AJ363" s="69"/>
      <c r="AK363" s="69">
        <v>0</v>
      </c>
      <c r="BB363" s="393" t="s">
        <v>1</v>
      </c>
      <c r="BM363" s="65">
        <f>IFERROR(X363*I363/H363,"0")</f>
        <v>0</v>
      </c>
      <c r="BN363" s="65">
        <f>IFERROR(Y363*I363/H363,"0")</f>
        <v>0</v>
      </c>
      <c r="BO363" s="65">
        <f>IFERROR(1/J363*(X363/H363),"0")</f>
        <v>0</v>
      </c>
      <c r="BP363" s="65">
        <f>IFERROR(1/J363*(Y363/H363),"0")</f>
        <v>0</v>
      </c>
    </row>
    <row r="364" spans="1:68" x14ac:dyDescent="0.2">
      <c r="A364" s="425"/>
      <c r="B364" s="415"/>
      <c r="C364" s="415"/>
      <c r="D364" s="415"/>
      <c r="E364" s="415"/>
      <c r="F364" s="415"/>
      <c r="G364" s="415"/>
      <c r="H364" s="415"/>
      <c r="I364" s="415"/>
      <c r="J364" s="415"/>
      <c r="K364" s="415"/>
      <c r="L364" s="415"/>
      <c r="M364" s="415"/>
      <c r="N364" s="415"/>
      <c r="O364" s="426"/>
      <c r="P364" s="411" t="s">
        <v>76</v>
      </c>
      <c r="Q364" s="412"/>
      <c r="R364" s="412"/>
      <c r="S364" s="412"/>
      <c r="T364" s="412"/>
      <c r="U364" s="412"/>
      <c r="V364" s="413"/>
      <c r="W364" s="38" t="s">
        <v>77</v>
      </c>
      <c r="X364" s="403">
        <f>IFERROR(X363/H363,"0")</f>
        <v>0</v>
      </c>
      <c r="Y364" s="403">
        <f>IFERROR(Y363/H363,"0")</f>
        <v>0</v>
      </c>
      <c r="Z364" s="403">
        <f>IFERROR(IF(Z363="",0,Z363),"0")</f>
        <v>0</v>
      </c>
      <c r="AA364" s="404"/>
      <c r="AB364" s="404"/>
      <c r="AC364" s="404"/>
    </row>
    <row r="365" spans="1:68" x14ac:dyDescent="0.2">
      <c r="A365" s="415"/>
      <c r="B365" s="415"/>
      <c r="C365" s="415"/>
      <c r="D365" s="415"/>
      <c r="E365" s="415"/>
      <c r="F365" s="415"/>
      <c r="G365" s="415"/>
      <c r="H365" s="415"/>
      <c r="I365" s="415"/>
      <c r="J365" s="415"/>
      <c r="K365" s="415"/>
      <c r="L365" s="415"/>
      <c r="M365" s="415"/>
      <c r="N365" s="415"/>
      <c r="O365" s="426"/>
      <c r="P365" s="411" t="s">
        <v>76</v>
      </c>
      <c r="Q365" s="412"/>
      <c r="R365" s="412"/>
      <c r="S365" s="412"/>
      <c r="T365" s="412"/>
      <c r="U365" s="412"/>
      <c r="V365" s="413"/>
      <c r="W365" s="38" t="s">
        <v>71</v>
      </c>
      <c r="X365" s="403">
        <f>IFERROR(SUM(X363:X363),"0")</f>
        <v>0</v>
      </c>
      <c r="Y365" s="403">
        <f>IFERROR(SUM(Y363:Y363),"0")</f>
        <v>0</v>
      </c>
      <c r="Z365" s="38"/>
      <c r="AA365" s="404"/>
      <c r="AB365" s="404"/>
      <c r="AC365" s="404"/>
    </row>
    <row r="366" spans="1:68" ht="15" customHeight="1" x14ac:dyDescent="0.2">
      <c r="A366" s="542"/>
      <c r="B366" s="415"/>
      <c r="C366" s="415"/>
      <c r="D366" s="415"/>
      <c r="E366" s="415"/>
      <c r="F366" s="415"/>
      <c r="G366" s="415"/>
      <c r="H366" s="415"/>
      <c r="I366" s="415"/>
      <c r="J366" s="415"/>
      <c r="K366" s="415"/>
      <c r="L366" s="415"/>
      <c r="M366" s="415"/>
      <c r="N366" s="415"/>
      <c r="O366" s="530"/>
      <c r="P366" s="507" t="s">
        <v>549</v>
      </c>
      <c r="Q366" s="497"/>
      <c r="R366" s="497"/>
      <c r="S366" s="497"/>
      <c r="T366" s="497"/>
      <c r="U366" s="497"/>
      <c r="V366" s="498"/>
      <c r="W366" s="38" t="s">
        <v>71</v>
      </c>
      <c r="X366" s="403">
        <f>IFERROR(X25+X29+X38+X48+X55+X60+X66+X74+X81+X87+X93+X97+X102+X108+X121+X127+X131+X137+X142+X149+X160+X164+X174+X183+X188+X193+X198+X203+X212+X221+X229+X235+X242+X248+X254+X265+X270+X275+X279+X287+X291+X296+X300+X309+X314+X320+X324+X339+X344+X354+X359+X365,"0")</f>
        <v>5400</v>
      </c>
      <c r="Y366" s="403">
        <f>IFERROR(Y25+Y29+Y38+Y48+Y55+Y60+Y66+Y74+Y81+Y87+Y93+Y97+Y102+Y108+Y121+Y127+Y131+Y137+Y142+Y149+Y160+Y164+Y174+Y183+Y188+Y193+Y198+Y203+Y212+Y221+Y229+Y235+Y242+Y248+Y254+Y265+Y270+Y275+Y279+Y287+Y291+Y296+Y300+Y309+Y314+Y320+Y324+Y339+Y344+Y354+Y359+Y365,"0")</f>
        <v>5480.16</v>
      </c>
      <c r="Z366" s="38"/>
      <c r="AA366" s="404"/>
      <c r="AB366" s="404"/>
      <c r="AC366" s="404"/>
    </row>
    <row r="367" spans="1:68" x14ac:dyDescent="0.2">
      <c r="A367" s="415"/>
      <c r="B367" s="415"/>
      <c r="C367" s="415"/>
      <c r="D367" s="415"/>
      <c r="E367" s="415"/>
      <c r="F367" s="415"/>
      <c r="G367" s="415"/>
      <c r="H367" s="415"/>
      <c r="I367" s="415"/>
      <c r="J367" s="415"/>
      <c r="K367" s="415"/>
      <c r="L367" s="415"/>
      <c r="M367" s="415"/>
      <c r="N367" s="415"/>
      <c r="O367" s="530"/>
      <c r="P367" s="507" t="s">
        <v>550</v>
      </c>
      <c r="Q367" s="497"/>
      <c r="R367" s="497"/>
      <c r="S367" s="497"/>
      <c r="T367" s="497"/>
      <c r="U367" s="497"/>
      <c r="V367" s="498"/>
      <c r="W367" s="38" t="s">
        <v>71</v>
      </c>
      <c r="X367" s="403">
        <f>IFERROR(SUM(BM22:BM363),"0")</f>
        <v>5686.0491992171319</v>
      </c>
      <c r="Y367" s="403">
        <f>IFERROR(SUM(BN22:BN363),"0")</f>
        <v>5770.1039999999994</v>
      </c>
      <c r="Z367" s="38"/>
      <c r="AA367" s="404"/>
      <c r="AB367" s="404"/>
      <c r="AC367" s="404"/>
    </row>
    <row r="368" spans="1:68" x14ac:dyDescent="0.2">
      <c r="A368" s="415"/>
      <c r="B368" s="415"/>
      <c r="C368" s="415"/>
      <c r="D368" s="415"/>
      <c r="E368" s="415"/>
      <c r="F368" s="415"/>
      <c r="G368" s="415"/>
      <c r="H368" s="415"/>
      <c r="I368" s="415"/>
      <c r="J368" s="415"/>
      <c r="K368" s="415"/>
      <c r="L368" s="415"/>
      <c r="M368" s="415"/>
      <c r="N368" s="415"/>
      <c r="O368" s="530"/>
      <c r="P368" s="507" t="s">
        <v>551</v>
      </c>
      <c r="Q368" s="497"/>
      <c r="R368" s="497"/>
      <c r="S368" s="497"/>
      <c r="T368" s="497"/>
      <c r="U368" s="497"/>
      <c r="V368" s="498"/>
      <c r="W368" s="38" t="s">
        <v>552</v>
      </c>
      <c r="X368" s="39">
        <f>ROUNDUP(SUM(BO22:BO363),0)</f>
        <v>10</v>
      </c>
      <c r="Y368" s="39">
        <f>ROUNDUP(SUM(BP22:BP363),0)</f>
        <v>10</v>
      </c>
      <c r="Z368" s="38"/>
      <c r="AA368" s="404"/>
      <c r="AB368" s="404"/>
      <c r="AC368" s="404"/>
    </row>
    <row r="369" spans="1:32" x14ac:dyDescent="0.2">
      <c r="A369" s="415"/>
      <c r="B369" s="415"/>
      <c r="C369" s="415"/>
      <c r="D369" s="415"/>
      <c r="E369" s="415"/>
      <c r="F369" s="415"/>
      <c r="G369" s="415"/>
      <c r="H369" s="415"/>
      <c r="I369" s="415"/>
      <c r="J369" s="415"/>
      <c r="K369" s="415"/>
      <c r="L369" s="415"/>
      <c r="M369" s="415"/>
      <c r="N369" s="415"/>
      <c r="O369" s="530"/>
      <c r="P369" s="507" t="s">
        <v>553</v>
      </c>
      <c r="Q369" s="497"/>
      <c r="R369" s="497"/>
      <c r="S369" s="497"/>
      <c r="T369" s="497"/>
      <c r="U369" s="497"/>
      <c r="V369" s="498"/>
      <c r="W369" s="38" t="s">
        <v>71</v>
      </c>
      <c r="X369" s="403">
        <f>GrossWeightTotal+PalletQtyTotal*25</f>
        <v>5936.0491992171319</v>
      </c>
      <c r="Y369" s="403">
        <f>GrossWeightTotalR+PalletQtyTotalR*25</f>
        <v>6020.1039999999994</v>
      </c>
      <c r="Z369" s="38"/>
      <c r="AA369" s="404"/>
      <c r="AB369" s="404"/>
      <c r="AC369" s="404"/>
    </row>
    <row r="370" spans="1:32" x14ac:dyDescent="0.2">
      <c r="A370" s="415"/>
      <c r="B370" s="415"/>
      <c r="C370" s="415"/>
      <c r="D370" s="415"/>
      <c r="E370" s="415"/>
      <c r="F370" s="415"/>
      <c r="G370" s="415"/>
      <c r="H370" s="415"/>
      <c r="I370" s="415"/>
      <c r="J370" s="415"/>
      <c r="K370" s="415"/>
      <c r="L370" s="415"/>
      <c r="M370" s="415"/>
      <c r="N370" s="415"/>
      <c r="O370" s="530"/>
      <c r="P370" s="507" t="s">
        <v>554</v>
      </c>
      <c r="Q370" s="497"/>
      <c r="R370" s="497"/>
      <c r="S370" s="497"/>
      <c r="T370" s="497"/>
      <c r="U370" s="497"/>
      <c r="V370" s="498"/>
      <c r="W370" s="38" t="s">
        <v>552</v>
      </c>
      <c r="X370" s="403">
        <f>IFERROR(X24+X28+X37+X47+X54+X59+X65+X73+X80+X86+X92+X96+X101+X107+X120+X126+X130+X136+X141+X148+X159+X163+X173+X182+X187+X192+X197+X202+X211+X220+X228+X234+X241+X247+X253+X264+X269+X274+X278+X286+X290+X295+X299+X308+X313+X319+X323+X338+X343+X353+X358+X364,"0")</f>
        <v>799.29250081548946</v>
      </c>
      <c r="Y370" s="403">
        <f>IFERROR(Y24+Y28+Y37+Y47+Y54+Y59+Y65+Y73+Y80+Y86+Y92+Y96+Y101+Y107+Y120+Y126+Y130+Y136+Y141+Y148+Y159+Y163+Y173+Y182+Y187+Y192+Y197+Y202+Y211+Y220+Y228+Y234+Y241+Y247+Y253+Y264+Y269+Y274+Y278+Y286+Y290+Y295+Y299+Y308+Y313+Y319+Y323+Y338+Y343+Y353+Y358+Y364,"0")</f>
        <v>809</v>
      </c>
      <c r="Z370" s="38"/>
      <c r="AA370" s="404"/>
      <c r="AB370" s="404"/>
      <c r="AC370" s="404"/>
    </row>
    <row r="371" spans="1:32" ht="14.25" customHeight="1" x14ac:dyDescent="0.2">
      <c r="A371" s="415"/>
      <c r="B371" s="415"/>
      <c r="C371" s="415"/>
      <c r="D371" s="415"/>
      <c r="E371" s="415"/>
      <c r="F371" s="415"/>
      <c r="G371" s="415"/>
      <c r="H371" s="415"/>
      <c r="I371" s="415"/>
      <c r="J371" s="415"/>
      <c r="K371" s="415"/>
      <c r="L371" s="415"/>
      <c r="M371" s="415"/>
      <c r="N371" s="415"/>
      <c r="O371" s="530"/>
      <c r="P371" s="507" t="s">
        <v>555</v>
      </c>
      <c r="Q371" s="497"/>
      <c r="R371" s="497"/>
      <c r="S371" s="497"/>
      <c r="T371" s="497"/>
      <c r="U371" s="497"/>
      <c r="V371" s="498"/>
      <c r="W371" s="40" t="s">
        <v>556</v>
      </c>
      <c r="X371" s="38"/>
      <c r="Y371" s="38"/>
      <c r="Z371" s="38">
        <f>IFERROR(Z24+Z28+Z37+Z47+Z54+Z59+Z65+Z73+Z80+Z86+Z92+Z96+Z101+Z107+Z120+Z126+Z130+Z136+Z141+Z148+Z159+Z163+Z173+Z182+Z187+Z192+Z197+Z202+Z211+Z220+Z228+Z234+Z241+Z247+Z253+Z264+Z269+Z274+Z278+Z286+Z290+Z295+Z299+Z308+Z313+Z319+Z323+Z338+Z343+Z353+Z358+Z364,"0")</f>
        <v>10.854660000000001</v>
      </c>
      <c r="AA371" s="404"/>
      <c r="AB371" s="404"/>
      <c r="AC371" s="404"/>
    </row>
    <row r="372" spans="1:32" ht="13.5" customHeight="1" thickBot="1" x14ac:dyDescent="0.25"/>
    <row r="373" spans="1:32" ht="27" customHeight="1" thickTop="1" thickBot="1" x14ac:dyDescent="0.25">
      <c r="A373" s="41" t="s">
        <v>557</v>
      </c>
      <c r="B373" s="394" t="s">
        <v>65</v>
      </c>
      <c r="C373" s="420" t="s">
        <v>84</v>
      </c>
      <c r="D373" s="488"/>
      <c r="E373" s="488"/>
      <c r="F373" s="488"/>
      <c r="G373" s="446"/>
      <c r="H373" s="420" t="s">
        <v>195</v>
      </c>
      <c r="I373" s="488"/>
      <c r="J373" s="488"/>
      <c r="K373" s="488"/>
      <c r="L373" s="488"/>
      <c r="M373" s="488"/>
      <c r="N373" s="488"/>
      <c r="O373" s="488"/>
      <c r="P373" s="488"/>
      <c r="Q373" s="488"/>
      <c r="R373" s="446"/>
      <c r="S373" s="420" t="s">
        <v>410</v>
      </c>
      <c r="T373" s="446"/>
      <c r="U373" s="420" t="s">
        <v>464</v>
      </c>
      <c r="V373" s="446"/>
      <c r="W373" s="394" t="s">
        <v>492</v>
      </c>
      <c r="X373" s="394" t="s">
        <v>544</v>
      </c>
      <c r="AB373" s="53"/>
      <c r="AC373" s="53"/>
      <c r="AF373" s="395"/>
    </row>
    <row r="374" spans="1:32" ht="14.25" customHeight="1" thickTop="1" x14ac:dyDescent="0.2">
      <c r="A374" s="442" t="s">
        <v>558</v>
      </c>
      <c r="B374" s="420" t="s">
        <v>65</v>
      </c>
      <c r="C374" s="420" t="s">
        <v>85</v>
      </c>
      <c r="D374" s="420" t="s">
        <v>101</v>
      </c>
      <c r="E374" s="420" t="s">
        <v>138</v>
      </c>
      <c r="F374" s="420" t="s">
        <v>156</v>
      </c>
      <c r="G374" s="420" t="s">
        <v>84</v>
      </c>
      <c r="H374" s="420" t="s">
        <v>196</v>
      </c>
      <c r="I374" s="420" t="s">
        <v>230</v>
      </c>
      <c r="J374" s="420" t="s">
        <v>277</v>
      </c>
      <c r="K374" s="420" t="s">
        <v>293</v>
      </c>
      <c r="L374" s="420" t="s">
        <v>309</v>
      </c>
      <c r="M374" s="420" t="s">
        <v>312</v>
      </c>
      <c r="N374" s="395"/>
      <c r="O374" s="420" t="s">
        <v>316</v>
      </c>
      <c r="P374" s="420" t="s">
        <v>320</v>
      </c>
      <c r="Q374" s="420" t="s">
        <v>325</v>
      </c>
      <c r="R374" s="420" t="s">
        <v>403</v>
      </c>
      <c r="S374" s="420" t="s">
        <v>411</v>
      </c>
      <c r="T374" s="420" t="s">
        <v>442</v>
      </c>
      <c r="U374" s="420" t="s">
        <v>465</v>
      </c>
      <c r="V374" s="420" t="s">
        <v>482</v>
      </c>
      <c r="W374" s="420" t="s">
        <v>492</v>
      </c>
      <c r="X374" s="420" t="s">
        <v>544</v>
      </c>
      <c r="AB374" s="53"/>
      <c r="AC374" s="53"/>
      <c r="AF374" s="395"/>
    </row>
    <row r="375" spans="1:32" ht="13.5" customHeight="1" thickBot="1" x14ac:dyDescent="0.25">
      <c r="A375" s="443"/>
      <c r="B375" s="421"/>
      <c r="C375" s="421"/>
      <c r="D375" s="421"/>
      <c r="E375" s="421"/>
      <c r="F375" s="421"/>
      <c r="G375" s="421"/>
      <c r="H375" s="421"/>
      <c r="I375" s="421"/>
      <c r="J375" s="421"/>
      <c r="K375" s="421"/>
      <c r="L375" s="421"/>
      <c r="M375" s="421"/>
      <c r="N375" s="395"/>
      <c r="O375" s="421"/>
      <c r="P375" s="421"/>
      <c r="Q375" s="421"/>
      <c r="R375" s="421"/>
      <c r="S375" s="421"/>
      <c r="T375" s="421"/>
      <c r="U375" s="421"/>
      <c r="V375" s="421"/>
      <c r="W375" s="421"/>
      <c r="X375" s="421"/>
      <c r="AB375" s="53"/>
      <c r="AC375" s="53"/>
      <c r="AF375" s="395"/>
    </row>
    <row r="376" spans="1:32" ht="18" customHeight="1" thickTop="1" thickBot="1" x14ac:dyDescent="0.25">
      <c r="A376" s="41" t="s">
        <v>559</v>
      </c>
      <c r="B376" s="47">
        <f>IFERROR(Y22*1,"0")+IFERROR(Y23*1,"0")+IFERROR(Y27*1,"0")</f>
        <v>0</v>
      </c>
      <c r="C376" s="47">
        <f>IFERROR(Y33*1,"0")+IFERROR(Y34*1,"0")+IFERROR(Y35*1,"0")+IFERROR(Y36*1,"0")</f>
        <v>0</v>
      </c>
      <c r="D376" s="47">
        <f>IFERROR(Y41*1,"0")+IFERROR(Y42*1,"0")+IFERROR(Y43*1,"0")+IFERROR(Y44*1,"0")+IFERROR(Y45*1,"0")+IFERROR(Y46*1,"0")+IFERROR(Y50*1,"0")+IFERROR(Y51*1,"0")+IFERROR(Y52*1,"0")+IFERROR(Y53*1,"0")+IFERROR(Y57*1,"0")+IFERROR(Y58*1,"0")</f>
        <v>108</v>
      </c>
      <c r="E376" s="47">
        <f>IFERROR(Y63*1,"0")+IFERROR(Y64*1,"0")+IFERROR(Y68*1,"0")+IFERROR(Y69*1,"0")+IFERROR(Y70*1,"0")+IFERROR(Y71*1,"0")+IFERROR(Y72*1,"0")</f>
        <v>105.3</v>
      </c>
      <c r="F376" s="47">
        <f>IFERROR(Y77*1,"0")+IFERROR(Y78*1,"0")+IFERROR(Y79*1,"0")+IFERROR(Y83*1,"0")+IFERROR(Y84*1,"0")+IFERROR(Y85*1,"0")+IFERROR(Y89*1,"0")+IFERROR(Y90*1,"0")+IFERROR(Y91*1,"0")+IFERROR(Y95*1,"0")</f>
        <v>406.8</v>
      </c>
      <c r="G376" s="47">
        <f>IFERROR(Y100*1,"0")+IFERROR(Y104*1,"0")+IFERROR(Y105*1,"0")+IFERROR(Y106*1,"0")</f>
        <v>0</v>
      </c>
      <c r="H376" s="47">
        <f>IFERROR(Y112*1,"0")+IFERROR(Y113*1,"0")+IFERROR(Y114*1,"0")+IFERROR(Y115*1,"0")+IFERROR(Y116*1,"0")+IFERROR(Y117*1,"0")+IFERROR(Y118*1,"0")+IFERROR(Y119*1,"0")+IFERROR(Y123*1,"0")+IFERROR(Y124*1,"0")+IFERROR(Y125*1,"0")+IFERROR(Y129*1,"0")</f>
        <v>302.40000000000003</v>
      </c>
      <c r="I376" s="47">
        <f>IFERROR(Y134*1,"0")+IFERROR(Y135*1,"0")+IFERROR(Y139*1,"0")+IFERROR(Y140*1,"0")+IFERROR(Y144*1,"0")+IFERROR(Y145*1,"0")+IFERROR(Y146*1,"0")+IFERROR(Y147*1,"0")+IFERROR(Y151*1,"0")+IFERROR(Y152*1,"0")+IFERROR(Y153*1,"0")+IFERROR(Y154*1,"0")+IFERROR(Y155*1,"0")+IFERROR(Y156*1,"0")+IFERROR(Y157*1,"0")+IFERROR(Y158*1,"0")+IFERROR(Y162*1,"0")</f>
        <v>292.5</v>
      </c>
      <c r="J376" s="47">
        <f>IFERROR(Y167*1,"0")+IFERROR(Y168*1,"0")+IFERROR(Y169*1,"0")+IFERROR(Y170*1,"0")+IFERROR(Y171*1,"0")+IFERROR(Y172*1,"0")</f>
        <v>0</v>
      </c>
      <c r="K376" s="47">
        <f>IFERROR(Y177*1,"0")+IFERROR(Y178*1,"0")+IFERROR(Y179*1,"0")+IFERROR(Y180*1,"0")+IFERROR(Y181*1,"0")</f>
        <v>0</v>
      </c>
      <c r="L376" s="47">
        <f>IFERROR(Y186*1,"0")</f>
        <v>0</v>
      </c>
      <c r="M376" s="47">
        <f>IFERROR(Y191*1,"0")</f>
        <v>0</v>
      </c>
      <c r="N376" s="395"/>
      <c r="O376" s="47">
        <f>IFERROR(Y196*1,"0")</f>
        <v>0</v>
      </c>
      <c r="P376" s="47">
        <f>IFERROR(Y201*1,"0")</f>
        <v>0</v>
      </c>
      <c r="Q376" s="47">
        <f>IFERROR(Y206*1,"0")+IFERROR(Y207*1,"0")+IFERROR(Y208*1,"0")+IFERROR(Y209*1,"0")+IFERROR(Y210*1,"0")+IFERROR(Y214*1,"0")+IFERROR(Y215*1,"0")+IFERROR(Y216*1,"0")+IFERROR(Y217*1,"0")+IFERROR(Y218*1,"0")+IFERROR(Y219*1,"0")+IFERROR(Y223*1,"0")+IFERROR(Y224*1,"0")+IFERROR(Y225*1,"0")+IFERROR(Y226*1,"0")+IFERROR(Y227*1,"0")+IFERROR(Y231*1,"0")+IFERROR(Y232*1,"0")+IFERROR(Y233*1,"0")+IFERROR(Y237*1,"0")+IFERROR(Y238*1,"0")+IFERROR(Y239*1,"0")+IFERROR(Y240*1,"0")+IFERROR(Y244*1,"0")+IFERROR(Y245*1,"0")+IFERROR(Y246*1,"0")</f>
        <v>0</v>
      </c>
      <c r="R376" s="47">
        <f>IFERROR(Y251*1,"0")+IFERROR(Y252*1,"0")</f>
        <v>0</v>
      </c>
      <c r="S376" s="47">
        <f>IFERROR(Y258*1,"0")+IFERROR(Y259*1,"0")+IFERROR(Y260*1,"0")+IFERROR(Y261*1,"0")+IFERROR(Y262*1,"0")+IFERROR(Y263*1,"0")+IFERROR(Y267*1,"0")+IFERROR(Y268*1,"0")+IFERROR(Y272*1,"0")+IFERROR(Y273*1,"0")+IFERROR(Y277*1,"0")</f>
        <v>1425</v>
      </c>
      <c r="T376" s="47">
        <f>IFERROR(Y282*1,"0")+IFERROR(Y283*1,"0")+IFERROR(Y284*1,"0")+IFERROR(Y285*1,"0")+IFERROR(Y289*1,"0")+IFERROR(Y293*1,"0")+IFERROR(Y294*1,"0")+IFERROR(Y298*1,"0")</f>
        <v>1932</v>
      </c>
      <c r="U376" s="47">
        <f>IFERROR(Y304*1,"0")+IFERROR(Y305*1,"0")+IFERROR(Y306*1,"0")+IFERROR(Y307*1,"0")+IFERROR(Y311*1,"0")+IFERROR(Y312*1,"0")</f>
        <v>0</v>
      </c>
      <c r="V376" s="47">
        <f>IFERROR(Y317*1,"0")+IFERROR(Y318*1,"0")+IFERROR(Y322*1,"0")</f>
        <v>0</v>
      </c>
      <c r="W376" s="47">
        <f>IFERROR(Y328*1,"0")+IFERROR(Y329*1,"0")+IFERROR(Y330*1,"0")+IFERROR(Y331*1,"0")+IFERROR(Y332*1,"0")+IFERROR(Y333*1,"0")+IFERROR(Y334*1,"0")+IFERROR(Y335*1,"0")+IFERROR(Y336*1,"0")+IFERROR(Y337*1,"0")+IFERROR(Y341*1,"0")+IFERROR(Y342*1,"0")+IFERROR(Y346*1,"0")+IFERROR(Y347*1,"0")+IFERROR(Y348*1,"0")+IFERROR(Y349*1,"0")+IFERROR(Y350*1,"0")+IFERROR(Y351*1,"0")+IFERROR(Y352*1,"0")+IFERROR(Y356*1,"0")+IFERROR(Y357*1,"0")</f>
        <v>908.16</v>
      </c>
      <c r="X376" s="47">
        <f>IFERROR(Y363*1,"0")</f>
        <v>0</v>
      </c>
      <c r="AB376" s="53"/>
      <c r="AC376" s="53"/>
      <c r="AF376" s="395"/>
    </row>
  </sheetData>
  <sheetProtection algorithmName="SHA-512" hashValue="t1sST05RFszCKDZPVGL146nDAkuNCUDerzplunt22GJ1Kwfu9pbgRfGQ2tecD7LwCf6eBRsiA0CKwgzKwf3X3Q==" saltValue="3uJdsENDBMWSqanAUnV7y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61">
    <mergeCell ref="D374:D375"/>
    <mergeCell ref="P296:V296"/>
    <mergeCell ref="D42:E42"/>
    <mergeCell ref="P363:T363"/>
    <mergeCell ref="D17:E18"/>
    <mergeCell ref="P71:T71"/>
    <mergeCell ref="X17:X18"/>
    <mergeCell ref="D123:E123"/>
    <mergeCell ref="P58:T58"/>
    <mergeCell ref="A163:O164"/>
    <mergeCell ref="D50:E50"/>
    <mergeCell ref="P307:T307"/>
    <mergeCell ref="D44:E44"/>
    <mergeCell ref="C374:C375"/>
    <mergeCell ref="A202:O203"/>
    <mergeCell ref="E374:E375"/>
    <mergeCell ref="A103:Z103"/>
    <mergeCell ref="D239:E239"/>
    <mergeCell ref="D95:E95"/>
    <mergeCell ref="P74:V74"/>
    <mergeCell ref="U17:V17"/>
    <mergeCell ref="Y17:Y18"/>
    <mergeCell ref="A73:O74"/>
    <mergeCell ref="D57:E57"/>
    <mergeCell ref="P124:T124"/>
    <mergeCell ref="D331:E331"/>
    <mergeCell ref="P163:V163"/>
    <mergeCell ref="D293:E293"/>
    <mergeCell ref="D268:E268"/>
    <mergeCell ref="P151:T151"/>
    <mergeCell ref="A128:Z128"/>
    <mergeCell ref="A197:O198"/>
    <mergeCell ref="A255:Z255"/>
    <mergeCell ref="P218:T218"/>
    <mergeCell ref="A21:Z21"/>
    <mergeCell ref="B374:B375"/>
    <mergeCell ref="A194:Z194"/>
    <mergeCell ref="A358:O359"/>
    <mergeCell ref="V374:V375"/>
    <mergeCell ref="D171:E171"/>
    <mergeCell ref="D342:E342"/>
    <mergeCell ref="X374:X375"/>
    <mergeCell ref="P293:T293"/>
    <mergeCell ref="D336:E336"/>
    <mergeCell ref="Q6:R6"/>
    <mergeCell ref="P134:T134"/>
    <mergeCell ref="P81:V81"/>
    <mergeCell ref="A204:Z204"/>
    <mergeCell ref="D196:E196"/>
    <mergeCell ref="A126:O127"/>
    <mergeCell ref="P294:T294"/>
    <mergeCell ref="A62:Z62"/>
    <mergeCell ref="P308:V308"/>
    <mergeCell ref="P160:V160"/>
    <mergeCell ref="P83:T83"/>
    <mergeCell ref="V12:W12"/>
    <mergeCell ref="D191:E191"/>
    <mergeCell ref="D262:E262"/>
    <mergeCell ref="A362:Z362"/>
    <mergeCell ref="D237:E237"/>
    <mergeCell ref="A39:Z39"/>
    <mergeCell ref="P353:V353"/>
    <mergeCell ref="D170:E170"/>
    <mergeCell ref="D341:E341"/>
    <mergeCell ref="N17:N18"/>
    <mergeCell ref="P72:T72"/>
    <mergeCell ref="Q5:R5"/>
    <mergeCell ref="F17:F18"/>
    <mergeCell ref="P290:V290"/>
    <mergeCell ref="A315:Z315"/>
    <mergeCell ref="A24:O25"/>
    <mergeCell ref="P70:T70"/>
    <mergeCell ref="P263:T263"/>
    <mergeCell ref="D244:E244"/>
    <mergeCell ref="A310:Z310"/>
    <mergeCell ref="P85:T85"/>
    <mergeCell ref="A30:Z30"/>
    <mergeCell ref="A8:C8"/>
    <mergeCell ref="A10:C10"/>
    <mergeCell ref="AD17:AF18"/>
    <mergeCell ref="P142:V142"/>
    <mergeCell ref="A132:Z132"/>
    <mergeCell ref="F5:G5"/>
    <mergeCell ref="P55:V55"/>
    <mergeCell ref="P365:V365"/>
    <mergeCell ref="P186:T186"/>
    <mergeCell ref="A236:Z236"/>
    <mergeCell ref="O374:O375"/>
    <mergeCell ref="V11:W11"/>
    <mergeCell ref="P57:T57"/>
    <mergeCell ref="P342:T342"/>
    <mergeCell ref="P146:T146"/>
    <mergeCell ref="D152:E152"/>
    <mergeCell ref="A136:O137"/>
    <mergeCell ref="A192:O193"/>
    <mergeCell ref="D223:E223"/>
    <mergeCell ref="P317:T317"/>
    <mergeCell ref="P181:T181"/>
    <mergeCell ref="P357:T357"/>
    <mergeCell ref="D23:E23"/>
    <mergeCell ref="D216:E216"/>
    <mergeCell ref="A20:Z20"/>
    <mergeCell ref="P300:V300"/>
    <mergeCell ref="P2:W3"/>
    <mergeCell ref="A269:O270"/>
    <mergeCell ref="P298:T298"/>
    <mergeCell ref="P347:T347"/>
    <mergeCell ref="D35:E35"/>
    <mergeCell ref="P374:P375"/>
    <mergeCell ref="D333:E333"/>
    <mergeCell ref="D10:E10"/>
    <mergeCell ref="P64:T64"/>
    <mergeCell ref="F10:G10"/>
    <mergeCell ref="P135:T135"/>
    <mergeCell ref="D34:E34"/>
    <mergeCell ref="P191:T191"/>
    <mergeCell ref="D305:E305"/>
    <mergeCell ref="A308:O309"/>
    <mergeCell ref="P349:T349"/>
    <mergeCell ref="P371:V371"/>
    <mergeCell ref="D252:E252"/>
    <mergeCell ref="P123:T123"/>
    <mergeCell ref="P358:V358"/>
    <mergeCell ref="P66:V66"/>
    <mergeCell ref="P137:V137"/>
    <mergeCell ref="D218:E218"/>
    <mergeCell ref="P197:V197"/>
    <mergeCell ref="P341:T341"/>
    <mergeCell ref="D151:E151"/>
    <mergeCell ref="P192:V192"/>
    <mergeCell ref="P36:T36"/>
    <mergeCell ref="D215:E215"/>
    <mergeCell ref="A75:Z75"/>
    <mergeCell ref="A364:O365"/>
    <mergeCell ref="P286:V286"/>
    <mergeCell ref="M17:M18"/>
    <mergeCell ref="O17:O18"/>
    <mergeCell ref="P336:T336"/>
    <mergeCell ref="P131:V131"/>
    <mergeCell ref="P187:V187"/>
    <mergeCell ref="P174:V174"/>
    <mergeCell ref="A175:Z175"/>
    <mergeCell ref="A297:Z297"/>
    <mergeCell ref="A185:Z185"/>
    <mergeCell ref="P196:T196"/>
    <mergeCell ref="D177:E177"/>
    <mergeCell ref="P287:V287"/>
    <mergeCell ref="D33:E33"/>
    <mergeCell ref="A313:O314"/>
    <mergeCell ref="D226:E226"/>
    <mergeCell ref="A249:Z249"/>
    <mergeCell ref="A9:C9"/>
    <mergeCell ref="P125:T125"/>
    <mergeCell ref="D58:E58"/>
    <mergeCell ref="P112:T112"/>
    <mergeCell ref="A302:Z302"/>
    <mergeCell ref="D294:E294"/>
    <mergeCell ref="P348:T348"/>
    <mergeCell ref="D231:E231"/>
    <mergeCell ref="A327:Z327"/>
    <mergeCell ref="Q13:R13"/>
    <mergeCell ref="P97:V97"/>
    <mergeCell ref="D318:E318"/>
    <mergeCell ref="P201:T201"/>
    <mergeCell ref="P339:V339"/>
    <mergeCell ref="P139:T139"/>
    <mergeCell ref="P47:V47"/>
    <mergeCell ref="P114:T114"/>
    <mergeCell ref="P41:T41"/>
    <mergeCell ref="D84:E84"/>
    <mergeCell ref="D22:E22"/>
    <mergeCell ref="D155:E155"/>
    <mergeCell ref="A222:Z222"/>
    <mergeCell ref="P178:T178"/>
    <mergeCell ref="P34:T34"/>
    <mergeCell ref="H5:M5"/>
    <mergeCell ref="A56:Z56"/>
    <mergeCell ref="A228:O229"/>
    <mergeCell ref="D146:E146"/>
    <mergeCell ref="P225:T225"/>
    <mergeCell ref="D317:E317"/>
    <mergeCell ref="D6:M6"/>
    <mergeCell ref="D304:E304"/>
    <mergeCell ref="D83:E83"/>
    <mergeCell ref="P162:T162"/>
    <mergeCell ref="A86:O87"/>
    <mergeCell ref="P227:T227"/>
    <mergeCell ref="P106:T106"/>
    <mergeCell ref="P177:T177"/>
    <mergeCell ref="P33:T33"/>
    <mergeCell ref="P226:T226"/>
    <mergeCell ref="D85:E85"/>
    <mergeCell ref="D207:E207"/>
    <mergeCell ref="P120:V120"/>
    <mergeCell ref="A230:Z230"/>
    <mergeCell ref="P35:T35"/>
    <mergeCell ref="G17:G18"/>
    <mergeCell ref="A143:Z143"/>
    <mergeCell ref="P242:V242"/>
    <mergeCell ref="V6:W9"/>
    <mergeCell ref="P234:V234"/>
    <mergeCell ref="A299:O300"/>
    <mergeCell ref="D186:E186"/>
    <mergeCell ref="D217:E217"/>
    <mergeCell ref="P84:T84"/>
    <mergeCell ref="P22:T22"/>
    <mergeCell ref="F374:F375"/>
    <mergeCell ref="A61:Z61"/>
    <mergeCell ref="P92:V92"/>
    <mergeCell ref="A88:Z88"/>
    <mergeCell ref="H374:H375"/>
    <mergeCell ref="P54:V54"/>
    <mergeCell ref="Z17:Z18"/>
    <mergeCell ref="P173:V173"/>
    <mergeCell ref="P29:V29"/>
    <mergeCell ref="P265:V265"/>
    <mergeCell ref="P335:T335"/>
    <mergeCell ref="P333:T333"/>
    <mergeCell ref="A323:O324"/>
    <mergeCell ref="P121:V121"/>
    <mergeCell ref="Q374:Q375"/>
    <mergeCell ref="P148:V148"/>
    <mergeCell ref="A271:Z271"/>
    <mergeCell ref="P366:V366"/>
    <mergeCell ref="I374:I375"/>
    <mergeCell ref="H10:M10"/>
    <mergeCell ref="AA17:AA18"/>
    <mergeCell ref="AC17:AC18"/>
    <mergeCell ref="P107:V107"/>
    <mergeCell ref="P101:V101"/>
    <mergeCell ref="A122:Z122"/>
    <mergeCell ref="D89:E89"/>
    <mergeCell ref="A199:Z199"/>
    <mergeCell ref="P251:T251"/>
    <mergeCell ref="P45:T45"/>
    <mergeCell ref="D153:E153"/>
    <mergeCell ref="A288:Z288"/>
    <mergeCell ref="P318:T318"/>
    <mergeCell ref="AB17:AB18"/>
    <mergeCell ref="P46:T46"/>
    <mergeCell ref="A241:O242"/>
    <mergeCell ref="D154:E154"/>
    <mergeCell ref="P282:T282"/>
    <mergeCell ref="D225:E225"/>
    <mergeCell ref="P346:T346"/>
    <mergeCell ref="D227:E227"/>
    <mergeCell ref="P105:T105"/>
    <mergeCell ref="A340:Z340"/>
    <mergeCell ref="H17:H18"/>
    <mergeCell ref="A220:O221"/>
    <mergeCell ref="P90:T90"/>
    <mergeCell ref="P261:T261"/>
    <mergeCell ref="P332:T332"/>
    <mergeCell ref="P217:T217"/>
    <mergeCell ref="P275:V275"/>
    <mergeCell ref="P27:T27"/>
    <mergeCell ref="P154:T154"/>
    <mergeCell ref="D206:E206"/>
    <mergeCell ref="P247:V247"/>
    <mergeCell ref="P241:V241"/>
    <mergeCell ref="D298:E298"/>
    <mergeCell ref="D181:E181"/>
    <mergeCell ref="P91:T91"/>
    <mergeCell ref="D273:E273"/>
    <mergeCell ref="P156:T156"/>
    <mergeCell ref="A286:O287"/>
    <mergeCell ref="A80:O81"/>
    <mergeCell ref="P214:T214"/>
    <mergeCell ref="A176:Z176"/>
    <mergeCell ref="A101:O102"/>
    <mergeCell ref="A257:Z257"/>
    <mergeCell ref="P28:V28"/>
    <mergeCell ref="P221:V221"/>
    <mergeCell ref="A40:Z40"/>
    <mergeCell ref="A67:Z67"/>
    <mergeCell ref="P232:T232"/>
    <mergeCell ref="A82:Z82"/>
    <mergeCell ref="P330:T330"/>
    <mergeCell ref="D140:E140"/>
    <mergeCell ref="D267:E267"/>
    <mergeCell ref="P262:T262"/>
    <mergeCell ref="D105:E105"/>
    <mergeCell ref="D346:E346"/>
    <mergeCell ref="P77:T77"/>
    <mergeCell ref="A133:Z133"/>
    <mergeCell ref="D125:E125"/>
    <mergeCell ref="P179:T179"/>
    <mergeCell ref="G374:G375"/>
    <mergeCell ref="A54:O55"/>
    <mergeCell ref="J9:M9"/>
    <mergeCell ref="D112:E112"/>
    <mergeCell ref="D283:E283"/>
    <mergeCell ref="D348:E348"/>
    <mergeCell ref="A65:O66"/>
    <mergeCell ref="P206:T206"/>
    <mergeCell ref="P233:T233"/>
    <mergeCell ref="P304:T304"/>
    <mergeCell ref="D347:E347"/>
    <mergeCell ref="D114:E114"/>
    <mergeCell ref="D285:E285"/>
    <mergeCell ref="P220:V220"/>
    <mergeCell ref="D64:E64"/>
    <mergeCell ref="D51:E51"/>
    <mergeCell ref="P86:V86"/>
    <mergeCell ref="P306:T306"/>
    <mergeCell ref="D349:E349"/>
    <mergeCell ref="P260:T260"/>
    <mergeCell ref="D178:E178"/>
    <mergeCell ref="D172:E172"/>
    <mergeCell ref="P51:T51"/>
    <mergeCell ref="P153:T153"/>
    <mergeCell ref="P338:V338"/>
    <mergeCell ref="D36:E36"/>
    <mergeCell ref="P313:V313"/>
    <mergeCell ref="A138:Z138"/>
    <mergeCell ref="P202:V202"/>
    <mergeCell ref="A325:Z325"/>
    <mergeCell ref="A59:O60"/>
    <mergeCell ref="A94:Z94"/>
    <mergeCell ref="P73:V73"/>
    <mergeCell ref="P115:T115"/>
    <mergeCell ref="A256:Z256"/>
    <mergeCell ref="P238:T238"/>
    <mergeCell ref="A280:Z280"/>
    <mergeCell ref="P207:T207"/>
    <mergeCell ref="P368:V368"/>
    <mergeCell ref="D41:E41"/>
    <mergeCell ref="P25:V25"/>
    <mergeCell ref="D277:E277"/>
    <mergeCell ref="P356:T356"/>
    <mergeCell ref="R374:R375"/>
    <mergeCell ref="T374:T375"/>
    <mergeCell ref="P60:V60"/>
    <mergeCell ref="D43:E43"/>
    <mergeCell ref="P149:V149"/>
    <mergeCell ref="P320:V320"/>
    <mergeCell ref="P314:V314"/>
    <mergeCell ref="P216:T216"/>
    <mergeCell ref="P80:V80"/>
    <mergeCell ref="D68:E68"/>
    <mergeCell ref="D201:E201"/>
    <mergeCell ref="D335:E335"/>
    <mergeCell ref="P245:T245"/>
    <mergeCell ref="P126:V126"/>
    <mergeCell ref="A366:O371"/>
    <mergeCell ref="P224:T224"/>
    <mergeCell ref="P322:T322"/>
    <mergeCell ref="A141:O142"/>
    <mergeCell ref="P89:T89"/>
    <mergeCell ref="A12:M12"/>
    <mergeCell ref="A109:Z109"/>
    <mergeCell ref="D251:E251"/>
    <mergeCell ref="A19:Z19"/>
    <mergeCell ref="A190:Z190"/>
    <mergeCell ref="A14:M14"/>
    <mergeCell ref="A111:Z111"/>
    <mergeCell ref="T5:U5"/>
    <mergeCell ref="D119:E119"/>
    <mergeCell ref="V5:W5"/>
    <mergeCell ref="D246:E246"/>
    <mergeCell ref="D46:E46"/>
    <mergeCell ref="D233:E233"/>
    <mergeCell ref="P212:V212"/>
    <mergeCell ref="Q8:R8"/>
    <mergeCell ref="A28:O29"/>
    <mergeCell ref="P69:T69"/>
    <mergeCell ref="P140:T140"/>
    <mergeCell ref="D219:E219"/>
    <mergeCell ref="D104:E104"/>
    <mergeCell ref="T6:U9"/>
    <mergeCell ref="Q10:R10"/>
    <mergeCell ref="A13:M13"/>
    <mergeCell ref="A15:M15"/>
    <mergeCell ref="D27:E27"/>
    <mergeCell ref="A338:O339"/>
    <mergeCell ref="P208:T208"/>
    <mergeCell ref="P15:T16"/>
    <mergeCell ref="D116:E116"/>
    <mergeCell ref="D352:E352"/>
    <mergeCell ref="P219:T219"/>
    <mergeCell ref="D91:E91"/>
    <mergeCell ref="P23:T23"/>
    <mergeCell ref="D162:E162"/>
    <mergeCell ref="P272:T272"/>
    <mergeCell ref="D156:E156"/>
    <mergeCell ref="P210:T210"/>
    <mergeCell ref="D106:E106"/>
    <mergeCell ref="P283:T283"/>
    <mergeCell ref="P277:T277"/>
    <mergeCell ref="A195:Z195"/>
    <mergeCell ref="P291:V291"/>
    <mergeCell ref="P43:T43"/>
    <mergeCell ref="P65:V65"/>
    <mergeCell ref="D157:E157"/>
    <mergeCell ref="P136:V136"/>
    <mergeCell ref="P285:T285"/>
    <mergeCell ref="D328:E328"/>
    <mergeCell ref="S374:S375"/>
    <mergeCell ref="P289:T289"/>
    <mergeCell ref="U374:U375"/>
    <mergeCell ref="D232:E232"/>
    <mergeCell ref="P68:T68"/>
    <mergeCell ref="P239:T239"/>
    <mergeCell ref="A247:O248"/>
    <mergeCell ref="D169:E169"/>
    <mergeCell ref="P253:V253"/>
    <mergeCell ref="P367:V367"/>
    <mergeCell ref="D330:E330"/>
    <mergeCell ref="P305:T305"/>
    <mergeCell ref="A98:Z98"/>
    <mergeCell ref="P344:V344"/>
    <mergeCell ref="H373:R373"/>
    <mergeCell ref="D350:E350"/>
    <mergeCell ref="P370:V370"/>
    <mergeCell ref="P228:V228"/>
    <mergeCell ref="D282:E282"/>
    <mergeCell ref="A295:O296"/>
    <mergeCell ref="P311:T311"/>
    <mergeCell ref="P267:T267"/>
    <mergeCell ref="P254:V254"/>
    <mergeCell ref="P319:V319"/>
    <mergeCell ref="P354:V354"/>
    <mergeCell ref="P127:V127"/>
    <mergeCell ref="P198:V198"/>
    <mergeCell ref="P369:V369"/>
    <mergeCell ref="A250:Z250"/>
    <mergeCell ref="A5:C5"/>
    <mergeCell ref="A107:O108"/>
    <mergeCell ref="A110:Z110"/>
    <mergeCell ref="D179:E179"/>
    <mergeCell ref="D337:E337"/>
    <mergeCell ref="A17:A18"/>
    <mergeCell ref="K17:K18"/>
    <mergeCell ref="A189:Z189"/>
    <mergeCell ref="C17:C18"/>
    <mergeCell ref="P364:V364"/>
    <mergeCell ref="D168:E168"/>
    <mergeCell ref="D9:E9"/>
    <mergeCell ref="D180:E180"/>
    <mergeCell ref="D118:E118"/>
    <mergeCell ref="F9:G9"/>
    <mergeCell ref="P53:T53"/>
    <mergeCell ref="D167:E167"/>
    <mergeCell ref="P351:T351"/>
    <mergeCell ref="D63:E63"/>
    <mergeCell ref="D322:E322"/>
    <mergeCell ref="D260:E260"/>
    <mergeCell ref="A6:C6"/>
    <mergeCell ref="D113:E113"/>
    <mergeCell ref="P180:T180"/>
    <mergeCell ref="P118:T118"/>
    <mergeCell ref="P167:T167"/>
    <mergeCell ref="A161:Z161"/>
    <mergeCell ref="P117:T117"/>
    <mergeCell ref="A253:O254"/>
    <mergeCell ref="D311:E311"/>
    <mergeCell ref="D115:E115"/>
    <mergeCell ref="P102:V102"/>
    <mergeCell ref="Q12:R12"/>
    <mergeCell ref="D90:E90"/>
    <mergeCell ref="P169:T169"/>
    <mergeCell ref="A130:O131"/>
    <mergeCell ref="D261:E261"/>
    <mergeCell ref="A274:O275"/>
    <mergeCell ref="P119:T119"/>
    <mergeCell ref="P183:V183"/>
    <mergeCell ref="P246:T246"/>
    <mergeCell ref="A31:Z31"/>
    <mergeCell ref="D52:E52"/>
    <mergeCell ref="M374:M375"/>
    <mergeCell ref="D77:E77"/>
    <mergeCell ref="P258:T258"/>
    <mergeCell ref="A182:O183"/>
    <mergeCell ref="P52:T52"/>
    <mergeCell ref="P223:T223"/>
    <mergeCell ref="A353:O354"/>
    <mergeCell ref="P350:T350"/>
    <mergeCell ref="I17:I18"/>
    <mergeCell ref="C373:G373"/>
    <mergeCell ref="D135:E135"/>
    <mergeCell ref="D306:E306"/>
    <mergeCell ref="A319:O320"/>
    <mergeCell ref="P352:T352"/>
    <mergeCell ref="P203:V203"/>
    <mergeCell ref="D72:E72"/>
    <mergeCell ref="A326:Z326"/>
    <mergeCell ref="P295:V295"/>
    <mergeCell ref="A301:Z301"/>
    <mergeCell ref="P270:V270"/>
    <mergeCell ref="P312:T312"/>
    <mergeCell ref="A32:Z32"/>
    <mergeCell ref="P278:V278"/>
    <mergeCell ref="A303:Z303"/>
    <mergeCell ref="D1:F1"/>
    <mergeCell ref="J17:J18"/>
    <mergeCell ref="L17:L18"/>
    <mergeCell ref="P359:V359"/>
    <mergeCell ref="A184:Z184"/>
    <mergeCell ref="D240:E240"/>
    <mergeCell ref="P48:V48"/>
    <mergeCell ref="D334:E334"/>
    <mergeCell ref="A165:Z165"/>
    <mergeCell ref="D100:E100"/>
    <mergeCell ref="P113:T113"/>
    <mergeCell ref="P284:T284"/>
    <mergeCell ref="P17:T18"/>
    <mergeCell ref="P129:T129"/>
    <mergeCell ref="P63:T63"/>
    <mergeCell ref="P323:V323"/>
    <mergeCell ref="P50:T50"/>
    <mergeCell ref="A166:Z166"/>
    <mergeCell ref="D158:E158"/>
    <mergeCell ref="D329:E329"/>
    <mergeCell ref="Q9:R9"/>
    <mergeCell ref="A37:O38"/>
    <mergeCell ref="P78:T78"/>
    <mergeCell ref="Q11:R11"/>
    <mergeCell ref="A278:O279"/>
    <mergeCell ref="D69:E69"/>
    <mergeCell ref="A47:O48"/>
    <mergeCell ref="P240:T240"/>
    <mergeCell ref="A96:O97"/>
    <mergeCell ref="K374:K375"/>
    <mergeCell ref="P93:V93"/>
    <mergeCell ref="P264:V264"/>
    <mergeCell ref="P164:V164"/>
    <mergeCell ref="P269:V269"/>
    <mergeCell ref="D356:E356"/>
    <mergeCell ref="A281:Z281"/>
    <mergeCell ref="D145:E145"/>
    <mergeCell ref="P273:T273"/>
    <mergeCell ref="D272:E272"/>
    <mergeCell ref="D210:E210"/>
    <mergeCell ref="A316:Z316"/>
    <mergeCell ref="A345:Z345"/>
    <mergeCell ref="D209:E209"/>
    <mergeCell ref="P337:T337"/>
    <mergeCell ref="D147:E147"/>
    <mergeCell ref="P188:V188"/>
    <mergeCell ref="A187:O188"/>
    <mergeCell ref="D245:E245"/>
    <mergeCell ref="P343:V343"/>
    <mergeCell ref="P95:T95"/>
    <mergeCell ref="A355:Z355"/>
    <mergeCell ref="P331:T331"/>
    <mergeCell ref="P182:V182"/>
    <mergeCell ref="H1:Q1"/>
    <mergeCell ref="P38:V38"/>
    <mergeCell ref="J374:J375"/>
    <mergeCell ref="L374:L375"/>
    <mergeCell ref="A243:Z243"/>
    <mergeCell ref="P274:V274"/>
    <mergeCell ref="A99:Z99"/>
    <mergeCell ref="A292:Z292"/>
    <mergeCell ref="D214:E214"/>
    <mergeCell ref="D284:E284"/>
    <mergeCell ref="P193:V193"/>
    <mergeCell ref="D259:E259"/>
    <mergeCell ref="A76:Z76"/>
    <mergeCell ref="D117:E117"/>
    <mergeCell ref="P171:T171"/>
    <mergeCell ref="A361:Z361"/>
    <mergeCell ref="D5:E5"/>
    <mergeCell ref="P42:T42"/>
    <mergeCell ref="P259:T259"/>
    <mergeCell ref="S373:T373"/>
    <mergeCell ref="U373:V373"/>
    <mergeCell ref="A213:Z213"/>
    <mergeCell ref="A150:Z150"/>
    <mergeCell ref="A321:Z321"/>
    <mergeCell ref="A120:O121"/>
    <mergeCell ref="D7:M7"/>
    <mergeCell ref="D129:E129"/>
    <mergeCell ref="D79:E79"/>
    <mergeCell ref="P334:T334"/>
    <mergeCell ref="D144:E144"/>
    <mergeCell ref="A159:O160"/>
    <mergeCell ref="P100:T100"/>
    <mergeCell ref="A290:O291"/>
    <mergeCell ref="D208:E208"/>
    <mergeCell ref="D8:M8"/>
    <mergeCell ref="A211:O212"/>
    <mergeCell ref="P44:T44"/>
    <mergeCell ref="P108:V108"/>
    <mergeCell ref="P237:T237"/>
    <mergeCell ref="P279:V279"/>
    <mergeCell ref="P158:T158"/>
    <mergeCell ref="P329:T329"/>
    <mergeCell ref="D139:E139"/>
    <mergeCell ref="R1:T1"/>
    <mergeCell ref="P172:T172"/>
    <mergeCell ref="D71:E71"/>
    <mergeCell ref="D332:E332"/>
    <mergeCell ref="P215:T215"/>
    <mergeCell ref="D307:E307"/>
    <mergeCell ref="P229:V229"/>
    <mergeCell ref="P152:T152"/>
    <mergeCell ref="A200:Z200"/>
    <mergeCell ref="P141:V141"/>
    <mergeCell ref="P37:V37"/>
    <mergeCell ref="A234:O235"/>
    <mergeCell ref="P104:T104"/>
    <mergeCell ref="B17:B18"/>
    <mergeCell ref="P248:V248"/>
    <mergeCell ref="A266:Z266"/>
    <mergeCell ref="P235:V235"/>
    <mergeCell ref="D258:E258"/>
    <mergeCell ref="A92:O93"/>
    <mergeCell ref="D124:E124"/>
    <mergeCell ref="P252:T252"/>
    <mergeCell ref="V10:W10"/>
    <mergeCell ref="P299:V299"/>
    <mergeCell ref="A173:O174"/>
    <mergeCell ref="W374:W375"/>
    <mergeCell ref="P309:V309"/>
    <mergeCell ref="P155:T155"/>
    <mergeCell ref="P324:V324"/>
    <mergeCell ref="D70:E70"/>
    <mergeCell ref="A205:Z205"/>
    <mergeCell ref="D263:E263"/>
    <mergeCell ref="D312:E312"/>
    <mergeCell ref="D238:E238"/>
    <mergeCell ref="D78:E78"/>
    <mergeCell ref="D134:E134"/>
    <mergeCell ref="P157:T157"/>
    <mergeCell ref="P328:T328"/>
    <mergeCell ref="A343:O344"/>
    <mergeCell ref="D363:E363"/>
    <mergeCell ref="D357:E357"/>
    <mergeCell ref="P170:T170"/>
    <mergeCell ref="A360:Z360"/>
    <mergeCell ref="P145:T145"/>
    <mergeCell ref="A374:A375"/>
    <mergeCell ref="D351:E351"/>
    <mergeCell ref="P159:V159"/>
    <mergeCell ref="D289:E289"/>
    <mergeCell ref="P209:T209"/>
    <mergeCell ref="P79:T79"/>
    <mergeCell ref="P244:T244"/>
    <mergeCell ref="P144:T144"/>
    <mergeCell ref="P231:T231"/>
    <mergeCell ref="P87:V87"/>
    <mergeCell ref="A276:Z276"/>
    <mergeCell ref="D45:E45"/>
    <mergeCell ref="H9:I9"/>
    <mergeCell ref="A49:Z49"/>
    <mergeCell ref="P24:V24"/>
    <mergeCell ref="P211:V211"/>
    <mergeCell ref="D53:E53"/>
    <mergeCell ref="P147:T147"/>
    <mergeCell ref="W17:W18"/>
    <mergeCell ref="A264:O265"/>
    <mergeCell ref="P96:V96"/>
    <mergeCell ref="A148:O149"/>
    <mergeCell ref="P116:T116"/>
    <mergeCell ref="D224:E224"/>
    <mergeCell ref="A26:Z26"/>
    <mergeCell ref="P59:V59"/>
    <mergeCell ref="P268:T268"/>
    <mergeCell ref="P130:V130"/>
    <mergeCell ref="P168:T16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560</v>
      </c>
      <c r="H1" s="53"/>
    </row>
    <row r="3" spans="2:8" x14ac:dyDescent="0.2">
      <c r="B3" s="48" t="s">
        <v>561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562</v>
      </c>
      <c r="D6" s="48" t="s">
        <v>563</v>
      </c>
      <c r="E6" s="48"/>
    </row>
    <row r="8" spans="2:8" x14ac:dyDescent="0.2">
      <c r="B8" s="48" t="s">
        <v>19</v>
      </c>
      <c r="C8" s="48" t="s">
        <v>562</v>
      </c>
      <c r="D8" s="48"/>
      <c r="E8" s="48"/>
    </row>
    <row r="10" spans="2:8" x14ac:dyDescent="0.2">
      <c r="B10" s="48" t="s">
        <v>564</v>
      </c>
      <c r="C10" s="48"/>
      <c r="D10" s="48"/>
      <c r="E10" s="48"/>
    </row>
    <row r="11" spans="2:8" x14ac:dyDescent="0.2">
      <c r="B11" s="48" t="s">
        <v>565</v>
      </c>
      <c r="C11" s="48"/>
      <c r="D11" s="48"/>
      <c r="E11" s="48"/>
    </row>
    <row r="12" spans="2:8" x14ac:dyDescent="0.2">
      <c r="B12" s="48" t="s">
        <v>566</v>
      </c>
      <c r="C12" s="48"/>
      <c r="D12" s="48"/>
      <c r="E12" s="48"/>
    </row>
    <row r="13" spans="2:8" x14ac:dyDescent="0.2">
      <c r="B13" s="48" t="s">
        <v>567</v>
      </c>
      <c r="C13" s="48"/>
      <c r="D13" s="48"/>
      <c r="E13" s="48"/>
    </row>
    <row r="14" spans="2:8" x14ac:dyDescent="0.2">
      <c r="B14" s="48" t="s">
        <v>568</v>
      </c>
      <c r="C14" s="48"/>
      <c r="D14" s="48"/>
      <c r="E14" s="48"/>
    </row>
    <row r="15" spans="2:8" x14ac:dyDescent="0.2">
      <c r="B15" s="48" t="s">
        <v>569</v>
      </c>
      <c r="C15" s="48"/>
      <c r="D15" s="48"/>
      <c r="E15" s="48"/>
    </row>
    <row r="16" spans="2:8" x14ac:dyDescent="0.2">
      <c r="B16" s="48" t="s">
        <v>570</v>
      </c>
      <c r="C16" s="48"/>
      <c r="D16" s="48"/>
      <c r="E16" s="48"/>
    </row>
    <row r="17" spans="2:5" x14ac:dyDescent="0.2">
      <c r="B17" s="48" t="s">
        <v>32</v>
      </c>
      <c r="C17" s="48"/>
      <c r="D17" s="48"/>
      <c r="E17" s="48"/>
    </row>
    <row r="18" spans="2:5" x14ac:dyDescent="0.2">
      <c r="B18" s="48" t="s">
        <v>571</v>
      </c>
      <c r="C18" s="48"/>
      <c r="D18" s="48"/>
      <c r="E18" s="48"/>
    </row>
    <row r="19" spans="2:5" x14ac:dyDescent="0.2">
      <c r="B19" s="48" t="s">
        <v>572</v>
      </c>
      <c r="C19" s="48"/>
      <c r="D19" s="48"/>
      <c r="E19" s="48"/>
    </row>
    <row r="20" spans="2:5" x14ac:dyDescent="0.2">
      <c r="B20" s="48" t="s">
        <v>573</v>
      </c>
      <c r="C20" s="48"/>
      <c r="D20" s="48"/>
      <c r="E20" s="48"/>
    </row>
  </sheetData>
  <sheetProtection algorithmName="SHA-512" hashValue="7HOEBaZCPqrZHZwB0BPZcjDDQJgJspDiNUuxFts1XWi6wpRimY3J/Yng8LJO3XHwARCx+WNcocvIX7hSQ/NiRw==" saltValue="DgW3I3LMCNdreDvPYXzMP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689</vt:i4>
      </vt:variant>
    </vt:vector>
  </HeadingPairs>
  <TitlesOfParts>
    <vt:vector size="6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2025-05-30T13:35:53Z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