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8C232675-CA7E-46D7-81FD-D90E5DDDD5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2" i="1" l="1"/>
  <c r="Z138" i="1"/>
  <c r="H9" i="1"/>
  <c r="A10" i="1"/>
  <c r="Y33" i="1"/>
  <c r="Y37" i="1"/>
  <c r="Y45" i="1"/>
  <c r="Y49" i="1"/>
  <c r="Y58" i="1"/>
  <c r="Y66" i="1"/>
  <c r="Y72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Z154" i="1"/>
  <c r="BP152" i="1"/>
  <c r="BN152" i="1"/>
  <c r="Z152" i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Z330" i="1" s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5" i="1"/>
  <c r="X517" i="1"/>
  <c r="Y24" i="1"/>
  <c r="Z27" i="1"/>
  <c r="BN27" i="1"/>
  <c r="Y514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515" i="1" s="1"/>
  <c r="Z43" i="1"/>
  <c r="BN43" i="1"/>
  <c r="Y44" i="1"/>
  <c r="Y517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Z109" i="1" s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Y139" i="1"/>
  <c r="Y144" i="1"/>
  <c r="BP141" i="1"/>
  <c r="BN141" i="1"/>
  <c r="Z141" i="1"/>
  <c r="Z143" i="1" s="1"/>
  <c r="Y155" i="1"/>
  <c r="Y154" i="1"/>
  <c r="BP164" i="1"/>
  <c r="BN164" i="1"/>
  <c r="Z164" i="1"/>
  <c r="Z172" i="1" s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Z204" i="1" s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Z259" i="1" s="1"/>
  <c r="Y259" i="1"/>
  <c r="Z267" i="1"/>
  <c r="BP264" i="1"/>
  <c r="BN264" i="1"/>
  <c r="Z264" i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Z423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Z232" i="1" s="1"/>
  <c r="BP230" i="1"/>
  <c r="BN230" i="1"/>
  <c r="Z230" i="1"/>
  <c r="Y237" i="1"/>
  <c r="Y251" i="1"/>
  <c r="BP248" i="1"/>
  <c r="BN248" i="1"/>
  <c r="Z248" i="1"/>
  <c r="Z250" i="1" s="1"/>
  <c r="BP257" i="1"/>
  <c r="BN257" i="1"/>
  <c r="Z257" i="1"/>
  <c r="Z274" i="1"/>
  <c r="BP272" i="1"/>
  <c r="BN272" i="1"/>
  <c r="Z272" i="1"/>
  <c r="BP295" i="1"/>
  <c r="BN295" i="1"/>
  <c r="Z295" i="1"/>
  <c r="Z298" i="1" s="1"/>
  <c r="BP303" i="1"/>
  <c r="BN303" i="1"/>
  <c r="Z303" i="1"/>
  <c r="BP307" i="1"/>
  <c r="BN307" i="1"/>
  <c r="Z307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Z322" i="1" s="1"/>
  <c r="Y331" i="1"/>
  <c r="Z336" i="1"/>
  <c r="BP334" i="1"/>
  <c r="BN334" i="1"/>
  <c r="Z334" i="1"/>
  <c r="S523" i="1"/>
  <c r="BP349" i="1"/>
  <c r="BN349" i="1"/>
  <c r="Z349" i="1"/>
  <c r="Z355" i="1" s="1"/>
  <c r="BP353" i="1"/>
  <c r="BN353" i="1"/>
  <c r="Z353" i="1"/>
  <c r="Y360" i="1"/>
  <c r="BP374" i="1"/>
  <c r="BN374" i="1"/>
  <c r="Z374" i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Y516" i="1" l="1"/>
  <c r="Z469" i="1"/>
  <c r="Z491" i="1"/>
  <c r="Y513" i="1"/>
  <c r="Z216" i="1"/>
  <c r="Z501" i="1"/>
  <c r="Z453" i="1"/>
  <c r="Z405" i="1"/>
  <c r="Z377" i="1"/>
  <c r="Z115" i="1"/>
  <c r="Z101" i="1"/>
  <c r="Z71" i="1"/>
  <c r="Z58" i="1"/>
  <c r="Z518" i="1" s="1"/>
  <c r="X516" i="1"/>
  <c r="Z308" i="1"/>
  <c r="Z122" i="1"/>
</calcChain>
</file>

<file path=xl/sharedStrings.xml><?xml version="1.0" encoding="utf-8"?>
<sst xmlns="http://schemas.openxmlformats.org/spreadsheetml/2006/main" count="2304" uniqueCount="824">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</sst>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1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45844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15</v>
      </c>
      <c r="Q6" s="892" t="str">
        <f>IF(Q5=0," ",CHOOSE(WEEKDAY(Q5,2),"Понедельник","Вторник","Среда","Четверг","Пятница","Суббота","Воскресенье"))</f>
        <v>Воскресенье</v>
      </c>
      <c r="R6" s="584"/>
      <c r="T6" s="756" t="s">
        <v>16</v>
      </c>
      <c r="U6" s="747"/>
      <c r="V6" s="800" t="s">
        <v>17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 t="str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18</v>
      </c>
      <c r="B8" s="595"/>
      <c r="C8" s="596"/>
      <c r="D8" s="643" t="s">
        <v>19</v>
      </c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20</v>
      </c>
      <c r="Q8" s="709">
        <v>0.375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21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22</v>
      </c>
      <c r="Q10" s="757"/>
      <c r="R10" s="758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9"/>
      <c r="R11" s="700"/>
      <c r="U11" s="24" t="s">
        <v>27</v>
      </c>
      <c r="V11" s="840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30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31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32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6" t="s">
        <v>38</v>
      </c>
      <c r="D17" s="618" t="s">
        <v>39</v>
      </c>
      <c r="E17" s="679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8"/>
      <c r="R17" s="678"/>
      <c r="S17" s="678"/>
      <c r="T17" s="679"/>
      <c r="U17" s="904" t="s">
        <v>51</v>
      </c>
      <c r="V17" s="582"/>
      <c r="W17" s="618" t="s">
        <v>52</v>
      </c>
      <c r="X17" s="618" t="s">
        <v>53</v>
      </c>
      <c r="Y17" s="901" t="s">
        <v>54</v>
      </c>
      <c r="Z17" s="810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61</v>
      </c>
      <c r="V18" s="67" t="s">
        <v>62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72</v>
      </c>
      <c r="Q23" s="595"/>
      <c r="R23" s="595"/>
      <c r="S23" s="595"/>
      <c r="T23" s="595"/>
      <c r="U23" s="595"/>
      <c r="V23" s="596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72</v>
      </c>
      <c r="Q24" s="595"/>
      <c r="R24" s="595"/>
      <c r="S24" s="595"/>
      <c r="T24" s="595"/>
      <c r="U24" s="595"/>
      <c r="V24" s="596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72</v>
      </c>
      <c r="Q32" s="595"/>
      <c r="R32" s="595"/>
      <c r="S32" s="595"/>
      <c r="T32" s="595"/>
      <c r="U32" s="595"/>
      <c r="V32" s="596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72</v>
      </c>
      <c r="Q33" s="595"/>
      <c r="R33" s="595"/>
      <c r="S33" s="595"/>
      <c r="T33" s="595"/>
      <c r="U33" s="595"/>
      <c r="V33" s="596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72</v>
      </c>
      <c r="Q36" s="595"/>
      <c r="R36" s="595"/>
      <c r="S36" s="595"/>
      <c r="T36" s="595"/>
      <c r="U36" s="595"/>
      <c r="V36" s="596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72</v>
      </c>
      <c r="Q37" s="595"/>
      <c r="R37" s="595"/>
      <c r="S37" s="595"/>
      <c r="T37" s="595"/>
      <c r="U37" s="595"/>
      <c r="V37" s="596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101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100</v>
      </c>
      <c r="Y41" s="57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360</v>
      </c>
      <c r="Y42" s="574">
        <f>IFERROR(IF(X42="",0,CEILING((X42/$H42),1)*$H42),"")</f>
        <v>360</v>
      </c>
      <c r="Z42" s="36">
        <f>IFERROR(IF(Y42=0,"",ROUNDUP(Y42/H42,0)*0.00902),"")</f>
        <v>0.81180000000000008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378.9</v>
      </c>
      <c r="BN42" s="64">
        <f>IFERROR(Y42*I42/H42,"0")</f>
        <v>378.9</v>
      </c>
      <c r="BO42" s="64">
        <f>IFERROR(1/J42*(X42/H42),"0")</f>
        <v>0.68181818181818188</v>
      </c>
      <c r="BP42" s="64">
        <f>IFERROR(1/J42*(Y42/H42),"0")</f>
        <v>0.68181818181818188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72</v>
      </c>
      <c r="Q44" s="595"/>
      <c r="R44" s="595"/>
      <c r="S44" s="595"/>
      <c r="T44" s="595"/>
      <c r="U44" s="595"/>
      <c r="V44" s="596"/>
      <c r="W44" s="37" t="s">
        <v>73</v>
      </c>
      <c r="X44" s="575">
        <f>IFERROR(X41/H41,"0")+IFERROR(X42/H42,"0")+IFERROR(X43/H43,"0")</f>
        <v>99.259259259259267</v>
      </c>
      <c r="Y44" s="575">
        <f>IFERROR(Y41/H41,"0")+IFERROR(Y42/H42,"0")+IFERROR(Y43/H43,"0")</f>
        <v>100</v>
      </c>
      <c r="Z44" s="575">
        <f>IFERROR(IF(Z41="",0,Z41),"0")+IFERROR(IF(Z42="",0,Z42),"0")+IFERROR(IF(Z43="",0,Z43),"0")</f>
        <v>1.0016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72</v>
      </c>
      <c r="Q45" s="595"/>
      <c r="R45" s="595"/>
      <c r="S45" s="595"/>
      <c r="T45" s="595"/>
      <c r="U45" s="595"/>
      <c r="V45" s="596"/>
      <c r="W45" s="37" t="s">
        <v>70</v>
      </c>
      <c r="X45" s="575">
        <f>IFERROR(SUM(X41:X43),"0")</f>
        <v>460</v>
      </c>
      <c r="Y45" s="575">
        <f>IFERROR(SUM(Y41:Y43),"0")</f>
        <v>468</v>
      </c>
      <c r="Z45" s="37"/>
      <c r="AA45" s="576"/>
      <c r="AB45" s="576"/>
      <c r="AC45" s="576"/>
    </row>
    <row r="46" spans="1:68" ht="14.25" customHeight="1" x14ac:dyDescent="0.25">
      <c r="A46" s="589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72</v>
      </c>
      <c r="Q48" s="595"/>
      <c r="R48" s="595"/>
      <c r="S48" s="595"/>
      <c r="T48" s="595"/>
      <c r="U48" s="595"/>
      <c r="V48" s="596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72</v>
      </c>
      <c r="Q49" s="595"/>
      <c r="R49" s="595"/>
      <c r="S49" s="595"/>
      <c r="T49" s="595"/>
      <c r="U49" s="595"/>
      <c r="V49" s="596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100</v>
      </c>
      <c r="Y53" s="57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540</v>
      </c>
      <c r="Y57" s="574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72</v>
      </c>
      <c r="Q58" s="595"/>
      <c r="R58" s="595"/>
      <c r="S58" s="595"/>
      <c r="T58" s="595"/>
      <c r="U58" s="595"/>
      <c r="V58" s="596"/>
      <c r="W58" s="37" t="s">
        <v>73</v>
      </c>
      <c r="X58" s="575">
        <f>IFERROR(X52/H52,"0")+IFERROR(X53/H53,"0")+IFERROR(X54/H54,"0")+IFERROR(X55/H55,"0")+IFERROR(X56/H56,"0")+IFERROR(X57/H57,"0")</f>
        <v>129.25925925925927</v>
      </c>
      <c r="Y58" s="575">
        <f>IFERROR(Y52/H52,"0")+IFERROR(Y53/H53,"0")+IFERROR(Y54/H54,"0")+IFERROR(Y55/H55,"0")+IFERROR(Y56/H56,"0")+IFERROR(Y57/H57,"0")</f>
        <v>130</v>
      </c>
      <c r="Z58" s="575">
        <f>IFERROR(IF(Z52="",0,Z52),"0")+IFERROR(IF(Z53="",0,Z53),"0")+IFERROR(IF(Z54="",0,Z54),"0")+IFERROR(IF(Z55="",0,Z55),"0")+IFERROR(IF(Z56="",0,Z56),"0")+IFERROR(IF(Z57="",0,Z57),"0")</f>
        <v>1.2722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72</v>
      </c>
      <c r="Q59" s="595"/>
      <c r="R59" s="595"/>
      <c r="S59" s="595"/>
      <c r="T59" s="595"/>
      <c r="U59" s="595"/>
      <c r="V59" s="596"/>
      <c r="W59" s="37" t="s">
        <v>70</v>
      </c>
      <c r="X59" s="575">
        <f>IFERROR(SUM(X52:X57),"0")</f>
        <v>640</v>
      </c>
      <c r="Y59" s="575">
        <f>IFERROR(SUM(Y52:Y57),"0")</f>
        <v>648</v>
      </c>
      <c r="Z59" s="37"/>
      <c r="AA59" s="576"/>
      <c r="AB59" s="576"/>
      <c r="AC59" s="576"/>
    </row>
    <row r="60" spans="1:68" ht="14.25" customHeight="1" x14ac:dyDescent="0.25">
      <c r="A60" s="589" t="s">
        <v>137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80</v>
      </c>
      <c r="Y61" s="574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83.222222222222214</v>
      </c>
      <c r="BN61" s="64">
        <f>IFERROR(Y61*I61/H61,"0")</f>
        <v>89.88</v>
      </c>
      <c r="BO61" s="64">
        <f>IFERROR(1/J61*(X61/H61),"0")</f>
        <v>0.11574074074074073</v>
      </c>
      <c r="BP61" s="64">
        <f>IFERROR(1/J61*(Y61/H61),"0")</f>
        <v>0.125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157.5</v>
      </c>
      <c r="Y64" s="574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167.99999999999997</v>
      </c>
      <c r="BN64" s="64">
        <f>IFERROR(Y64*I64/H64,"0")</f>
        <v>169.92</v>
      </c>
      <c r="BO64" s="64">
        <f>IFERROR(1/J64*(X64/H64),"0")</f>
        <v>0.32051282051282048</v>
      </c>
      <c r="BP64" s="64">
        <f>IFERROR(1/J64*(Y64/H64),"0")</f>
        <v>0.32417582417582419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72</v>
      </c>
      <c r="Q65" s="595"/>
      <c r="R65" s="595"/>
      <c r="S65" s="595"/>
      <c r="T65" s="595"/>
      <c r="U65" s="595"/>
      <c r="V65" s="596"/>
      <c r="W65" s="37" t="s">
        <v>73</v>
      </c>
      <c r="X65" s="575">
        <f>IFERROR(X61/H61,"0")+IFERROR(X62/H62,"0")+IFERROR(X63/H63,"0")+IFERROR(X64/H64,"0")</f>
        <v>65.740740740740733</v>
      </c>
      <c r="Y65" s="575">
        <f>IFERROR(Y61/H61,"0")+IFERROR(Y62/H62,"0")+IFERROR(Y63/H63,"0")+IFERROR(Y64/H64,"0")</f>
        <v>67</v>
      </c>
      <c r="Z65" s="575">
        <f>IFERROR(IF(Z61="",0,Z61),"0")+IFERROR(IF(Z62="",0,Z62),"0")+IFERROR(IF(Z63="",0,Z63),"0")+IFERROR(IF(Z64="",0,Z64),"0")</f>
        <v>0.53593000000000002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72</v>
      </c>
      <c r="Q66" s="595"/>
      <c r="R66" s="595"/>
      <c r="S66" s="595"/>
      <c r="T66" s="595"/>
      <c r="U66" s="595"/>
      <c r="V66" s="596"/>
      <c r="W66" s="37" t="s">
        <v>70</v>
      </c>
      <c r="X66" s="575">
        <f>IFERROR(SUM(X61:X64),"0")</f>
        <v>237.5</v>
      </c>
      <c r="Y66" s="575">
        <f>IFERROR(SUM(Y61:Y64),"0")</f>
        <v>245.70000000000002</v>
      </c>
      <c r="Z66" s="37"/>
      <c r="AA66" s="576"/>
      <c r="AB66" s="576"/>
      <c r="AC66" s="576"/>
    </row>
    <row r="67" spans="1:68" ht="14.25" customHeight="1" x14ac:dyDescent="0.25">
      <c r="A67" s="589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72</v>
      </c>
      <c r="Q71" s="595"/>
      <c r="R71" s="595"/>
      <c r="S71" s="595"/>
      <c r="T71" s="595"/>
      <c r="U71" s="595"/>
      <c r="V71" s="596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72</v>
      </c>
      <c r="Q72" s="595"/>
      <c r="R72" s="595"/>
      <c r="S72" s="595"/>
      <c r="T72" s="595"/>
      <c r="U72" s="595"/>
      <c r="V72" s="596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72</v>
      </c>
      <c r="Q80" s="595"/>
      <c r="R80" s="595"/>
      <c r="S80" s="595"/>
      <c r="T80" s="595"/>
      <c r="U80" s="595"/>
      <c r="V80" s="596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72</v>
      </c>
      <c r="Q81" s="595"/>
      <c r="R81" s="595"/>
      <c r="S81" s="595"/>
      <c r="T81" s="595"/>
      <c r="U81" s="595"/>
      <c r="V81" s="596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172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30</v>
      </c>
      <c r="Y83" s="57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72</v>
      </c>
      <c r="Q85" s="595"/>
      <c r="R85" s="595"/>
      <c r="S85" s="595"/>
      <c r="T85" s="595"/>
      <c r="U85" s="595"/>
      <c r="V85" s="596"/>
      <c r="W85" s="37" t="s">
        <v>73</v>
      </c>
      <c r="X85" s="575">
        <f>IFERROR(X83/H83,"0")+IFERROR(X84/H84,"0")</f>
        <v>3.8461538461538463</v>
      </c>
      <c r="Y85" s="575">
        <f>IFERROR(Y83/H83,"0")+IFERROR(Y84/H84,"0")</f>
        <v>4</v>
      </c>
      <c r="Z85" s="575">
        <f>IFERROR(IF(Z83="",0,Z83),"0")+IFERROR(IF(Z84="",0,Z84),"0")</f>
        <v>7.5920000000000001E-2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72</v>
      </c>
      <c r="Q86" s="595"/>
      <c r="R86" s="595"/>
      <c r="S86" s="595"/>
      <c r="T86" s="595"/>
      <c r="U86" s="595"/>
      <c r="V86" s="596"/>
      <c r="W86" s="37" t="s">
        <v>70</v>
      </c>
      <c r="X86" s="575">
        <f>IFERROR(SUM(X83:X84),"0")</f>
        <v>30</v>
      </c>
      <c r="Y86" s="575">
        <f>IFERROR(SUM(Y83:Y84),"0")</f>
        <v>31.2</v>
      </c>
      <c r="Z86" s="37"/>
      <c r="AA86" s="576"/>
      <c r="AB86" s="576"/>
      <c r="AC86" s="576"/>
    </row>
    <row r="87" spans="1:68" ht="16.5" customHeight="1" x14ac:dyDescent="0.25">
      <c r="A87" s="591" t="s">
        <v>179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100</v>
      </c>
      <c r="Y89" s="57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495</v>
      </c>
      <c r="Y91" s="574">
        <f>IFERROR(IF(X91="",0,CEILING((X91/$H91),1)*$H91),"")</f>
        <v>495</v>
      </c>
      <c r="Z91" s="36">
        <f>IFERROR(IF(Y91=0,"",ROUNDUP(Y91/H91,0)*0.00902),"")</f>
        <v>0.99219999999999997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518.09999999999991</v>
      </c>
      <c r="BN91" s="64">
        <f>IFERROR(Y91*I91/H91,"0")</f>
        <v>518.09999999999991</v>
      </c>
      <c r="BO91" s="64">
        <f>IFERROR(1/J91*(X91/H91),"0")</f>
        <v>0.83333333333333337</v>
      </c>
      <c r="BP91" s="64">
        <f>IFERROR(1/J91*(Y91/H91),"0")</f>
        <v>0.83333333333333337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72</v>
      </c>
      <c r="Q92" s="595"/>
      <c r="R92" s="595"/>
      <c r="S92" s="595"/>
      <c r="T92" s="595"/>
      <c r="U92" s="595"/>
      <c r="V92" s="596"/>
      <c r="W92" s="37" t="s">
        <v>73</v>
      </c>
      <c r="X92" s="575">
        <f>IFERROR(X89/H89,"0")+IFERROR(X90/H90,"0")+IFERROR(X91/H91,"0")</f>
        <v>119.25925925925927</v>
      </c>
      <c r="Y92" s="575">
        <f>IFERROR(Y89/H89,"0")+IFERROR(Y90/H90,"0")+IFERROR(Y91/H91,"0")</f>
        <v>120</v>
      </c>
      <c r="Z92" s="575">
        <f>IFERROR(IF(Z89="",0,Z89),"0")+IFERROR(IF(Z90="",0,Z90),"0")+IFERROR(IF(Z91="",0,Z91),"0")</f>
        <v>1.1819999999999999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72</v>
      </c>
      <c r="Q93" s="595"/>
      <c r="R93" s="595"/>
      <c r="S93" s="595"/>
      <c r="T93" s="595"/>
      <c r="U93" s="595"/>
      <c r="V93" s="596"/>
      <c r="W93" s="37" t="s">
        <v>70</v>
      </c>
      <c r="X93" s="575">
        <f>IFERROR(SUM(X89:X91),"0")</f>
        <v>595</v>
      </c>
      <c r="Y93" s="575">
        <f>IFERROR(SUM(Y89:Y91),"0")</f>
        <v>603</v>
      </c>
      <c r="Z93" s="37"/>
      <c r="AA93" s="576"/>
      <c r="AB93" s="576"/>
      <c r="AC93" s="576"/>
    </row>
    <row r="94" spans="1:68" ht="14.25" customHeight="1" x14ac:dyDescent="0.25">
      <c r="A94" s="589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0" t="s">
        <v>189</v>
      </c>
      <c r="Q95" s="578"/>
      <c r="R95" s="578"/>
      <c r="S95" s="578"/>
      <c r="T95" s="579"/>
      <c r="U95" s="34"/>
      <c r="V95" s="34"/>
      <c r="W95" s="35" t="s">
        <v>70</v>
      </c>
      <c r="X95" s="573">
        <v>200</v>
      </c>
      <c r="Y95" s="57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450</v>
      </c>
      <c r="Y98" s="574">
        <f t="shared" si="16"/>
        <v>450.90000000000003</v>
      </c>
      <c r="Z98" s="36">
        <f>IFERROR(IF(Y98=0,"",ROUNDUP(Y98/H98,0)*0.00651),"")</f>
        <v>1.08717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492</v>
      </c>
      <c r="BN98" s="64">
        <f t="shared" si="18"/>
        <v>492.98399999999998</v>
      </c>
      <c r="BO98" s="64">
        <f t="shared" si="19"/>
        <v>0.91575091575091572</v>
      </c>
      <c r="BP98" s="64">
        <f t="shared" si="20"/>
        <v>0.91758241758241765</v>
      </c>
    </row>
    <row r="99" spans="1:68" ht="27" customHeight="1" x14ac:dyDescent="0.25">
      <c r="A99" s="54" t="s">
        <v>195</v>
      </c>
      <c r="B99" s="54" t="s">
        <v>198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72</v>
      </c>
      <c r="Q101" s="595"/>
      <c r="R101" s="595"/>
      <c r="S101" s="595"/>
      <c r="T101" s="595"/>
      <c r="U101" s="595"/>
      <c r="V101" s="596"/>
      <c r="W101" s="37" t="s">
        <v>73</v>
      </c>
      <c r="X101" s="575">
        <f>IFERROR(X95/H95,"0")+IFERROR(X96/H96,"0")+IFERROR(X97/H97,"0")+IFERROR(X98/H98,"0")+IFERROR(X99/H99,"0")+IFERROR(X100/H100,"0")</f>
        <v>191.35802469135803</v>
      </c>
      <c r="Y101" s="575">
        <f>IFERROR(Y95/H95,"0")+IFERROR(Y96/H96,"0")+IFERROR(Y97/H97,"0")+IFERROR(Y98/H98,"0")+IFERROR(Y99/H99,"0")+IFERROR(Y100/H100,"0")</f>
        <v>192</v>
      </c>
      <c r="Z101" s="575">
        <f>IFERROR(IF(Z95="",0,Z95),"0")+IFERROR(IF(Z96="",0,Z96),"0")+IFERROR(IF(Z97="",0,Z97),"0")+IFERROR(IF(Z98="",0,Z98),"0")+IFERROR(IF(Z99="",0,Z99),"0")+IFERROR(IF(Z100="",0,Z100),"0")</f>
        <v>1.5616699999999999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72</v>
      </c>
      <c r="Q102" s="595"/>
      <c r="R102" s="595"/>
      <c r="S102" s="595"/>
      <c r="T102" s="595"/>
      <c r="U102" s="595"/>
      <c r="V102" s="596"/>
      <c r="W102" s="37" t="s">
        <v>70</v>
      </c>
      <c r="X102" s="575">
        <f>IFERROR(SUM(X95:X100),"0")</f>
        <v>650</v>
      </c>
      <c r="Y102" s="575">
        <f>IFERROR(SUM(Y95:Y100),"0")</f>
        <v>653.40000000000009</v>
      </c>
      <c r="Z102" s="37"/>
      <c r="AA102" s="576"/>
      <c r="AB102" s="576"/>
      <c r="AC102" s="576"/>
    </row>
    <row r="103" spans="1:68" ht="16.5" customHeight="1" x14ac:dyDescent="0.25">
      <c r="A103" s="591" t="s">
        <v>202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150</v>
      </c>
      <c r="Y105" s="574">
        <f>IFERROR(IF(X105="",0,CEILING((X105/$H105),1)*$H105),"")</f>
        <v>151.20000000000002</v>
      </c>
      <c r="Z105" s="36">
        <f>IFERROR(IF(Y105=0,"",ROUNDUP(Y105/H105,0)*0.01898),"")</f>
        <v>0.26572000000000001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156.04166666666666</v>
      </c>
      <c r="BN105" s="64">
        <f>IFERROR(Y105*I105/H105,"0")</f>
        <v>157.29000000000002</v>
      </c>
      <c r="BO105" s="64">
        <f>IFERROR(1/J105*(X105/H105),"0")</f>
        <v>0.21701388888888887</v>
      </c>
      <c r="BP105" s="64">
        <f>IFERROR(1/J105*(Y105/H105),"0")</f>
        <v>0.21875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450</v>
      </c>
      <c r="Y107" s="574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72</v>
      </c>
      <c r="Q109" s="595"/>
      <c r="R109" s="595"/>
      <c r="S109" s="595"/>
      <c r="T109" s="595"/>
      <c r="U109" s="595"/>
      <c r="V109" s="596"/>
      <c r="W109" s="37" t="s">
        <v>73</v>
      </c>
      <c r="X109" s="575">
        <f>IFERROR(X105/H105,"0")+IFERROR(X106/H106,"0")+IFERROR(X107/H107,"0")+IFERROR(X108/H108,"0")</f>
        <v>113.88888888888889</v>
      </c>
      <c r="Y109" s="575">
        <f>IFERROR(Y105/H105,"0")+IFERROR(Y106/H106,"0")+IFERROR(Y107/H107,"0")+IFERROR(Y108/H108,"0")</f>
        <v>114</v>
      </c>
      <c r="Z109" s="575">
        <f>IFERROR(IF(Z105="",0,Z105),"0")+IFERROR(IF(Z106="",0,Z106),"0")+IFERROR(IF(Z107="",0,Z107),"0")+IFERROR(IF(Z108="",0,Z108),"0")</f>
        <v>1.1677200000000001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72</v>
      </c>
      <c r="Q110" s="595"/>
      <c r="R110" s="595"/>
      <c r="S110" s="595"/>
      <c r="T110" s="595"/>
      <c r="U110" s="595"/>
      <c r="V110" s="596"/>
      <c r="W110" s="37" t="s">
        <v>70</v>
      </c>
      <c r="X110" s="575">
        <f>IFERROR(SUM(X105:X108),"0")</f>
        <v>600</v>
      </c>
      <c r="Y110" s="575">
        <f>IFERROR(SUM(Y105:Y108),"0")</f>
        <v>601.20000000000005</v>
      </c>
      <c r="Z110" s="37"/>
      <c r="AA110" s="576"/>
      <c r="AB110" s="576"/>
      <c r="AC110" s="576"/>
    </row>
    <row r="111" spans="1:68" ht="14.25" customHeight="1" x14ac:dyDescent="0.25">
      <c r="A111" s="589" t="s">
        <v>137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72</v>
      </c>
      <c r="Q115" s="595"/>
      <c r="R115" s="595"/>
      <c r="S115" s="595"/>
      <c r="T115" s="595"/>
      <c r="U115" s="595"/>
      <c r="V115" s="596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72</v>
      </c>
      <c r="Q116" s="595"/>
      <c r="R116" s="595"/>
      <c r="S116" s="595"/>
      <c r="T116" s="595"/>
      <c r="U116" s="595"/>
      <c r="V116" s="596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550</v>
      </c>
      <c r="Y118" s="574">
        <f>IFERROR(IF(X118="",0,CEILING((X118/$H118),1)*$H118),"")</f>
        <v>550.79999999999995</v>
      </c>
      <c r="Z118" s="36">
        <f>IFERROR(IF(Y118=0,"",ROUNDUP(Y118/H118,0)*0.01898),"")</f>
        <v>1.29064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584.83333333333326</v>
      </c>
      <c r="BN118" s="64">
        <f>IFERROR(Y118*I118/H118,"0")</f>
        <v>585.68399999999986</v>
      </c>
      <c r="BO118" s="64">
        <f>IFERROR(1/J118*(X118/H118),"0")</f>
        <v>1.0609567901234569</v>
      </c>
      <c r="BP118" s="64">
        <f>IFERROR(1/J118*(Y118/H118),"0")</f>
        <v>1.0625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540</v>
      </c>
      <c r="Y120" s="574">
        <f>IFERROR(IF(X120="",0,CEILING((X120/$H120),1)*$H120),"")</f>
        <v>540</v>
      </c>
      <c r="Z120" s="36">
        <f>IFERROR(IF(Y120=0,"",ROUNDUP(Y120/H120,0)*0.00651),"")</f>
        <v>1.302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590.4</v>
      </c>
      <c r="BN120" s="64">
        <f>IFERROR(Y120*I120/H120,"0")</f>
        <v>590.4</v>
      </c>
      <c r="BO120" s="64">
        <f>IFERROR(1/J120*(X120/H120),"0")</f>
        <v>1.098901098901099</v>
      </c>
      <c r="BP120" s="64">
        <f>IFERROR(1/J120*(Y120/H120),"0")</f>
        <v>1.098901098901099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24</v>
      </c>
      <c r="Y121" s="574">
        <f>IFERROR(IF(X121="",0,CEILING((X121/$H121),1)*$H121),"")</f>
        <v>25.2</v>
      </c>
      <c r="Z121" s="36">
        <f>IFERROR(IF(Y121=0,"",ROUNDUP(Y121/H121,0)*0.00651),"")</f>
        <v>9.1139999999999999E-2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26.4</v>
      </c>
      <c r="BN121" s="64">
        <f>IFERROR(Y121*I121/H121,"0")</f>
        <v>27.72</v>
      </c>
      <c r="BO121" s="64">
        <f>IFERROR(1/J121*(X121/H121),"0")</f>
        <v>7.3260073260073263E-2</v>
      </c>
      <c r="BP121" s="64">
        <f>IFERROR(1/J121*(Y121/H121),"0")</f>
        <v>7.6923076923076927E-2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72</v>
      </c>
      <c r="Q122" s="595"/>
      <c r="R122" s="595"/>
      <c r="S122" s="595"/>
      <c r="T122" s="595"/>
      <c r="U122" s="595"/>
      <c r="V122" s="596"/>
      <c r="W122" s="37" t="s">
        <v>73</v>
      </c>
      <c r="X122" s="575">
        <f>IFERROR(X118/H118,"0")+IFERROR(X119/H119,"0")+IFERROR(X120/H120,"0")+IFERROR(X121/H121,"0")</f>
        <v>281.23456790123458</v>
      </c>
      <c r="Y122" s="575">
        <f>IFERROR(Y118/H118,"0")+IFERROR(Y119/H119,"0")+IFERROR(Y120/H120,"0")+IFERROR(Y121/H121,"0")</f>
        <v>282</v>
      </c>
      <c r="Z122" s="575">
        <f>IFERROR(IF(Z118="",0,Z118),"0")+IFERROR(IF(Z119="",0,Z119),"0")+IFERROR(IF(Z120="",0,Z120),"0")+IFERROR(IF(Z121="",0,Z121),"0")</f>
        <v>2.6837800000000005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72</v>
      </c>
      <c r="Q123" s="595"/>
      <c r="R123" s="595"/>
      <c r="S123" s="595"/>
      <c r="T123" s="595"/>
      <c r="U123" s="595"/>
      <c r="V123" s="596"/>
      <c r="W123" s="37" t="s">
        <v>70</v>
      </c>
      <c r="X123" s="575">
        <f>IFERROR(SUM(X118:X121),"0")</f>
        <v>1114</v>
      </c>
      <c r="Y123" s="575">
        <f>IFERROR(SUM(Y118:Y121),"0")</f>
        <v>1116</v>
      </c>
      <c r="Z123" s="37"/>
      <c r="AA123" s="576"/>
      <c r="AB123" s="576"/>
      <c r="AC123" s="576"/>
    </row>
    <row r="124" spans="1:68" ht="14.25" customHeight="1" x14ac:dyDescent="0.25">
      <c r="A124" s="589" t="s">
        <v>172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33</v>
      </c>
      <c r="Y126" s="574">
        <f>IFERROR(IF(X126="",0,CEILING((X126/$H126),1)*$H126),"")</f>
        <v>33.659999999999997</v>
      </c>
      <c r="Z126" s="36">
        <f>IFERROR(IF(Y126=0,"",ROUNDUP(Y126/H126,0)*0.00651),"")</f>
        <v>0.11067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37.299999999999997</v>
      </c>
      <c r="BN126" s="64">
        <f>IFERROR(Y126*I126/H126,"0")</f>
        <v>38.045999999999992</v>
      </c>
      <c r="BO126" s="64">
        <f>IFERROR(1/J126*(X126/H126),"0")</f>
        <v>9.1575091575091583E-2</v>
      </c>
      <c r="BP126" s="64">
        <f>IFERROR(1/J126*(Y126/H126),"0")</f>
        <v>9.3406593406593408E-2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72</v>
      </c>
      <c r="Q127" s="595"/>
      <c r="R127" s="595"/>
      <c r="S127" s="595"/>
      <c r="T127" s="595"/>
      <c r="U127" s="595"/>
      <c r="V127" s="596"/>
      <c r="W127" s="37" t="s">
        <v>73</v>
      </c>
      <c r="X127" s="575">
        <f>IFERROR(X125/H125,"0")+IFERROR(X126/H126,"0")</f>
        <v>16.666666666666668</v>
      </c>
      <c r="Y127" s="575">
        <f>IFERROR(Y125/H125,"0")+IFERROR(Y126/H126,"0")</f>
        <v>17</v>
      </c>
      <c r="Z127" s="575">
        <f>IFERROR(IF(Z125="",0,Z125),"0")+IFERROR(IF(Z126="",0,Z126),"0")</f>
        <v>0.11067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72</v>
      </c>
      <c r="Q128" s="595"/>
      <c r="R128" s="595"/>
      <c r="S128" s="595"/>
      <c r="T128" s="595"/>
      <c r="U128" s="595"/>
      <c r="V128" s="596"/>
      <c r="W128" s="37" t="s">
        <v>70</v>
      </c>
      <c r="X128" s="575">
        <f>IFERROR(SUM(X125:X126),"0")</f>
        <v>33</v>
      </c>
      <c r="Y128" s="575">
        <f>IFERROR(SUM(Y125:Y126),"0")</f>
        <v>33.659999999999997</v>
      </c>
      <c r="Z128" s="37"/>
      <c r="AA128" s="576"/>
      <c r="AB128" s="576"/>
      <c r="AC128" s="576"/>
    </row>
    <row r="129" spans="1:68" ht="16.5" customHeight="1" x14ac:dyDescent="0.25">
      <c r="A129" s="591" t="s">
        <v>235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103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236</v>
      </c>
      <c r="B131" s="54" t="s">
        <v>237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240</v>
      </c>
      <c r="W132" s="35" t="s">
        <v>70</v>
      </c>
      <c r="X132" s="573">
        <v>68</v>
      </c>
      <c r="Y132" s="574">
        <f>IFERROR(IF(X132="",0,CEILING((X132/$H132),1)*$H132),"")</f>
        <v>70.400000000000006</v>
      </c>
      <c r="Z132" s="36">
        <f>IFERROR(IF(Y132=0,"",ROUNDUP(Y132/H132,0)*0.00651),"")</f>
        <v>0.14322000000000001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71.825000000000003</v>
      </c>
      <c r="BN132" s="64">
        <f>IFERROR(Y132*I132/H132,"0")</f>
        <v>74.36</v>
      </c>
      <c r="BO132" s="64">
        <f>IFERROR(1/J132*(X132/H132),"0")</f>
        <v>0.11675824175824177</v>
      </c>
      <c r="BP132" s="64">
        <f>IFERROR(1/J132*(Y132/H132),"0")</f>
        <v>0.12087912087912089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72</v>
      </c>
      <c r="Q133" s="595"/>
      <c r="R133" s="595"/>
      <c r="S133" s="595"/>
      <c r="T133" s="595"/>
      <c r="U133" s="595"/>
      <c r="V133" s="596"/>
      <c r="W133" s="37" t="s">
        <v>73</v>
      </c>
      <c r="X133" s="575">
        <f>IFERROR(X131/H131,"0")+IFERROR(X132/H132,"0")</f>
        <v>21.25</v>
      </c>
      <c r="Y133" s="575">
        <f>IFERROR(Y131/H131,"0")+IFERROR(Y132/H132,"0")</f>
        <v>22</v>
      </c>
      <c r="Z133" s="575">
        <f>IFERROR(IF(Z131="",0,Z131),"0")+IFERROR(IF(Z132="",0,Z132),"0")</f>
        <v>0.14322000000000001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72</v>
      </c>
      <c r="Q134" s="595"/>
      <c r="R134" s="595"/>
      <c r="S134" s="595"/>
      <c r="T134" s="595"/>
      <c r="U134" s="595"/>
      <c r="V134" s="596"/>
      <c r="W134" s="37" t="s">
        <v>70</v>
      </c>
      <c r="X134" s="575">
        <f>IFERROR(SUM(X131:X132),"0")</f>
        <v>68</v>
      </c>
      <c r="Y134" s="575">
        <f>IFERROR(SUM(Y131:Y132),"0")</f>
        <v>70.400000000000006</v>
      </c>
      <c r="Z134" s="37"/>
      <c r="AA134" s="576"/>
      <c r="AB134" s="576"/>
      <c r="AC134" s="576"/>
    </row>
    <row r="135" spans="1:68" ht="14.25" customHeight="1" x14ac:dyDescent="0.25">
      <c r="A135" s="589" t="s">
        <v>64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241</v>
      </c>
      <c r="B136" s="54" t="s">
        <v>242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42</v>
      </c>
      <c r="Y136" s="574">
        <f>IFERROR(IF(X136="",0,CEILING((X136/$H136),1)*$H136),"")</f>
        <v>42</v>
      </c>
      <c r="Z136" s="36">
        <f>IFERROR(IF(Y136=0,"",ROUNDUP(Y136/H136,0)*0.00651),"")</f>
        <v>9.7650000000000001E-2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46.02</v>
      </c>
      <c r="BN136" s="64">
        <f>IFERROR(Y136*I136/H136,"0")</f>
        <v>46.02</v>
      </c>
      <c r="BO136" s="64">
        <f>IFERROR(1/J136*(X136/H136),"0")</f>
        <v>8.241758241758243E-2</v>
      </c>
      <c r="BP136" s="64">
        <f>IFERROR(1/J136*(Y136/H136),"0")</f>
        <v>8.241758241758243E-2</v>
      </c>
    </row>
    <row r="137" spans="1:68" ht="27" customHeight="1" x14ac:dyDescent="0.25">
      <c r="A137" s="54" t="s">
        <v>241</v>
      </c>
      <c r="B137" s="54" t="s">
        <v>244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243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72</v>
      </c>
      <c r="Q138" s="595"/>
      <c r="R138" s="595"/>
      <c r="S138" s="595"/>
      <c r="T138" s="595"/>
      <c r="U138" s="595"/>
      <c r="V138" s="596"/>
      <c r="W138" s="37" t="s">
        <v>73</v>
      </c>
      <c r="X138" s="575">
        <f>IFERROR(X136/H136,"0")+IFERROR(X137/H137,"0")</f>
        <v>15.000000000000002</v>
      </c>
      <c r="Y138" s="575">
        <f>IFERROR(Y136/H136,"0")+IFERROR(Y137/H137,"0")</f>
        <v>15.000000000000002</v>
      </c>
      <c r="Z138" s="575">
        <f>IFERROR(IF(Z136="",0,Z136),"0")+IFERROR(IF(Z137="",0,Z137),"0")</f>
        <v>9.7650000000000001E-2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72</v>
      </c>
      <c r="Q139" s="595"/>
      <c r="R139" s="595"/>
      <c r="S139" s="595"/>
      <c r="T139" s="595"/>
      <c r="U139" s="595"/>
      <c r="V139" s="596"/>
      <c r="W139" s="37" t="s">
        <v>70</v>
      </c>
      <c r="X139" s="575">
        <f>IFERROR(SUM(X136:X137),"0")</f>
        <v>42</v>
      </c>
      <c r="Y139" s="575">
        <f>IFERROR(SUM(Y136:Y137),"0")</f>
        <v>42</v>
      </c>
      <c r="Z139" s="37"/>
      <c r="AA139" s="576"/>
      <c r="AB139" s="576"/>
      <c r="AC139" s="576"/>
    </row>
    <row r="140" spans="1:68" ht="14.25" customHeight="1" x14ac:dyDescent="0.25">
      <c r="A140" s="589" t="s">
        <v>74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245</v>
      </c>
      <c r="B141" s="54" t="s">
        <v>246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245</v>
      </c>
      <c r="B142" s="54" t="s">
        <v>247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66</v>
      </c>
      <c r="Y142" s="574">
        <f>IFERROR(IF(X142="",0,CEILING((X142/$H142),1)*$H142),"")</f>
        <v>66</v>
      </c>
      <c r="Z142" s="36">
        <f>IFERROR(IF(Y142=0,"",ROUNDUP(Y142/H142,0)*0.00651),"")</f>
        <v>0.16275000000000001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72.699999999999989</v>
      </c>
      <c r="BN142" s="64">
        <f>IFERROR(Y142*I142/H142,"0")</f>
        <v>72.699999999999989</v>
      </c>
      <c r="BO142" s="64">
        <f>IFERROR(1/J142*(X142/H142),"0")</f>
        <v>0.13736263736263737</v>
      </c>
      <c r="BP142" s="64">
        <f>IFERROR(1/J142*(Y142/H142),"0")</f>
        <v>0.13736263736263737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72</v>
      </c>
      <c r="Q143" s="595"/>
      <c r="R143" s="595"/>
      <c r="S143" s="595"/>
      <c r="T143" s="595"/>
      <c r="U143" s="595"/>
      <c r="V143" s="596"/>
      <c r="W143" s="37" t="s">
        <v>73</v>
      </c>
      <c r="X143" s="575">
        <f>IFERROR(X141/H141,"0")+IFERROR(X142/H142,"0")</f>
        <v>25</v>
      </c>
      <c r="Y143" s="575">
        <f>IFERROR(Y141/H141,"0")+IFERROR(Y142/H142,"0")</f>
        <v>25</v>
      </c>
      <c r="Z143" s="575">
        <f>IFERROR(IF(Z141="",0,Z141),"0")+IFERROR(IF(Z142="",0,Z142),"0")</f>
        <v>0.16275000000000001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72</v>
      </c>
      <c r="Q144" s="595"/>
      <c r="R144" s="595"/>
      <c r="S144" s="595"/>
      <c r="T144" s="595"/>
      <c r="U144" s="595"/>
      <c r="V144" s="596"/>
      <c r="W144" s="37" t="s">
        <v>70</v>
      </c>
      <c r="X144" s="575">
        <f>IFERROR(SUM(X141:X142),"0")</f>
        <v>66</v>
      </c>
      <c r="Y144" s="575">
        <f>IFERROR(SUM(Y141:Y142),"0")</f>
        <v>66</v>
      </c>
      <c r="Z144" s="37"/>
      <c r="AA144" s="576"/>
      <c r="AB144" s="576"/>
      <c r="AC144" s="576"/>
    </row>
    <row r="145" spans="1:68" ht="16.5" customHeight="1" x14ac:dyDescent="0.25">
      <c r="A145" s="591" t="s">
        <v>101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103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248</v>
      </c>
      <c r="B147" s="54" t="s">
        <v>249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250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72</v>
      </c>
      <c r="Q148" s="595"/>
      <c r="R148" s="595"/>
      <c r="S148" s="595"/>
      <c r="T148" s="595"/>
      <c r="U148" s="595"/>
      <c r="V148" s="596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72</v>
      </c>
      <c r="Q149" s="595"/>
      <c r="R149" s="595"/>
      <c r="S149" s="595"/>
      <c r="T149" s="595"/>
      <c r="U149" s="595"/>
      <c r="V149" s="596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64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251</v>
      </c>
      <c r="B151" s="54" t="s">
        <v>252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257</v>
      </c>
      <c r="B153" s="54" t="s">
        <v>258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72</v>
      </c>
      <c r="Q154" s="595"/>
      <c r="R154" s="595"/>
      <c r="S154" s="595"/>
      <c r="T154" s="595"/>
      <c r="U154" s="595"/>
      <c r="V154" s="596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72</v>
      </c>
      <c r="Q155" s="595"/>
      <c r="R155" s="595"/>
      <c r="S155" s="595"/>
      <c r="T155" s="595"/>
      <c r="U155" s="595"/>
      <c r="V155" s="596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260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261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137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262</v>
      </c>
      <c r="B159" s="54" t="s">
        <v>263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264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72</v>
      </c>
      <c r="Q160" s="595"/>
      <c r="R160" s="595"/>
      <c r="S160" s="595"/>
      <c r="T160" s="595"/>
      <c r="U160" s="595"/>
      <c r="V160" s="596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72</v>
      </c>
      <c r="Q161" s="595"/>
      <c r="R161" s="595"/>
      <c r="S161" s="595"/>
      <c r="T161" s="595"/>
      <c r="U161" s="595"/>
      <c r="V161" s="596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64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265</v>
      </c>
      <c r="B163" s="54" t="s">
        <v>266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70</v>
      </c>
      <c r="Y163" s="574">
        <f t="shared" ref="Y163:Y171" si="21">IFERROR(IF(X163="",0,CEILING((X163/$H163),1)*$H163),"")</f>
        <v>71.400000000000006</v>
      </c>
      <c r="Z163" s="36">
        <f>IFERROR(IF(Y163=0,"",ROUNDUP(Y163/H163,0)*0.00902),"")</f>
        <v>0.15334</v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74.499999999999986</v>
      </c>
      <c r="BN163" s="64">
        <f t="shared" ref="BN163:BN171" si="23">IFERROR(Y163*I163/H163,"0")</f>
        <v>75.989999999999995</v>
      </c>
      <c r="BO163" s="64">
        <f t="shared" ref="BO163:BO171" si="24">IFERROR(1/J163*(X163/H163),"0")</f>
        <v>0.12626262626262624</v>
      </c>
      <c r="BP163" s="64">
        <f t="shared" ref="BP163:BP171" si="25">IFERROR(1/J163*(Y163/H163),"0")</f>
        <v>0.12878787878787878</v>
      </c>
    </row>
    <row r="164" spans="1:68" ht="27" customHeight="1" x14ac:dyDescent="0.25">
      <c r="A164" s="54" t="s">
        <v>268</v>
      </c>
      <c r="B164" s="54" t="s">
        <v>269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30</v>
      </c>
      <c r="Y164" s="574">
        <f t="shared" si="21"/>
        <v>33.6</v>
      </c>
      <c r="Z164" s="36">
        <f>IFERROR(IF(Y164=0,"",ROUNDUP(Y164/H164,0)*0.00902),"")</f>
        <v>7.2160000000000002E-2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22"/>
        <v>31.928571428571427</v>
      </c>
      <c r="BN164" s="64">
        <f t="shared" si="23"/>
        <v>35.76</v>
      </c>
      <c r="BO164" s="64">
        <f t="shared" si="24"/>
        <v>5.4112554112554112E-2</v>
      </c>
      <c r="BP164" s="64">
        <f t="shared" si="25"/>
        <v>6.0606060606060608E-2</v>
      </c>
    </row>
    <row r="165" spans="1:68" ht="27" customHeight="1" x14ac:dyDescent="0.25">
      <c r="A165" s="54" t="s">
        <v>271</v>
      </c>
      <c r="B165" s="54" t="s">
        <v>272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150</v>
      </c>
      <c r="Y165" s="574">
        <f t="shared" si="21"/>
        <v>151.20000000000002</v>
      </c>
      <c r="Z165" s="36">
        <f>IFERROR(IF(Y165=0,"",ROUNDUP(Y165/H165,0)*0.00902),"")</f>
        <v>0.32472000000000001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157.5</v>
      </c>
      <c r="BN165" s="64">
        <f t="shared" si="23"/>
        <v>158.76000000000002</v>
      </c>
      <c r="BO165" s="64">
        <f t="shared" si="24"/>
        <v>0.27056277056277056</v>
      </c>
      <c r="BP165" s="64">
        <f t="shared" si="25"/>
        <v>0.27272727272727271</v>
      </c>
    </row>
    <row r="166" spans="1:68" ht="27" customHeight="1" x14ac:dyDescent="0.25">
      <c r="A166" s="54" t="s">
        <v>274</v>
      </c>
      <c r="B166" s="54" t="s">
        <v>275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105</v>
      </c>
      <c r="Y166" s="574">
        <f t="shared" si="21"/>
        <v>105</v>
      </c>
      <c r="Z166" s="36">
        <f>IFERROR(IF(Y166=0,"",ROUNDUP(Y166/H166,0)*0.00502),"")</f>
        <v>0.251</v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22"/>
        <v>111.5</v>
      </c>
      <c r="BN166" s="64">
        <f t="shared" si="23"/>
        <v>111.5</v>
      </c>
      <c r="BO166" s="64">
        <f t="shared" si="24"/>
        <v>0.21367521367521369</v>
      </c>
      <c r="BP166" s="64">
        <f t="shared" si="25"/>
        <v>0.21367521367521369</v>
      </c>
    </row>
    <row r="167" spans="1:68" ht="27" customHeight="1" x14ac:dyDescent="0.25">
      <c r="A167" s="54" t="s">
        <v>276</v>
      </c>
      <c r="B167" s="54" t="s">
        <v>277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87.5</v>
      </c>
      <c r="Y167" s="574">
        <f t="shared" si="21"/>
        <v>88.2</v>
      </c>
      <c r="Z167" s="36">
        <f>IFERROR(IF(Y167=0,"",ROUNDUP(Y167/H167,0)*0.00502),"")</f>
        <v>0.21084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92.916666666666657</v>
      </c>
      <c r="BN167" s="64">
        <f t="shared" si="23"/>
        <v>93.66</v>
      </c>
      <c r="BO167" s="64">
        <f t="shared" si="24"/>
        <v>0.17806267806267806</v>
      </c>
      <c r="BP167" s="64">
        <f t="shared" si="25"/>
        <v>0.17948717948717952</v>
      </c>
    </row>
    <row r="168" spans="1:68" ht="27" customHeight="1" x14ac:dyDescent="0.25">
      <c r="A168" s="54" t="s">
        <v>278</v>
      </c>
      <c r="B168" s="54" t="s">
        <v>279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281</v>
      </c>
      <c r="B169" s="54" t="s">
        <v>282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210</v>
      </c>
      <c r="Y169" s="574">
        <f t="shared" si="21"/>
        <v>210</v>
      </c>
      <c r="Z169" s="36">
        <f>IFERROR(IF(Y169=0,"",ROUNDUP(Y169/H169,0)*0.00502),"")</f>
        <v>0.502</v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22"/>
        <v>220.00000000000003</v>
      </c>
      <c r="BN169" s="64">
        <f t="shared" si="23"/>
        <v>220.00000000000003</v>
      </c>
      <c r="BO169" s="64">
        <f t="shared" si="24"/>
        <v>0.42735042735042739</v>
      </c>
      <c r="BP169" s="64">
        <f t="shared" si="25"/>
        <v>0.42735042735042739</v>
      </c>
    </row>
    <row r="170" spans="1:68" ht="27" customHeight="1" x14ac:dyDescent="0.25">
      <c r="A170" s="54" t="s">
        <v>283</v>
      </c>
      <c r="B170" s="54" t="s">
        <v>284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72</v>
      </c>
      <c r="Q172" s="595"/>
      <c r="R172" s="595"/>
      <c r="S172" s="595"/>
      <c r="T172" s="595"/>
      <c r="U172" s="595"/>
      <c r="V172" s="596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251.19047619047618</v>
      </c>
      <c r="Y172" s="575">
        <f>IFERROR(Y163/H163,"0")+IFERROR(Y164/H164,"0")+IFERROR(Y165/H165,"0")+IFERROR(Y166/H166,"0")+IFERROR(Y167/H167,"0")+IFERROR(Y168/H168,"0")+IFERROR(Y169/H169,"0")+IFERROR(Y170/H170,"0")+IFERROR(Y171/H171,"0")</f>
        <v>253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1.51406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72</v>
      </c>
      <c r="Q173" s="595"/>
      <c r="R173" s="595"/>
      <c r="S173" s="595"/>
      <c r="T173" s="595"/>
      <c r="U173" s="595"/>
      <c r="V173" s="596"/>
      <c r="W173" s="37" t="s">
        <v>70</v>
      </c>
      <c r="X173" s="575">
        <f>IFERROR(SUM(X163:X171),"0")</f>
        <v>652.5</v>
      </c>
      <c r="Y173" s="575">
        <f>IFERROR(SUM(Y163:Y171),"0")</f>
        <v>659.40000000000009</v>
      </c>
      <c r="Z173" s="37"/>
      <c r="AA173" s="576"/>
      <c r="AB173" s="576"/>
      <c r="AC173" s="576"/>
    </row>
    <row r="174" spans="1:68" ht="14.25" customHeight="1" x14ac:dyDescent="0.25">
      <c r="A174" s="589" t="s">
        <v>95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288</v>
      </c>
      <c r="B175" s="54" t="s">
        <v>289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3.5</v>
      </c>
      <c r="Y176" s="574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ht="27" customHeight="1" x14ac:dyDescent="0.25">
      <c r="A177" s="54" t="s">
        <v>296</v>
      </c>
      <c r="B177" s="54" t="s">
        <v>297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290</v>
      </c>
      <c r="L177" s="32"/>
      <c r="M177" s="33" t="s">
        <v>291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3.5</v>
      </c>
      <c r="Y177" s="574">
        <f>IFERROR(IF(X177="",0,CEILING((X177/$H177),1)*$H177),"")</f>
        <v>3.7800000000000002</v>
      </c>
      <c r="Z177" s="36">
        <f>IFERROR(IF(Y177=0,"",ROUNDUP(Y177/H177,0)*0.0059),"")</f>
        <v>1.77E-2</v>
      </c>
      <c r="AA177" s="56"/>
      <c r="AB177" s="57"/>
      <c r="AC177" s="223" t="s">
        <v>295</v>
      </c>
      <c r="AG177" s="64"/>
      <c r="AJ177" s="68"/>
      <c r="AK177" s="68">
        <v>0</v>
      </c>
      <c r="BB177" s="224" t="s">
        <v>1</v>
      </c>
      <c r="BM177" s="64">
        <f>IFERROR(X177*I177/H177,"0")</f>
        <v>4.0277777777777777</v>
      </c>
      <c r="BN177" s="64">
        <f>IFERROR(Y177*I177/H177,"0")</f>
        <v>4.3499999999999996</v>
      </c>
      <c r="BO177" s="64">
        <f>IFERROR(1/J177*(X177/H177),"0")</f>
        <v>1.2860082304526748E-2</v>
      </c>
      <c r="BP177" s="64">
        <f>IFERROR(1/J177*(Y177/H177),"0")</f>
        <v>1.3888888888888888E-2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72</v>
      </c>
      <c r="Q178" s="595"/>
      <c r="R178" s="595"/>
      <c r="S178" s="595"/>
      <c r="T178" s="595"/>
      <c r="U178" s="595"/>
      <c r="V178" s="596"/>
      <c r="W178" s="37" t="s">
        <v>73</v>
      </c>
      <c r="X178" s="575">
        <f>IFERROR(X175/H175,"0")+IFERROR(X176/H176,"0")+IFERROR(X177/H177,"0")</f>
        <v>5.5555555555555554</v>
      </c>
      <c r="Y178" s="575">
        <f>IFERROR(Y175/H175,"0")+IFERROR(Y176/H176,"0")+IFERROR(Y177/H177,"0")</f>
        <v>6</v>
      </c>
      <c r="Z178" s="575">
        <f>IFERROR(IF(Z175="",0,Z175),"0")+IFERROR(IF(Z176="",0,Z176),"0")+IFERROR(IF(Z177="",0,Z177),"0")</f>
        <v>3.5400000000000001E-2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72</v>
      </c>
      <c r="Q179" s="595"/>
      <c r="R179" s="595"/>
      <c r="S179" s="595"/>
      <c r="T179" s="595"/>
      <c r="U179" s="595"/>
      <c r="V179" s="596"/>
      <c r="W179" s="37" t="s">
        <v>70</v>
      </c>
      <c r="X179" s="575">
        <f>IFERROR(SUM(X175:X177),"0")</f>
        <v>7</v>
      </c>
      <c r="Y179" s="575">
        <f>IFERROR(SUM(Y175:Y177),"0")</f>
        <v>7.5600000000000005</v>
      </c>
      <c r="Z179" s="37"/>
      <c r="AA179" s="576"/>
      <c r="AB179" s="576"/>
      <c r="AC179" s="576"/>
    </row>
    <row r="180" spans="1:68" ht="14.25" customHeight="1" x14ac:dyDescent="0.25">
      <c r="A180" s="589" t="s">
        <v>298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299</v>
      </c>
      <c r="B181" s="54" t="s">
        <v>300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290</v>
      </c>
      <c r="L181" s="32"/>
      <c r="M181" s="33" t="s">
        <v>291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3.5</v>
      </c>
      <c r="Y181" s="574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25" t="s">
        <v>295</v>
      </c>
      <c r="AG181" s="64"/>
      <c r="AJ181" s="68"/>
      <c r="AK181" s="68">
        <v>0</v>
      </c>
      <c r="BB181" s="226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72</v>
      </c>
      <c r="Q182" s="595"/>
      <c r="R182" s="595"/>
      <c r="S182" s="595"/>
      <c r="T182" s="595"/>
      <c r="U182" s="595"/>
      <c r="V182" s="596"/>
      <c r="W182" s="37" t="s">
        <v>73</v>
      </c>
      <c r="X182" s="575">
        <f>IFERROR(X181/H181,"0")</f>
        <v>2.7777777777777777</v>
      </c>
      <c r="Y182" s="575">
        <f>IFERROR(Y181/H181,"0")</f>
        <v>3</v>
      </c>
      <c r="Z182" s="575">
        <f>IFERROR(IF(Z181="",0,Z181),"0")</f>
        <v>1.77E-2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72</v>
      </c>
      <c r="Q183" s="595"/>
      <c r="R183" s="595"/>
      <c r="S183" s="595"/>
      <c r="T183" s="595"/>
      <c r="U183" s="595"/>
      <c r="V183" s="596"/>
      <c r="W183" s="37" t="s">
        <v>70</v>
      </c>
      <c r="X183" s="575">
        <f>IFERROR(SUM(X181:X181),"0")</f>
        <v>3.5</v>
      </c>
      <c r="Y183" s="575">
        <f>IFERROR(SUM(Y181:Y181),"0")</f>
        <v>3.7800000000000002</v>
      </c>
      <c r="Z183" s="37"/>
      <c r="AA183" s="576"/>
      <c r="AB183" s="576"/>
      <c r="AC183" s="576"/>
    </row>
    <row r="184" spans="1:68" ht="16.5" customHeight="1" x14ac:dyDescent="0.25">
      <c r="A184" s="591" t="s">
        <v>301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103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302</v>
      </c>
      <c r="B186" s="54" t="s">
        <v>303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305</v>
      </c>
      <c r="B187" s="54" t="s">
        <v>306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304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72</v>
      </c>
      <c r="Q188" s="595"/>
      <c r="R188" s="595"/>
      <c r="S188" s="595"/>
      <c r="T188" s="595"/>
      <c r="U188" s="595"/>
      <c r="V188" s="596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72</v>
      </c>
      <c r="Q189" s="595"/>
      <c r="R189" s="595"/>
      <c r="S189" s="595"/>
      <c r="T189" s="595"/>
      <c r="U189" s="595"/>
      <c r="V189" s="596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137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307</v>
      </c>
      <c r="B191" s="54" t="s">
        <v>308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310</v>
      </c>
      <c r="B192" s="54" t="s">
        <v>311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309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72</v>
      </c>
      <c r="Q193" s="595"/>
      <c r="R193" s="595"/>
      <c r="S193" s="595"/>
      <c r="T193" s="595"/>
      <c r="U193" s="595"/>
      <c r="V193" s="596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72</v>
      </c>
      <c r="Q194" s="595"/>
      <c r="R194" s="595"/>
      <c r="S194" s="595"/>
      <c r="T194" s="595"/>
      <c r="U194" s="595"/>
      <c r="V194" s="596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64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312</v>
      </c>
      <c r="B196" s="54" t="s">
        <v>313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280</v>
      </c>
      <c r="Y196" s="574">
        <f t="shared" ref="Y196:Y203" si="26">IFERROR(IF(X196="",0,CEILING((X196/$H196),1)*$H196),"")</f>
        <v>280.8</v>
      </c>
      <c r="Z196" s="36">
        <f>IFERROR(IF(Y196=0,"",ROUNDUP(Y196/H196,0)*0.00902),"")</f>
        <v>0.46904000000000001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290.88888888888891</v>
      </c>
      <c r="BN196" s="64">
        <f t="shared" ref="BN196:BN203" si="28">IFERROR(Y196*I196/H196,"0")</f>
        <v>291.72000000000003</v>
      </c>
      <c r="BO196" s="64">
        <f t="shared" ref="BO196:BO203" si="29">IFERROR(1/J196*(X196/H196),"0")</f>
        <v>0.39281705948372614</v>
      </c>
      <c r="BP196" s="64">
        <f t="shared" ref="BP196:BP203" si="30">IFERROR(1/J196*(Y196/H196),"0")</f>
        <v>0.39393939393939392</v>
      </c>
    </row>
    <row r="197" spans="1:68" ht="27" customHeight="1" x14ac:dyDescent="0.25">
      <c r="A197" s="54" t="s">
        <v>315</v>
      </c>
      <c r="B197" s="54" t="s">
        <v>316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50</v>
      </c>
      <c r="Y197" s="574">
        <f t="shared" si="26"/>
        <v>54</v>
      </c>
      <c r="Z197" s="36">
        <f>IFERROR(IF(Y197=0,"",ROUNDUP(Y197/H197,0)*0.00902),"")</f>
        <v>9.0200000000000002E-2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7"/>
        <v>51.944444444444443</v>
      </c>
      <c r="BN197" s="64">
        <f t="shared" si="28"/>
        <v>56.099999999999994</v>
      </c>
      <c r="BO197" s="64">
        <f t="shared" si="29"/>
        <v>7.0145903479236812E-2</v>
      </c>
      <c r="BP197" s="64">
        <f t="shared" si="30"/>
        <v>7.575757575757576E-2</v>
      </c>
    </row>
    <row r="198" spans="1:68" ht="27" customHeight="1" x14ac:dyDescent="0.25">
      <c r="A198" s="54" t="s">
        <v>318</v>
      </c>
      <c r="B198" s="54" t="s">
        <v>319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100</v>
      </c>
      <c r="Y198" s="574">
        <f t="shared" si="26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103.88888888888889</v>
      </c>
      <c r="BN198" s="64">
        <f t="shared" si="28"/>
        <v>106.59000000000002</v>
      </c>
      <c r="BO198" s="64">
        <f t="shared" si="29"/>
        <v>0.14029180695847362</v>
      </c>
      <c r="BP198" s="64">
        <f t="shared" si="30"/>
        <v>0.14393939393939395</v>
      </c>
    </row>
    <row r="199" spans="1:68" ht="27" customHeight="1" x14ac:dyDescent="0.25">
      <c r="A199" s="54" t="s">
        <v>321</v>
      </c>
      <c r="B199" s="54" t="s">
        <v>322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50</v>
      </c>
      <c r="Y199" s="574">
        <f t="shared" si="26"/>
        <v>54</v>
      </c>
      <c r="Z199" s="36">
        <f>IFERROR(IF(Y199=0,"",ROUNDUP(Y199/H199,0)*0.00902),"")</f>
        <v>9.0200000000000002E-2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51.944444444444443</v>
      </c>
      <c r="BN199" s="64">
        <f t="shared" si="28"/>
        <v>56.099999999999994</v>
      </c>
      <c r="BO199" s="64">
        <f t="shared" si="29"/>
        <v>7.0145903479236812E-2</v>
      </c>
      <c r="BP199" s="64">
        <f t="shared" si="30"/>
        <v>7.575757575757576E-2</v>
      </c>
    </row>
    <row r="200" spans="1:68" ht="27" customHeight="1" x14ac:dyDescent="0.25">
      <c r="A200" s="54" t="s">
        <v>324</v>
      </c>
      <c r="B200" s="54" t="s">
        <v>325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105</v>
      </c>
      <c r="Y200" s="574">
        <f t="shared" si="26"/>
        <v>106.2</v>
      </c>
      <c r="Z200" s="36">
        <f>IFERROR(IF(Y200=0,"",ROUNDUP(Y200/H200,0)*0.00502),"")</f>
        <v>0.29618</v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7"/>
        <v>112.58333333333333</v>
      </c>
      <c r="BN200" s="64">
        <f t="shared" si="28"/>
        <v>113.87</v>
      </c>
      <c r="BO200" s="64">
        <f t="shared" si="29"/>
        <v>0.2492877492877493</v>
      </c>
      <c r="BP200" s="64">
        <f t="shared" si="30"/>
        <v>0.25213675213675218</v>
      </c>
    </row>
    <row r="201" spans="1:68" ht="27" customHeight="1" x14ac:dyDescent="0.25">
      <c r="A201" s="54" t="s">
        <v>326</v>
      </c>
      <c r="B201" s="54" t="s">
        <v>327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48</v>
      </c>
      <c r="Y201" s="574">
        <f t="shared" si="26"/>
        <v>48.6</v>
      </c>
      <c r="Z201" s="36">
        <f>IFERROR(IF(Y201=0,"",ROUNDUP(Y201/H201,0)*0.00502),"")</f>
        <v>0.13553999999999999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50.666666666666657</v>
      </c>
      <c r="BN201" s="64">
        <f t="shared" si="28"/>
        <v>51.3</v>
      </c>
      <c r="BO201" s="64">
        <f t="shared" si="29"/>
        <v>0.11396011396011396</v>
      </c>
      <c r="BP201" s="64">
        <f t="shared" si="30"/>
        <v>0.11538461538461539</v>
      </c>
    </row>
    <row r="202" spans="1:68" ht="27" customHeight="1" x14ac:dyDescent="0.25">
      <c r="A202" s="54" t="s">
        <v>328</v>
      </c>
      <c r="B202" s="54" t="s">
        <v>329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66</v>
      </c>
      <c r="Y202" s="574">
        <f t="shared" si="26"/>
        <v>66.600000000000009</v>
      </c>
      <c r="Z202" s="36">
        <f>IFERROR(IF(Y202=0,"",ROUNDUP(Y202/H202,0)*0.00502),"")</f>
        <v>0.18574000000000002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69.666666666666657</v>
      </c>
      <c r="BN202" s="64">
        <f t="shared" si="28"/>
        <v>70.3</v>
      </c>
      <c r="BO202" s="64">
        <f t="shared" si="29"/>
        <v>0.15669515669515671</v>
      </c>
      <c r="BP202" s="64">
        <f t="shared" si="30"/>
        <v>0.15811965811965817</v>
      </c>
    </row>
    <row r="203" spans="1:68" ht="27" customHeight="1" x14ac:dyDescent="0.25">
      <c r="A203" s="54" t="s">
        <v>330</v>
      </c>
      <c r="B203" s="54" t="s">
        <v>331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45</v>
      </c>
      <c r="Y203" s="574">
        <f t="shared" si="26"/>
        <v>45</v>
      </c>
      <c r="Z203" s="36">
        <f>IFERROR(IF(Y203=0,"",ROUNDUP(Y203/H203,0)*0.00502),"")</f>
        <v>0.1255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47.5</v>
      </c>
      <c r="BN203" s="64">
        <f t="shared" si="28"/>
        <v>47.5</v>
      </c>
      <c r="BO203" s="64">
        <f t="shared" si="29"/>
        <v>0.10683760683760685</v>
      </c>
      <c r="BP203" s="64">
        <f t="shared" si="30"/>
        <v>0.10683760683760685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72</v>
      </c>
      <c r="Q204" s="595"/>
      <c r="R204" s="595"/>
      <c r="S204" s="595"/>
      <c r="T204" s="595"/>
      <c r="U204" s="595"/>
      <c r="V204" s="596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235.55555555555554</v>
      </c>
      <c r="Y204" s="575">
        <f>IFERROR(Y196/H196,"0")+IFERROR(Y197/H197,"0")+IFERROR(Y198/H198,"0")+IFERROR(Y199/H199,"0")+IFERROR(Y200/H200,"0")+IFERROR(Y201/H201,"0")+IFERROR(Y202/H202,"0")+IFERROR(Y203/H203,"0")</f>
        <v>239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1.5637799999999999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72</v>
      </c>
      <c r="Q205" s="595"/>
      <c r="R205" s="595"/>
      <c r="S205" s="595"/>
      <c r="T205" s="595"/>
      <c r="U205" s="595"/>
      <c r="V205" s="596"/>
      <c r="W205" s="37" t="s">
        <v>70</v>
      </c>
      <c r="X205" s="575">
        <f>IFERROR(SUM(X196:X203),"0")</f>
        <v>744</v>
      </c>
      <c r="Y205" s="575">
        <f>IFERROR(SUM(Y196:Y203),"0")</f>
        <v>757.80000000000007</v>
      </c>
      <c r="Z205" s="37"/>
      <c r="AA205" s="576"/>
      <c r="AB205" s="576"/>
      <c r="AC205" s="576"/>
    </row>
    <row r="206" spans="1:68" ht="14.25" customHeight="1" x14ac:dyDescent="0.25">
      <c r="A206" s="589" t="s">
        <v>74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332</v>
      </c>
      <c r="B207" s="54" t="s">
        <v>333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338</v>
      </c>
      <c r="B209" s="54" t="s">
        <v>339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300</v>
      </c>
      <c r="Y209" s="574">
        <f t="shared" si="31"/>
        <v>304.5</v>
      </c>
      <c r="Z209" s="36">
        <f>IFERROR(IF(Y209=0,"",ROUNDUP(Y209/H209,0)*0.01898),"")</f>
        <v>0.6643</v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317.89655172413796</v>
      </c>
      <c r="BN209" s="64">
        <f t="shared" si="33"/>
        <v>322.66500000000002</v>
      </c>
      <c r="BO209" s="64">
        <f t="shared" si="34"/>
        <v>0.53879310344827591</v>
      </c>
      <c r="BP209" s="64">
        <f t="shared" si="35"/>
        <v>0.546875</v>
      </c>
    </row>
    <row r="210" spans="1:68" ht="27" customHeight="1" x14ac:dyDescent="0.25">
      <c r="A210" s="54" t="s">
        <v>341</v>
      </c>
      <c r="B210" s="54" t="s">
        <v>342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300</v>
      </c>
      <c r="Y210" s="574">
        <f t="shared" si="31"/>
        <v>300</v>
      </c>
      <c r="Z210" s="36">
        <f t="shared" ref="Z210:Z215" si="36">IFERROR(IF(Y210=0,"",ROUNDUP(Y210/H210,0)*0.00651),"")</f>
        <v>0.81374999999999997</v>
      </c>
      <c r="AA210" s="56"/>
      <c r="AB210" s="57"/>
      <c r="AC210" s="257" t="s">
        <v>334</v>
      </c>
      <c r="AG210" s="64"/>
      <c r="AJ210" s="68"/>
      <c r="AK210" s="68">
        <v>0</v>
      </c>
      <c r="BB210" s="258" t="s">
        <v>1</v>
      </c>
      <c r="BM210" s="64">
        <f t="shared" si="32"/>
        <v>333.75</v>
      </c>
      <c r="BN210" s="64">
        <f t="shared" si="33"/>
        <v>333.75</v>
      </c>
      <c r="BO210" s="64">
        <f t="shared" si="34"/>
        <v>0.68681318681318682</v>
      </c>
      <c r="BP210" s="64">
        <f t="shared" si="35"/>
        <v>0.68681318681318682</v>
      </c>
    </row>
    <row r="211" spans="1:68" ht="27" customHeight="1" x14ac:dyDescent="0.25">
      <c r="A211" s="54" t="s">
        <v>343</v>
      </c>
      <c r="B211" s="54" t="s">
        <v>344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360</v>
      </c>
      <c r="Y212" s="574">
        <f t="shared" si="31"/>
        <v>360</v>
      </c>
      <c r="Z212" s="36">
        <f t="shared" si="36"/>
        <v>0.97650000000000003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397.8</v>
      </c>
      <c r="BN212" s="64">
        <f t="shared" si="33"/>
        <v>397.8</v>
      </c>
      <c r="BO212" s="64">
        <f t="shared" si="34"/>
        <v>0.82417582417582425</v>
      </c>
      <c r="BP212" s="64">
        <f t="shared" si="35"/>
        <v>0.82417582417582425</v>
      </c>
    </row>
    <row r="213" spans="1:68" ht="27" customHeight="1" x14ac:dyDescent="0.25">
      <c r="A213" s="54" t="s">
        <v>348</v>
      </c>
      <c r="B213" s="54" t="s">
        <v>349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340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120</v>
      </c>
      <c r="Y214" s="574">
        <f t="shared" si="31"/>
        <v>120</v>
      </c>
      <c r="Z214" s="36">
        <f t="shared" si="36"/>
        <v>0.32550000000000001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2"/>
        <v>132.60000000000002</v>
      </c>
      <c r="BN214" s="64">
        <f t="shared" si="33"/>
        <v>132.60000000000002</v>
      </c>
      <c r="BO214" s="64">
        <f t="shared" si="34"/>
        <v>0.27472527472527475</v>
      </c>
      <c r="BP214" s="64">
        <f t="shared" si="35"/>
        <v>0.27472527472527475</v>
      </c>
    </row>
    <row r="215" spans="1:68" ht="27" customHeight="1" x14ac:dyDescent="0.25">
      <c r="A215" s="54" t="s">
        <v>353</v>
      </c>
      <c r="B215" s="54" t="s">
        <v>354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300</v>
      </c>
      <c r="Y215" s="574">
        <f t="shared" si="31"/>
        <v>300</v>
      </c>
      <c r="Z215" s="36">
        <f t="shared" si="36"/>
        <v>0.81374999999999997</v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332.25</v>
      </c>
      <c r="BN215" s="64">
        <f t="shared" si="33"/>
        <v>332.25</v>
      </c>
      <c r="BO215" s="64">
        <f t="shared" si="34"/>
        <v>0.68681318681318682</v>
      </c>
      <c r="BP215" s="64">
        <f t="shared" si="35"/>
        <v>0.68681318681318682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72</v>
      </c>
      <c r="Q216" s="595"/>
      <c r="R216" s="595"/>
      <c r="S216" s="595"/>
      <c r="T216" s="595"/>
      <c r="U216" s="595"/>
      <c r="V216" s="596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484.48275862068965</v>
      </c>
      <c r="Y216" s="575">
        <f>IFERROR(Y207/H207,"0")+IFERROR(Y208/H208,"0")+IFERROR(Y209/H209,"0")+IFERROR(Y210/H210,"0")+IFERROR(Y211/H211,"0")+IFERROR(Y212/H212,"0")+IFERROR(Y213/H213,"0")+IFERROR(Y214/H214,"0")+IFERROR(Y215/H215,"0")</f>
        <v>485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3.5937999999999999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72</v>
      </c>
      <c r="Q217" s="595"/>
      <c r="R217" s="595"/>
      <c r="S217" s="595"/>
      <c r="T217" s="595"/>
      <c r="U217" s="595"/>
      <c r="V217" s="596"/>
      <c r="W217" s="37" t="s">
        <v>70</v>
      </c>
      <c r="X217" s="575">
        <f>IFERROR(SUM(X207:X215),"0")</f>
        <v>1380</v>
      </c>
      <c r="Y217" s="575">
        <f>IFERROR(SUM(Y207:Y215),"0")</f>
        <v>1384.5</v>
      </c>
      <c r="Z217" s="37"/>
      <c r="AA217" s="576"/>
      <c r="AB217" s="576"/>
      <c r="AC217" s="576"/>
    </row>
    <row r="218" spans="1:68" ht="14.25" customHeight="1" x14ac:dyDescent="0.25">
      <c r="A218" s="589" t="s">
        <v>172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356</v>
      </c>
      <c r="B219" s="54" t="s">
        <v>357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32</v>
      </c>
      <c r="Y219" s="574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ht="27" customHeight="1" x14ac:dyDescent="0.25">
      <c r="A220" s="54" t="s">
        <v>359</v>
      </c>
      <c r="B220" s="54" t="s">
        <v>360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36</v>
      </c>
      <c r="Y220" s="574">
        <f>IFERROR(IF(X220="",0,CEILING((X220/$H220),1)*$H220),"")</f>
        <v>36</v>
      </c>
      <c r="Z220" s="36">
        <f>IFERROR(IF(Y220=0,"",ROUNDUP(Y220/H220,0)*0.00651),"")</f>
        <v>9.7650000000000001E-2</v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39.780000000000008</v>
      </c>
      <c r="BN220" s="64">
        <f>IFERROR(Y220*I220/H220,"0")</f>
        <v>39.780000000000008</v>
      </c>
      <c r="BO220" s="64">
        <f>IFERROR(1/J220*(X220/H220),"0")</f>
        <v>8.241758241758243E-2</v>
      </c>
      <c r="BP220" s="64">
        <f>IFERROR(1/J220*(Y220/H220),"0")</f>
        <v>8.241758241758243E-2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72</v>
      </c>
      <c r="Q221" s="595"/>
      <c r="R221" s="595"/>
      <c r="S221" s="595"/>
      <c r="T221" s="595"/>
      <c r="U221" s="595"/>
      <c r="V221" s="596"/>
      <c r="W221" s="37" t="s">
        <v>73</v>
      </c>
      <c r="X221" s="575">
        <f>IFERROR(X219/H219,"0")+IFERROR(X220/H220,"0")</f>
        <v>28.333333333333336</v>
      </c>
      <c r="Y221" s="575">
        <f>IFERROR(Y219/H219,"0")+IFERROR(Y220/H220,"0")</f>
        <v>29</v>
      </c>
      <c r="Z221" s="575">
        <f>IFERROR(IF(Z219="",0,Z219),"0")+IFERROR(IF(Z220="",0,Z220),"0")</f>
        <v>0.18879000000000001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72</v>
      </c>
      <c r="Q222" s="595"/>
      <c r="R222" s="595"/>
      <c r="S222" s="595"/>
      <c r="T222" s="595"/>
      <c r="U222" s="595"/>
      <c r="V222" s="596"/>
      <c r="W222" s="37" t="s">
        <v>70</v>
      </c>
      <c r="X222" s="575">
        <f>IFERROR(SUM(X219:X220),"0")</f>
        <v>68</v>
      </c>
      <c r="Y222" s="575">
        <f>IFERROR(SUM(Y219:Y220),"0")</f>
        <v>69.599999999999994</v>
      </c>
      <c r="Z222" s="37"/>
      <c r="AA222" s="576"/>
      <c r="AB222" s="576"/>
      <c r="AC222" s="576"/>
    </row>
    <row r="223" spans="1:68" ht="16.5" customHeight="1" x14ac:dyDescent="0.25">
      <c r="A223" s="591" t="s">
        <v>362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363</v>
      </c>
      <c r="B225" s="54" t="s">
        <v>364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20</v>
      </c>
      <c r="Y225" s="574">
        <f t="shared" ref="Y225:Y231" si="37">IFERROR(IF(X225="",0,CEILING((X225/$H225),1)*$H225),"")</f>
        <v>23.2</v>
      </c>
      <c r="Z225" s="36">
        <f>IFERROR(IF(Y225=0,"",ROUNDUP(Y225/H225,0)*0.01898),"")</f>
        <v>3.7960000000000001E-2</v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20.75</v>
      </c>
      <c r="BN225" s="64">
        <f t="shared" ref="BN225:BN231" si="39">IFERROR(Y225*I225/H225,"0")</f>
        <v>24.07</v>
      </c>
      <c r="BO225" s="64">
        <f t="shared" ref="BO225:BO231" si="40">IFERROR(1/J225*(X225/H225),"0")</f>
        <v>2.6939655172413795E-2</v>
      </c>
      <c r="BP225" s="64">
        <f t="shared" ref="BP225:BP231" si="41">IFERROR(1/J225*(Y225/H225),"0")</f>
        <v>3.125E-2</v>
      </c>
    </row>
    <row r="226" spans="1:68" ht="27" customHeight="1" x14ac:dyDescent="0.25">
      <c r="A226" s="54" t="s">
        <v>366</v>
      </c>
      <c r="B226" s="54" t="s">
        <v>367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200</v>
      </c>
      <c r="Y227" s="574">
        <f t="shared" si="37"/>
        <v>208.79999999999998</v>
      </c>
      <c r="Z227" s="36">
        <f>IFERROR(IF(Y227=0,"",ROUNDUP(Y227/H227,0)*0.01898),"")</f>
        <v>0.34164</v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207.5</v>
      </c>
      <c r="BN227" s="64">
        <f t="shared" si="39"/>
        <v>216.63</v>
      </c>
      <c r="BO227" s="64">
        <f t="shared" si="40"/>
        <v>0.26939655172413796</v>
      </c>
      <c r="BP227" s="64">
        <f t="shared" si="41"/>
        <v>0.28125</v>
      </c>
    </row>
    <row r="228" spans="1:68" ht="27" customHeight="1" x14ac:dyDescent="0.25">
      <c r="A228" s="54" t="s">
        <v>372</v>
      </c>
      <c r="B228" s="54" t="s">
        <v>373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48</v>
      </c>
      <c r="Y228" s="574">
        <f t="shared" si="37"/>
        <v>48</v>
      </c>
      <c r="Z228" s="36">
        <f>IFERROR(IF(Y228=0,"",ROUNDUP(Y228/H228,0)*0.00902),"")</f>
        <v>0.10824</v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38"/>
        <v>50.519999999999996</v>
      </c>
      <c r="BN228" s="64">
        <f t="shared" si="39"/>
        <v>50.519999999999996</v>
      </c>
      <c r="BO228" s="64">
        <f t="shared" si="40"/>
        <v>9.0909090909090912E-2</v>
      </c>
      <c r="BP228" s="64">
        <f t="shared" si="41"/>
        <v>9.0909090909090912E-2</v>
      </c>
    </row>
    <row r="229" spans="1:68" ht="27" customHeight="1" x14ac:dyDescent="0.25">
      <c r="A229" s="54" t="s">
        <v>374</v>
      </c>
      <c r="B229" s="54" t="s">
        <v>375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379</v>
      </c>
      <c r="B231" s="54" t="s">
        <v>380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60</v>
      </c>
      <c r="Y231" s="574">
        <f t="shared" si="37"/>
        <v>60</v>
      </c>
      <c r="Z231" s="36">
        <f>IFERROR(IF(Y231=0,"",ROUNDUP(Y231/H231,0)*0.00902),"")</f>
        <v>0.1353</v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63.15</v>
      </c>
      <c r="BN231" s="64">
        <f t="shared" si="39"/>
        <v>63.15</v>
      </c>
      <c r="BO231" s="64">
        <f t="shared" si="40"/>
        <v>0.11363636363636365</v>
      </c>
      <c r="BP231" s="64">
        <f t="shared" si="41"/>
        <v>0.11363636363636365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72</v>
      </c>
      <c r="Q232" s="595"/>
      <c r="R232" s="595"/>
      <c r="S232" s="595"/>
      <c r="T232" s="595"/>
      <c r="U232" s="595"/>
      <c r="V232" s="596"/>
      <c r="W232" s="37" t="s">
        <v>73</v>
      </c>
      <c r="X232" s="575">
        <f>IFERROR(X225/H225,"0")+IFERROR(X226/H226,"0")+IFERROR(X227/H227,"0")+IFERROR(X228/H228,"0")+IFERROR(X229/H229,"0")+IFERROR(X230/H230,"0")+IFERROR(X231/H231,"0")</f>
        <v>45.965517241379317</v>
      </c>
      <c r="Y232" s="575">
        <f>IFERROR(Y225/H225,"0")+IFERROR(Y226/H226,"0")+IFERROR(Y227/H227,"0")+IFERROR(Y228/H228,"0")+IFERROR(Y229/H229,"0")+IFERROR(Y230/H230,"0")+IFERROR(Y231/H231,"0")</f>
        <v>47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0.62314000000000003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72</v>
      </c>
      <c r="Q233" s="595"/>
      <c r="R233" s="595"/>
      <c r="S233" s="595"/>
      <c r="T233" s="595"/>
      <c r="U233" s="595"/>
      <c r="V233" s="596"/>
      <c r="W233" s="37" t="s">
        <v>70</v>
      </c>
      <c r="X233" s="575">
        <f>IFERROR(SUM(X225:X231),"0")</f>
        <v>328</v>
      </c>
      <c r="Y233" s="575">
        <f>IFERROR(SUM(Y225:Y231),"0")</f>
        <v>340</v>
      </c>
      <c r="Z233" s="37"/>
      <c r="AA233" s="576"/>
      <c r="AB233" s="576"/>
      <c r="AC233" s="576"/>
    </row>
    <row r="234" spans="1:68" ht="14.25" customHeight="1" x14ac:dyDescent="0.25">
      <c r="A234" s="589" t="s">
        <v>137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381</v>
      </c>
      <c r="B235" s="54" t="s">
        <v>382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383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381</v>
      </c>
      <c r="B236" s="54" t="s">
        <v>384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383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72</v>
      </c>
      <c r="Q237" s="595"/>
      <c r="R237" s="595"/>
      <c r="S237" s="595"/>
      <c r="T237" s="595"/>
      <c r="U237" s="595"/>
      <c r="V237" s="596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72</v>
      </c>
      <c r="Q238" s="595"/>
      <c r="R238" s="595"/>
      <c r="S238" s="595"/>
      <c r="T238" s="595"/>
      <c r="U238" s="595"/>
      <c r="V238" s="596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385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386</v>
      </c>
      <c r="B240" s="54" t="s">
        <v>387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290</v>
      </c>
      <c r="L240" s="32"/>
      <c r="M240" s="33" t="s">
        <v>291</v>
      </c>
      <c r="N240" s="33"/>
      <c r="O240" s="32">
        <v>45</v>
      </c>
      <c r="P240" s="659" t="s">
        <v>388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6</v>
      </c>
      <c r="Y240" s="574">
        <f>IFERROR(IF(X240="",0,CEILING((X240/$H240),1)*$H240),"")</f>
        <v>7.2</v>
      </c>
      <c r="Z240" s="36">
        <f>IFERROR(IF(Y240=0,"",ROUNDUP(Y240/H240,0)*0.0059),"")</f>
        <v>2.3599999999999999E-2</v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6.5833333333333339</v>
      </c>
      <c r="BN240" s="64">
        <f>IFERROR(Y240*I240/H240,"0")</f>
        <v>7.9</v>
      </c>
      <c r="BO240" s="64">
        <f>IFERROR(1/J240*(X240/H240),"0")</f>
        <v>1.5432098765432096E-2</v>
      </c>
      <c r="BP240" s="64">
        <f>IFERROR(1/J240*(Y240/H240),"0")</f>
        <v>1.8518518518518517E-2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72</v>
      </c>
      <c r="Q241" s="595"/>
      <c r="R241" s="595"/>
      <c r="S241" s="595"/>
      <c r="T241" s="595"/>
      <c r="U241" s="595"/>
      <c r="V241" s="596"/>
      <c r="W241" s="37" t="s">
        <v>73</v>
      </c>
      <c r="X241" s="575">
        <f>IFERROR(X240/H240,"0")</f>
        <v>3.333333333333333</v>
      </c>
      <c r="Y241" s="575">
        <f>IFERROR(Y240/H240,"0")</f>
        <v>4</v>
      </c>
      <c r="Z241" s="575">
        <f>IFERROR(IF(Z240="",0,Z240),"0")</f>
        <v>2.3599999999999999E-2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72</v>
      </c>
      <c r="Q242" s="595"/>
      <c r="R242" s="595"/>
      <c r="S242" s="595"/>
      <c r="T242" s="595"/>
      <c r="U242" s="595"/>
      <c r="V242" s="596"/>
      <c r="W242" s="37" t="s">
        <v>70</v>
      </c>
      <c r="X242" s="575">
        <f>IFERROR(SUM(X240:X240),"0")</f>
        <v>6</v>
      </c>
      <c r="Y242" s="575">
        <f>IFERROR(SUM(Y240:Y240),"0")</f>
        <v>7.2</v>
      </c>
      <c r="Z242" s="37"/>
      <c r="AA242" s="576"/>
      <c r="AB242" s="576"/>
      <c r="AC242" s="576"/>
    </row>
    <row r="243" spans="1:68" ht="14.25" customHeight="1" x14ac:dyDescent="0.25">
      <c r="A243" s="589" t="s">
        <v>390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391</v>
      </c>
      <c r="B244" s="54" t="s">
        <v>392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393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2" t="s">
        <v>396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393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394</v>
      </c>
      <c r="B246" s="54" t="s">
        <v>397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2.1</v>
      </c>
      <c r="Y246" s="574">
        <f t="shared" si="42"/>
        <v>2.16</v>
      </c>
      <c r="Z246" s="36">
        <f t="shared" si="43"/>
        <v>5.8999999999999999E-3</v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 t="shared" si="44"/>
        <v>2.2847222222222223</v>
      </c>
      <c r="BN246" s="64">
        <f t="shared" si="45"/>
        <v>2.35</v>
      </c>
      <c r="BO246" s="64">
        <f t="shared" si="46"/>
        <v>4.5010288065843616E-3</v>
      </c>
      <c r="BP246" s="64">
        <f t="shared" si="47"/>
        <v>4.6296296296296294E-3</v>
      </c>
    </row>
    <row r="247" spans="1:68" ht="27" customHeight="1" x14ac:dyDescent="0.25">
      <c r="A247" s="54" t="s">
        <v>398</v>
      </c>
      <c r="B247" s="54" t="s">
        <v>399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290</v>
      </c>
      <c r="L247" s="32"/>
      <c r="M247" s="33" t="s">
        <v>291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2.75</v>
      </c>
      <c r="Y247" s="574">
        <f t="shared" si="42"/>
        <v>3.6</v>
      </c>
      <c r="Z247" s="36">
        <f t="shared" si="43"/>
        <v>2.3599999999999999E-2</v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 t="shared" si="44"/>
        <v>3.3305555555555557</v>
      </c>
      <c r="BN247" s="64">
        <f t="shared" si="45"/>
        <v>4.3600000000000003</v>
      </c>
      <c r="BO247" s="64">
        <f t="shared" si="46"/>
        <v>1.4146090534979422E-2</v>
      </c>
      <c r="BP247" s="64">
        <f t="shared" si="47"/>
        <v>1.8518518518518517E-2</v>
      </c>
    </row>
    <row r="248" spans="1:68" ht="27" customHeight="1" x14ac:dyDescent="0.25">
      <c r="A248" s="54" t="s">
        <v>400</v>
      </c>
      <c r="B248" s="54" t="s">
        <v>401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290</v>
      </c>
      <c r="L248" s="32"/>
      <c r="M248" s="33" t="s">
        <v>291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2.75</v>
      </c>
      <c r="Y248" s="574">
        <f t="shared" si="42"/>
        <v>2.9699999999999998</v>
      </c>
      <c r="Z248" s="36">
        <f t="shared" si="43"/>
        <v>1.77E-2</v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 t="shared" si="44"/>
        <v>3.2777777777777777</v>
      </c>
      <c r="BN248" s="64">
        <f t="shared" si="45"/>
        <v>3.5399999999999996</v>
      </c>
      <c r="BO248" s="64">
        <f t="shared" si="46"/>
        <v>1.2860082304526748E-2</v>
      </c>
      <c r="BP248" s="64">
        <f t="shared" si="47"/>
        <v>1.3888888888888886E-2</v>
      </c>
    </row>
    <row r="249" spans="1:68" ht="27" customHeight="1" x14ac:dyDescent="0.25">
      <c r="A249" s="54" t="s">
        <v>402</v>
      </c>
      <c r="B249" s="54" t="s">
        <v>403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290</v>
      </c>
      <c r="L249" s="32"/>
      <c r="M249" s="33" t="s">
        <v>291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72</v>
      </c>
      <c r="Q250" s="595"/>
      <c r="R250" s="595"/>
      <c r="S250" s="595"/>
      <c r="T250" s="595"/>
      <c r="U250" s="595"/>
      <c r="V250" s="596"/>
      <c r="W250" s="37" t="s">
        <v>73</v>
      </c>
      <c r="X250" s="575">
        <f>IFERROR(X244/H244,"0")+IFERROR(X245/H245,"0")+IFERROR(X246/H246,"0")+IFERROR(X247/H247,"0")+IFERROR(X248/H248,"0")+IFERROR(X249/H249,"0")</f>
        <v>6.8055555555555554</v>
      </c>
      <c r="Y250" s="575">
        <f>IFERROR(Y244/H244,"0")+IFERROR(Y245/H245,"0")+IFERROR(Y246/H246,"0")+IFERROR(Y247/H247,"0")+IFERROR(Y248/H248,"0")+IFERROR(Y249/H249,"0")</f>
        <v>8</v>
      </c>
      <c r="Z250" s="575">
        <f>IFERROR(IF(Z244="",0,Z244),"0")+IFERROR(IF(Z245="",0,Z245),"0")+IFERROR(IF(Z246="",0,Z246),"0")+IFERROR(IF(Z247="",0,Z247),"0")+IFERROR(IF(Z248="",0,Z248),"0")+IFERROR(IF(Z249="",0,Z249),"0")</f>
        <v>4.7199999999999999E-2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72</v>
      </c>
      <c r="Q251" s="595"/>
      <c r="R251" s="595"/>
      <c r="S251" s="595"/>
      <c r="T251" s="595"/>
      <c r="U251" s="595"/>
      <c r="V251" s="596"/>
      <c r="W251" s="37" t="s">
        <v>70</v>
      </c>
      <c r="X251" s="575">
        <f>IFERROR(SUM(X244:X249),"0")</f>
        <v>7.6</v>
      </c>
      <c r="Y251" s="575">
        <f>IFERROR(SUM(Y244:Y249),"0")</f>
        <v>8.73</v>
      </c>
      <c r="Z251" s="37"/>
      <c r="AA251" s="576"/>
      <c r="AB251" s="576"/>
      <c r="AC251" s="576"/>
    </row>
    <row r="252" spans="1:68" ht="16.5" customHeight="1" x14ac:dyDescent="0.25">
      <c r="A252" s="591" t="s">
        <v>404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103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405</v>
      </c>
      <c r="B254" s="54" t="s">
        <v>406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407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408</v>
      </c>
      <c r="B255" s="54" t="s">
        <v>409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411</v>
      </c>
      <c r="B256" s="54" t="s">
        <v>412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414</v>
      </c>
      <c r="B257" s="54" t="s">
        <v>415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417</v>
      </c>
      <c r="B258" s="54" t="s">
        <v>418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72</v>
      </c>
      <c r="Q259" s="595"/>
      <c r="R259" s="595"/>
      <c r="S259" s="595"/>
      <c r="T259" s="595"/>
      <c r="U259" s="595"/>
      <c r="V259" s="596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72</v>
      </c>
      <c r="Q260" s="595"/>
      <c r="R260" s="595"/>
      <c r="S260" s="595"/>
      <c r="T260" s="595"/>
      <c r="U260" s="595"/>
      <c r="V260" s="596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420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103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421</v>
      </c>
      <c r="B263" s="54" t="s">
        <v>422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423</v>
      </c>
      <c r="B264" s="54" t="s">
        <v>424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425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426</v>
      </c>
      <c r="B265" s="54" t="s">
        <v>427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429</v>
      </c>
      <c r="B266" s="54" t="s">
        <v>430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49" t="s">
        <v>431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432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72</v>
      </c>
      <c r="Q267" s="595"/>
      <c r="R267" s="595"/>
      <c r="S267" s="595"/>
      <c r="T267" s="595"/>
      <c r="U267" s="595"/>
      <c r="V267" s="596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72</v>
      </c>
      <c r="Q268" s="595"/>
      <c r="R268" s="595"/>
      <c r="S268" s="595"/>
      <c r="T268" s="595"/>
      <c r="U268" s="595"/>
      <c r="V268" s="596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433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74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434</v>
      </c>
      <c r="B271" s="54" t="s">
        <v>435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436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437</v>
      </c>
      <c r="B272" s="54" t="s">
        <v>438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120</v>
      </c>
      <c r="Y272" s="574">
        <f>IFERROR(IF(X272="",0,CEILING((X272/$H272),1)*$H272),"")</f>
        <v>120</v>
      </c>
      <c r="Z272" s="36">
        <f>IFERROR(IF(Y272=0,"",ROUNDUP(Y272/H272,0)*0.00651),"")</f>
        <v>0.32550000000000001</v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132.60000000000002</v>
      </c>
      <c r="BN272" s="64">
        <f>IFERROR(Y272*I272/H272,"0")</f>
        <v>132.60000000000002</v>
      </c>
      <c r="BO272" s="64">
        <f>IFERROR(1/J272*(X272/H272),"0")</f>
        <v>0.27472527472527475</v>
      </c>
      <c r="BP272" s="64">
        <f>IFERROR(1/J272*(Y272/H272),"0")</f>
        <v>0.27472527472527475</v>
      </c>
    </row>
    <row r="273" spans="1:68" ht="37.5" customHeight="1" x14ac:dyDescent="0.25">
      <c r="A273" s="54" t="s">
        <v>440</v>
      </c>
      <c r="B273" s="54" t="s">
        <v>441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240</v>
      </c>
      <c r="Y273" s="574">
        <f>IFERROR(IF(X273="",0,CEILING((X273/$H273),1)*$H273),"")</f>
        <v>240</v>
      </c>
      <c r="Z273" s="36">
        <f>IFERROR(IF(Y273=0,"",ROUNDUP(Y273/H273,0)*0.00651),"")</f>
        <v>0.65100000000000002</v>
      </c>
      <c r="AA273" s="56"/>
      <c r="AB273" s="57"/>
      <c r="AC273" s="327" t="s">
        <v>442</v>
      </c>
      <c r="AG273" s="64"/>
      <c r="AJ273" s="68" t="s">
        <v>113</v>
      </c>
      <c r="AK273" s="68">
        <v>436.8</v>
      </c>
      <c r="BB273" s="328" t="s">
        <v>1</v>
      </c>
      <c r="BM273" s="64">
        <f>IFERROR(X273*I273/H273,"0")</f>
        <v>258.00000000000006</v>
      </c>
      <c r="BN273" s="64">
        <f>IFERROR(Y273*I273/H273,"0")</f>
        <v>258.00000000000006</v>
      </c>
      <c r="BO273" s="64">
        <f>IFERROR(1/J273*(X273/H273),"0")</f>
        <v>0.5494505494505495</v>
      </c>
      <c r="BP273" s="64">
        <f>IFERROR(1/J273*(Y273/H273),"0")</f>
        <v>0.5494505494505495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72</v>
      </c>
      <c r="Q274" s="595"/>
      <c r="R274" s="595"/>
      <c r="S274" s="595"/>
      <c r="T274" s="595"/>
      <c r="U274" s="595"/>
      <c r="V274" s="596"/>
      <c r="W274" s="37" t="s">
        <v>73</v>
      </c>
      <c r="X274" s="575">
        <f>IFERROR(X271/H271,"0")+IFERROR(X272/H272,"0")+IFERROR(X273/H273,"0")</f>
        <v>150</v>
      </c>
      <c r="Y274" s="575">
        <f>IFERROR(Y271/H271,"0")+IFERROR(Y272/H272,"0")+IFERROR(Y273/H273,"0")</f>
        <v>150</v>
      </c>
      <c r="Z274" s="575">
        <f>IFERROR(IF(Z271="",0,Z271),"0")+IFERROR(IF(Z272="",0,Z272),"0")+IFERROR(IF(Z273="",0,Z273),"0")</f>
        <v>0.97650000000000003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72</v>
      </c>
      <c r="Q275" s="595"/>
      <c r="R275" s="595"/>
      <c r="S275" s="595"/>
      <c r="T275" s="595"/>
      <c r="U275" s="595"/>
      <c r="V275" s="596"/>
      <c r="W275" s="37" t="s">
        <v>70</v>
      </c>
      <c r="X275" s="575">
        <f>IFERROR(SUM(X271:X273),"0")</f>
        <v>360</v>
      </c>
      <c r="Y275" s="575">
        <f>IFERROR(SUM(Y271:Y273),"0")</f>
        <v>360</v>
      </c>
      <c r="Z275" s="37"/>
      <c r="AA275" s="576"/>
      <c r="AB275" s="576"/>
      <c r="AC275" s="576"/>
    </row>
    <row r="276" spans="1:68" ht="16.5" customHeight="1" x14ac:dyDescent="0.25">
      <c r="A276" s="591" t="s">
        <v>443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64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444</v>
      </c>
      <c r="B278" s="54" t="s">
        <v>445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446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72</v>
      </c>
      <c r="Q279" s="595"/>
      <c r="R279" s="595"/>
      <c r="S279" s="595"/>
      <c r="T279" s="595"/>
      <c r="U279" s="595"/>
      <c r="V279" s="596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72</v>
      </c>
      <c r="Q280" s="595"/>
      <c r="R280" s="595"/>
      <c r="S280" s="595"/>
      <c r="T280" s="595"/>
      <c r="U280" s="595"/>
      <c r="V280" s="596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74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447</v>
      </c>
      <c r="B282" s="54" t="s">
        <v>448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449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72</v>
      </c>
      <c r="Q283" s="595"/>
      <c r="R283" s="595"/>
      <c r="S283" s="595"/>
      <c r="T283" s="595"/>
      <c r="U283" s="595"/>
      <c r="V283" s="596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72</v>
      </c>
      <c r="Q284" s="595"/>
      <c r="R284" s="595"/>
      <c r="S284" s="595"/>
      <c r="T284" s="595"/>
      <c r="U284" s="595"/>
      <c r="V284" s="596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450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103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451</v>
      </c>
      <c r="B287" s="54" t="s">
        <v>452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453</v>
      </c>
      <c r="AB287" s="57"/>
      <c r="AC287" s="333" t="s">
        <v>454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72</v>
      </c>
      <c r="Q288" s="595"/>
      <c r="R288" s="595"/>
      <c r="S288" s="595"/>
      <c r="T288" s="595"/>
      <c r="U288" s="595"/>
      <c r="V288" s="596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72</v>
      </c>
      <c r="Q289" s="595"/>
      <c r="R289" s="595"/>
      <c r="S289" s="595"/>
      <c r="T289" s="595"/>
      <c r="U289" s="595"/>
      <c r="V289" s="596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455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103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456</v>
      </c>
      <c r="B292" s="54" t="s">
        <v>457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4301012016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461</v>
      </c>
      <c r="M293" s="33" t="s">
        <v>78</v>
      </c>
      <c r="N293" s="33"/>
      <c r="O293" s="32">
        <v>55</v>
      </c>
      <c r="P293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462</v>
      </c>
      <c r="AG293" s="64"/>
      <c r="AJ293" s="68" t="s">
        <v>463</v>
      </c>
      <c r="AK293" s="68">
        <v>86.4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459</v>
      </c>
      <c r="B294" s="54" t="s">
        <v>464</v>
      </c>
      <c r="C294" s="31">
        <v>4301011911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467</v>
      </c>
      <c r="B295" s="54" t="s">
        <v>468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472</v>
      </c>
      <c r="B297" s="54" t="s">
        <v>473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72</v>
      </c>
      <c r="Q298" s="595"/>
      <c r="R298" s="595"/>
      <c r="S298" s="595"/>
      <c r="T298" s="595"/>
      <c r="U298" s="595"/>
      <c r="V298" s="596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72</v>
      </c>
      <c r="Q299" s="595"/>
      <c r="R299" s="595"/>
      <c r="S299" s="595"/>
      <c r="T299" s="595"/>
      <c r="U299" s="595"/>
      <c r="V299" s="596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64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70</v>
      </c>
      <c r="Y305" s="574">
        <f t="shared" si="53"/>
        <v>71.400000000000006</v>
      </c>
      <c r="Z305" s="36">
        <f>IFERROR(IF(Y305=0,"",ROUNDUP(Y305/H305,0)*0.00502),"")</f>
        <v>0.17068</v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73.333333333333329</v>
      </c>
      <c r="BN305" s="64">
        <f t="shared" si="55"/>
        <v>74.8</v>
      </c>
      <c r="BO305" s="64">
        <f t="shared" si="56"/>
        <v>0.14245014245014245</v>
      </c>
      <c r="BP305" s="64">
        <f t="shared" si="57"/>
        <v>0.14529914529914531</v>
      </c>
    </row>
    <row r="306" spans="1:68" ht="27" customHeight="1" x14ac:dyDescent="0.25">
      <c r="A306" s="54" t="s">
        <v>489</v>
      </c>
      <c r="B306" s="54" t="s">
        <v>490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30</v>
      </c>
      <c r="Y307" s="574">
        <f t="shared" si="53"/>
        <v>30.6</v>
      </c>
      <c r="Z307" s="36">
        <f>IFERROR(IF(Y307=0,"",ROUNDUP(Y307/H307,0)*0.00651),"")</f>
        <v>0.11067</v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33.800000000000004</v>
      </c>
      <c r="BN307" s="64">
        <f t="shared" si="55"/>
        <v>34.475999999999999</v>
      </c>
      <c r="BO307" s="64">
        <f t="shared" si="56"/>
        <v>9.1575091575091583E-2</v>
      </c>
      <c r="BP307" s="64">
        <f t="shared" si="57"/>
        <v>9.3406593406593408E-2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72</v>
      </c>
      <c r="Q308" s="595"/>
      <c r="R308" s="595"/>
      <c r="S308" s="595"/>
      <c r="T308" s="595"/>
      <c r="U308" s="595"/>
      <c r="V308" s="596"/>
      <c r="W308" s="37" t="s">
        <v>73</v>
      </c>
      <c r="X308" s="575">
        <f>IFERROR(X301/H301,"0")+IFERROR(X302/H302,"0")+IFERROR(X303/H303,"0")+IFERROR(X304/H304,"0")+IFERROR(X305/H305,"0")+IFERROR(X306/H306,"0")+IFERROR(X307/H307,"0")</f>
        <v>50</v>
      </c>
      <c r="Y308" s="575">
        <f>IFERROR(Y301/H301,"0")+IFERROR(Y302/H302,"0")+IFERROR(Y303/H303,"0")+IFERROR(Y304/H304,"0")+IFERROR(Y305/H305,"0")+IFERROR(Y306/H306,"0")+IFERROR(Y307/H307,"0")</f>
        <v>51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0.28134999999999999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72</v>
      </c>
      <c r="Q309" s="595"/>
      <c r="R309" s="595"/>
      <c r="S309" s="595"/>
      <c r="T309" s="595"/>
      <c r="U309" s="595"/>
      <c r="V309" s="596"/>
      <c r="W309" s="37" t="s">
        <v>70</v>
      </c>
      <c r="X309" s="575">
        <f>IFERROR(SUM(X301:X307),"0")</f>
        <v>100</v>
      </c>
      <c r="Y309" s="575">
        <f>IFERROR(SUM(Y301:Y307),"0")</f>
        <v>102</v>
      </c>
      <c r="Z309" s="37"/>
      <c r="AA309" s="576"/>
      <c r="AB309" s="576"/>
      <c r="AC309" s="576"/>
    </row>
    <row r="310" spans="1:68" ht="14.25" customHeight="1" x14ac:dyDescent="0.25">
      <c r="A310" s="589" t="s">
        <v>74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500</v>
      </c>
      <c r="B313" s="54" t="s">
        <v>501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503</v>
      </c>
      <c r="B314" s="54" t="s">
        <v>504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506</v>
      </c>
      <c r="B315" s="54" t="s">
        <v>507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72</v>
      </c>
      <c r="Q316" s="595"/>
      <c r="R316" s="595"/>
      <c r="S316" s="595"/>
      <c r="T316" s="595"/>
      <c r="U316" s="595"/>
      <c r="V316" s="596"/>
      <c r="W316" s="37" t="s">
        <v>73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72</v>
      </c>
      <c r="Q317" s="595"/>
      <c r="R317" s="595"/>
      <c r="S317" s="595"/>
      <c r="T317" s="595"/>
      <c r="U317" s="595"/>
      <c r="V317" s="596"/>
      <c r="W317" s="37" t="s">
        <v>70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172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40</v>
      </c>
      <c r="Y319" s="574">
        <f>IFERROR(IF(X319="",0,CEILING((X319/$H319),1)*$H319),"")</f>
        <v>42</v>
      </c>
      <c r="Z319" s="36">
        <f>IFERROR(IF(Y319=0,"",ROUNDUP(Y319/H319,0)*0.01898),"")</f>
        <v>9.4899999999999998E-2</v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42.471428571428568</v>
      </c>
      <c r="BN319" s="64">
        <f>IFERROR(Y319*I319/H319,"0")</f>
        <v>44.594999999999999</v>
      </c>
      <c r="BO319" s="64">
        <f>IFERROR(1/J319*(X319/H319),"0")</f>
        <v>7.4404761904761904E-2</v>
      </c>
      <c r="BP319" s="64">
        <f>IFERROR(1/J319*(Y319/H319),"0")</f>
        <v>7.8125E-2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200</v>
      </c>
      <c r="Y320" s="574">
        <f>IFERROR(IF(X320="",0,CEILING((X320/$H320),1)*$H320),"")</f>
        <v>202.79999999999998</v>
      </c>
      <c r="Z320" s="36">
        <f>IFERROR(IF(Y320=0,"",ROUNDUP(Y320/H320,0)*0.01898),"")</f>
        <v>0.49348000000000003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213.30769230769235</v>
      </c>
      <c r="BN320" s="64">
        <f>IFERROR(Y320*I320/H320,"0")</f>
        <v>216.29400000000001</v>
      </c>
      <c r="BO320" s="64">
        <f>IFERROR(1/J320*(X320/H320),"0")</f>
        <v>0.40064102564102566</v>
      </c>
      <c r="BP320" s="64">
        <f>IFERROR(1/J320*(Y320/H320),"0")</f>
        <v>0.40625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40</v>
      </c>
      <c r="Y321" s="574">
        <f>IFERROR(IF(X321="",0,CEILING((X321/$H321),1)*$H321),"")</f>
        <v>42</v>
      </c>
      <c r="Z321" s="36">
        <f>IFERROR(IF(Y321=0,"",ROUNDUP(Y321/H321,0)*0.01898),"")</f>
        <v>9.4899999999999998E-2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42.471428571428568</v>
      </c>
      <c r="BN321" s="64">
        <f>IFERROR(Y321*I321/H321,"0")</f>
        <v>44.594999999999999</v>
      </c>
      <c r="BO321" s="64">
        <f>IFERROR(1/J321*(X321/H321),"0")</f>
        <v>7.4404761904761904E-2</v>
      </c>
      <c r="BP321" s="64">
        <f>IFERROR(1/J321*(Y321/H321),"0")</f>
        <v>7.8125E-2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72</v>
      </c>
      <c r="Q322" s="595"/>
      <c r="R322" s="595"/>
      <c r="S322" s="595"/>
      <c r="T322" s="595"/>
      <c r="U322" s="595"/>
      <c r="V322" s="596"/>
      <c r="W322" s="37" t="s">
        <v>73</v>
      </c>
      <c r="X322" s="575">
        <f>IFERROR(X319/H319,"0")+IFERROR(X320/H320,"0")+IFERROR(X321/H321,"0")</f>
        <v>35.164835164835168</v>
      </c>
      <c r="Y322" s="575">
        <f>IFERROR(Y319/H319,"0")+IFERROR(Y320/H320,"0")+IFERROR(Y321/H321,"0")</f>
        <v>36</v>
      </c>
      <c r="Z322" s="575">
        <f>IFERROR(IF(Z319="",0,Z319),"0")+IFERROR(IF(Z320="",0,Z320),"0")+IFERROR(IF(Z321="",0,Z321),"0")</f>
        <v>0.68328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72</v>
      </c>
      <c r="Q323" s="595"/>
      <c r="R323" s="595"/>
      <c r="S323" s="595"/>
      <c r="T323" s="595"/>
      <c r="U323" s="595"/>
      <c r="V323" s="596"/>
      <c r="W323" s="37" t="s">
        <v>70</v>
      </c>
      <c r="X323" s="575">
        <f>IFERROR(SUM(X319:X321),"0")</f>
        <v>280</v>
      </c>
      <c r="Y323" s="575">
        <f>IFERROR(SUM(Y319:Y321),"0")</f>
        <v>286.79999999999995</v>
      </c>
      <c r="Z323" s="37"/>
      <c r="AA323" s="576"/>
      <c r="AB323" s="576"/>
      <c r="AC323" s="576"/>
    </row>
    <row r="324" spans="1:68" ht="14.25" customHeight="1" x14ac:dyDescent="0.25">
      <c r="A324" s="589" t="s">
        <v>95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518</v>
      </c>
      <c r="B325" s="54" t="s">
        <v>519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8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10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90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34</v>
      </c>
      <c r="Y328" s="574">
        <f>IFERROR(IF(X328="",0,CEILING((X328/$H328),1)*$H328),"")</f>
        <v>35.699999999999996</v>
      </c>
      <c r="Z328" s="36">
        <f>IFERROR(IF(Y328=0,"",ROUNDUP(Y328/H328,0)*0.00651),"")</f>
        <v>9.1139999999999999E-2</v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39.400000000000006</v>
      </c>
      <c r="BN328" s="64">
        <f>IFERROR(Y328*I328/H328,"0")</f>
        <v>41.37</v>
      </c>
      <c r="BO328" s="64">
        <f>IFERROR(1/J328*(X328/H328),"0")</f>
        <v>7.3260073260073263E-2</v>
      </c>
      <c r="BP328" s="64">
        <f>IFERROR(1/J328*(Y328/H328),"0")</f>
        <v>7.6923076923076927E-2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85</v>
      </c>
      <c r="Y329" s="574">
        <f>IFERROR(IF(X329="",0,CEILING((X329/$H329),1)*$H329),"")</f>
        <v>86.699999999999989</v>
      </c>
      <c r="Z329" s="36">
        <f>IFERROR(IF(Y329=0,"",ROUNDUP(Y329/H329,0)*0.00651),"")</f>
        <v>0.22134000000000001</v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96</v>
      </c>
      <c r="BN329" s="64">
        <f>IFERROR(Y329*I329/H329,"0")</f>
        <v>97.92</v>
      </c>
      <c r="BO329" s="64">
        <f>IFERROR(1/J329*(X329/H329),"0")</f>
        <v>0.18315018315018317</v>
      </c>
      <c r="BP329" s="64">
        <f>IFERROR(1/J329*(Y329/H329),"0")</f>
        <v>0.18681318681318682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72</v>
      </c>
      <c r="Q330" s="595"/>
      <c r="R330" s="595"/>
      <c r="S330" s="595"/>
      <c r="T330" s="595"/>
      <c r="U330" s="595"/>
      <c r="V330" s="596"/>
      <c r="W330" s="37" t="s">
        <v>73</v>
      </c>
      <c r="X330" s="575">
        <f>IFERROR(X325/H325,"0")+IFERROR(X326/H326,"0")+IFERROR(X327/H327,"0")+IFERROR(X328/H328,"0")+IFERROR(X329/H329,"0")</f>
        <v>46.666666666666671</v>
      </c>
      <c r="Y330" s="575">
        <f>IFERROR(Y325/H325,"0")+IFERROR(Y326/H326,"0")+IFERROR(Y327/H327,"0")+IFERROR(Y328/H328,"0")+IFERROR(Y329/H329,"0")</f>
        <v>48</v>
      </c>
      <c r="Z330" s="575">
        <f>IFERROR(IF(Z325="",0,Z325),"0")+IFERROR(IF(Z326="",0,Z326),"0")+IFERROR(IF(Z327="",0,Z327),"0")+IFERROR(IF(Z328="",0,Z328),"0")+IFERROR(IF(Z329="",0,Z329),"0")</f>
        <v>0.31247999999999998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72</v>
      </c>
      <c r="Q331" s="595"/>
      <c r="R331" s="595"/>
      <c r="S331" s="595"/>
      <c r="T331" s="595"/>
      <c r="U331" s="595"/>
      <c r="V331" s="596"/>
      <c r="W331" s="37" t="s">
        <v>70</v>
      </c>
      <c r="X331" s="575">
        <f>IFERROR(SUM(X325:X329),"0")</f>
        <v>119</v>
      </c>
      <c r="Y331" s="575">
        <f>IFERROR(SUM(Y325:Y329),"0")</f>
        <v>122.39999999999998</v>
      </c>
      <c r="Z331" s="37"/>
      <c r="AA331" s="576"/>
      <c r="AB331" s="576"/>
      <c r="AC331" s="576"/>
    </row>
    <row r="332" spans="1:68" ht="14.25" customHeight="1" x14ac:dyDescent="0.25">
      <c r="A332" s="589" t="s">
        <v>534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535</v>
      </c>
      <c r="B333" s="54" t="s">
        <v>536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539</v>
      </c>
      <c r="B334" s="54" t="s">
        <v>540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72</v>
      </c>
      <c r="Q336" s="595"/>
      <c r="R336" s="595"/>
      <c r="S336" s="595"/>
      <c r="T336" s="595"/>
      <c r="U336" s="595"/>
      <c r="V336" s="596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72</v>
      </c>
      <c r="Q337" s="595"/>
      <c r="R337" s="595"/>
      <c r="S337" s="595"/>
      <c r="T337" s="595"/>
      <c r="U337" s="595"/>
      <c r="V337" s="596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543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74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770</v>
      </c>
      <c r="Y341" s="574">
        <f>IFERROR(IF(X341="",0,CEILING((X341/$H341),1)*$H341),"")</f>
        <v>770.7</v>
      </c>
      <c r="Z341" s="36">
        <f>IFERROR(IF(Y341=0,"",ROUNDUP(Y341/H341,0)*0.00651),"")</f>
        <v>2.38917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862.4</v>
      </c>
      <c r="BN341" s="64">
        <f>IFERROR(Y341*I341/H341,"0")</f>
        <v>863.18399999999997</v>
      </c>
      <c r="BO341" s="64">
        <f>IFERROR(1/J341*(X341/H341),"0")</f>
        <v>2.0146520146520146</v>
      </c>
      <c r="BP341" s="64">
        <f>IFERROR(1/J341*(Y341/H341),"0")</f>
        <v>2.0164835164835164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350</v>
      </c>
      <c r="Y342" s="574">
        <f>IFERROR(IF(X342="",0,CEILING((X342/$H342),1)*$H342),"")</f>
        <v>350.7</v>
      </c>
      <c r="Z342" s="36">
        <f>IFERROR(IF(Y342=0,"",ROUNDUP(Y342/H342,0)*0.00651),"")</f>
        <v>1.08717</v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390</v>
      </c>
      <c r="BN342" s="64">
        <f>IFERROR(Y342*I342/H342,"0")</f>
        <v>390.78</v>
      </c>
      <c r="BO342" s="64">
        <f>IFERROR(1/J342*(X342/H342),"0")</f>
        <v>0.91575091575091572</v>
      </c>
      <c r="BP342" s="64">
        <f>IFERROR(1/J342*(Y342/H342),"0")</f>
        <v>0.91758241758241765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72</v>
      </c>
      <c r="Q343" s="595"/>
      <c r="R343" s="595"/>
      <c r="S343" s="595"/>
      <c r="T343" s="595"/>
      <c r="U343" s="595"/>
      <c r="V343" s="596"/>
      <c r="W343" s="37" t="s">
        <v>73</v>
      </c>
      <c r="X343" s="575">
        <f>IFERROR(X340/H340,"0")+IFERROR(X341/H341,"0")+IFERROR(X342/H342,"0")</f>
        <v>533.33333333333326</v>
      </c>
      <c r="Y343" s="575">
        <f>IFERROR(Y340/H340,"0")+IFERROR(Y341/H341,"0")+IFERROR(Y342/H342,"0")</f>
        <v>534</v>
      </c>
      <c r="Z343" s="575">
        <f>IFERROR(IF(Z340="",0,Z340),"0")+IFERROR(IF(Z341="",0,Z341),"0")+IFERROR(IF(Z342="",0,Z342),"0")</f>
        <v>3.47634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72</v>
      </c>
      <c r="Q344" s="595"/>
      <c r="R344" s="595"/>
      <c r="S344" s="595"/>
      <c r="T344" s="595"/>
      <c r="U344" s="595"/>
      <c r="V344" s="596"/>
      <c r="W344" s="37" t="s">
        <v>70</v>
      </c>
      <c r="X344" s="575">
        <f>IFERROR(SUM(X340:X342),"0")</f>
        <v>1120</v>
      </c>
      <c r="Y344" s="575">
        <f>IFERROR(SUM(Y340:Y342),"0")</f>
        <v>1121.4000000000001</v>
      </c>
      <c r="Z344" s="37"/>
      <c r="AA344" s="576"/>
      <c r="AB344" s="576"/>
      <c r="AC344" s="576"/>
    </row>
    <row r="345" spans="1:68" ht="27.75" customHeight="1" x14ac:dyDescent="0.2">
      <c r="A345" s="657" t="s">
        <v>553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554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103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112</v>
      </c>
      <c r="M348" s="33" t="s">
        <v>68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1500</v>
      </c>
      <c r="Y348" s="574">
        <f t="shared" ref="Y348:Y354" si="58">IFERROR(IF(X348="",0,CEILING((X348/$H348),1)*$H348),"")</f>
        <v>1500</v>
      </c>
      <c r="Z348" s="36">
        <f>IFERROR(IF(Y348=0,"",ROUNDUP(Y348/H348,0)*0.02175),"")</f>
        <v>2.1749999999999998</v>
      </c>
      <c r="AA348" s="56"/>
      <c r="AB348" s="57"/>
      <c r="AC348" s="399" t="s">
        <v>557</v>
      </c>
      <c r="AG348" s="64"/>
      <c r="AJ348" s="68" t="s">
        <v>113</v>
      </c>
      <c r="AK348" s="68">
        <v>720</v>
      </c>
      <c r="BB348" s="400" t="s">
        <v>1</v>
      </c>
      <c r="BM348" s="64">
        <f t="shared" ref="BM348:BM354" si="59">IFERROR(X348*I348/H348,"0")</f>
        <v>1548</v>
      </c>
      <c r="BN348" s="64">
        <f t="shared" ref="BN348:BN354" si="60">IFERROR(Y348*I348/H348,"0")</f>
        <v>1548</v>
      </c>
      <c r="BO348" s="64">
        <f t="shared" ref="BO348:BO354" si="61">IFERROR(1/J348*(X348/H348),"0")</f>
        <v>2.083333333333333</v>
      </c>
      <c r="BP348" s="64">
        <f t="shared" ref="BP348:BP354" si="62">IFERROR(1/J348*(Y348/H348),"0")</f>
        <v>2.083333333333333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900</v>
      </c>
      <c r="Y349" s="574">
        <f t="shared" si="58"/>
        <v>900</v>
      </c>
      <c r="Z349" s="36">
        <f>IFERROR(IF(Y349=0,"",ROUNDUP(Y349/H349,0)*0.02175),"")</f>
        <v>1.3049999999999999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9"/>
        <v>928.8</v>
      </c>
      <c r="BN349" s="64">
        <f t="shared" si="60"/>
        <v>928.8</v>
      </c>
      <c r="BO349" s="64">
        <f t="shared" si="61"/>
        <v>1.25</v>
      </c>
      <c r="BP349" s="64">
        <f t="shared" si="62"/>
        <v>1.25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1200</v>
      </c>
      <c r="Y350" s="574">
        <f t="shared" si="58"/>
        <v>1200</v>
      </c>
      <c r="Z350" s="36">
        <f>IFERROR(IF(Y350=0,"",ROUNDUP(Y350/H350,0)*0.02175),"")</f>
        <v>1.7399999999999998</v>
      </c>
      <c r="AA350" s="56"/>
      <c r="AB350" s="57"/>
      <c r="AC350" s="403" t="s">
        <v>563</v>
      </c>
      <c r="AG350" s="64"/>
      <c r="AJ350" s="68" t="s">
        <v>113</v>
      </c>
      <c r="AK350" s="68">
        <v>720</v>
      </c>
      <c r="BB350" s="404" t="s">
        <v>1</v>
      </c>
      <c r="BM350" s="64">
        <f t="shared" si="59"/>
        <v>1238.4000000000001</v>
      </c>
      <c r="BN350" s="64">
        <f t="shared" si="60"/>
        <v>1238.4000000000001</v>
      </c>
      <c r="BO350" s="64">
        <f t="shared" si="61"/>
        <v>1.6666666666666665</v>
      </c>
      <c r="BP350" s="64">
        <f t="shared" si="62"/>
        <v>1.6666666666666665</v>
      </c>
    </row>
    <row r="351" spans="1:68" ht="27" customHeight="1" x14ac:dyDescent="0.25">
      <c r="A351" s="54" t="s">
        <v>564</v>
      </c>
      <c r="B351" s="54" t="s">
        <v>565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360</v>
      </c>
      <c r="Y351" s="574">
        <f t="shared" si="58"/>
        <v>360</v>
      </c>
      <c r="Z351" s="36">
        <f>IFERROR(IF(Y351=0,"",ROUNDUP(Y351/H351,0)*0.02175),"")</f>
        <v>0.52200000000000002</v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9"/>
        <v>371.52000000000004</v>
      </c>
      <c r="BN351" s="64">
        <f t="shared" si="60"/>
        <v>371.52000000000004</v>
      </c>
      <c r="BO351" s="64">
        <f t="shared" si="61"/>
        <v>0.5</v>
      </c>
      <c r="BP351" s="64">
        <f t="shared" si="62"/>
        <v>0.5</v>
      </c>
    </row>
    <row r="352" spans="1:68" ht="27" customHeight="1" x14ac:dyDescent="0.25">
      <c r="A352" s="54" t="s">
        <v>567</v>
      </c>
      <c r="B352" s="54" t="s">
        <v>568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570</v>
      </c>
      <c r="B353" s="54" t="s">
        <v>571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563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72</v>
      </c>
      <c r="Q355" s="595"/>
      <c r="R355" s="595"/>
      <c r="S355" s="595"/>
      <c r="T355" s="595"/>
      <c r="U355" s="595"/>
      <c r="V355" s="596"/>
      <c r="W355" s="37" t="s">
        <v>73</v>
      </c>
      <c r="X355" s="575">
        <f>IFERROR(X348/H348,"0")+IFERROR(X349/H349,"0")+IFERROR(X350/H350,"0")+IFERROR(X351/H351,"0")+IFERROR(X352/H352,"0")+IFERROR(X353/H353,"0")+IFERROR(X354/H354,"0")</f>
        <v>264</v>
      </c>
      <c r="Y355" s="575">
        <f>IFERROR(Y348/H348,"0")+IFERROR(Y349/H349,"0")+IFERROR(Y350/H350,"0")+IFERROR(Y351/H351,"0")+IFERROR(Y352/H352,"0")+IFERROR(Y353/H353,"0")+IFERROR(Y354/H354,"0")</f>
        <v>264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5.7419999999999991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72</v>
      </c>
      <c r="Q356" s="595"/>
      <c r="R356" s="595"/>
      <c r="S356" s="595"/>
      <c r="T356" s="595"/>
      <c r="U356" s="595"/>
      <c r="V356" s="596"/>
      <c r="W356" s="37" t="s">
        <v>70</v>
      </c>
      <c r="X356" s="575">
        <f>IFERROR(SUM(X348:X354),"0")</f>
        <v>3960</v>
      </c>
      <c r="Y356" s="575">
        <f>IFERROR(SUM(Y348:Y354),"0")</f>
        <v>3960</v>
      </c>
      <c r="Z356" s="37"/>
      <c r="AA356" s="576"/>
      <c r="AB356" s="576"/>
      <c r="AC356" s="576"/>
    </row>
    <row r="357" spans="1:68" ht="14.25" customHeight="1" x14ac:dyDescent="0.25">
      <c r="A357" s="589" t="s">
        <v>137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112</v>
      </c>
      <c r="M358" s="33" t="s">
        <v>107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1600</v>
      </c>
      <c r="Y358" s="574">
        <f>IFERROR(IF(X358="",0,CEILING((X358/$H358),1)*$H358),"")</f>
        <v>1605</v>
      </c>
      <c r="Z358" s="36">
        <f>IFERROR(IF(Y358=0,"",ROUNDUP(Y358/H358,0)*0.02175),"")</f>
        <v>2.3272499999999998</v>
      </c>
      <c r="AA358" s="56"/>
      <c r="AB358" s="57"/>
      <c r="AC358" s="413" t="s">
        <v>576</v>
      </c>
      <c r="AG358" s="64"/>
      <c r="AJ358" s="68" t="s">
        <v>113</v>
      </c>
      <c r="AK358" s="68">
        <v>720</v>
      </c>
      <c r="BB358" s="414" t="s">
        <v>1</v>
      </c>
      <c r="BM358" s="64">
        <f>IFERROR(X358*I358/H358,"0")</f>
        <v>1651.2</v>
      </c>
      <c r="BN358" s="64">
        <f>IFERROR(Y358*I358/H358,"0")</f>
        <v>1656.3600000000001</v>
      </c>
      <c r="BO358" s="64">
        <f>IFERROR(1/J358*(X358/H358),"0")</f>
        <v>2.2222222222222223</v>
      </c>
      <c r="BP358" s="64">
        <f>IFERROR(1/J358*(Y358/H358),"0")</f>
        <v>2.2291666666666665</v>
      </c>
    </row>
    <row r="359" spans="1:68" ht="16.5" customHeight="1" x14ac:dyDescent="0.25">
      <c r="A359" s="54" t="s">
        <v>577</v>
      </c>
      <c r="B359" s="54" t="s">
        <v>578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8</v>
      </c>
      <c r="Y359" s="574">
        <f>IFERROR(IF(X359="",0,CEILING((X359/$H359),1)*$H359),"")</f>
        <v>8</v>
      </c>
      <c r="Z359" s="36">
        <f>IFERROR(IF(Y359=0,"",ROUNDUP(Y359/H359,0)*0.00902),"")</f>
        <v>1.804E-2</v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8.42</v>
      </c>
      <c r="BN359" s="64">
        <f>IFERROR(Y359*I359/H359,"0")</f>
        <v>8.42</v>
      </c>
      <c r="BO359" s="64">
        <f>IFERROR(1/J359*(X359/H359),"0")</f>
        <v>1.5151515151515152E-2</v>
      </c>
      <c r="BP359" s="64">
        <f>IFERROR(1/J359*(Y359/H359),"0")</f>
        <v>1.5151515151515152E-2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72</v>
      </c>
      <c r="Q360" s="595"/>
      <c r="R360" s="595"/>
      <c r="S360" s="595"/>
      <c r="T360" s="595"/>
      <c r="U360" s="595"/>
      <c r="V360" s="596"/>
      <c r="W360" s="37" t="s">
        <v>73</v>
      </c>
      <c r="X360" s="575">
        <f>IFERROR(X358/H358,"0")+IFERROR(X359/H359,"0")</f>
        <v>108.66666666666667</v>
      </c>
      <c r="Y360" s="575">
        <f>IFERROR(Y358/H358,"0")+IFERROR(Y359/H359,"0")</f>
        <v>109</v>
      </c>
      <c r="Z360" s="575">
        <f>IFERROR(IF(Z358="",0,Z358),"0")+IFERROR(IF(Z359="",0,Z359),"0")</f>
        <v>2.3452899999999999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72</v>
      </c>
      <c r="Q361" s="595"/>
      <c r="R361" s="595"/>
      <c r="S361" s="595"/>
      <c r="T361" s="595"/>
      <c r="U361" s="595"/>
      <c r="V361" s="596"/>
      <c r="W361" s="37" t="s">
        <v>70</v>
      </c>
      <c r="X361" s="575">
        <f>IFERROR(SUM(X358:X359),"0")</f>
        <v>1608</v>
      </c>
      <c r="Y361" s="575">
        <f>IFERROR(SUM(Y358:Y359),"0")</f>
        <v>1613</v>
      </c>
      <c r="Z361" s="37"/>
      <c r="AA361" s="576"/>
      <c r="AB361" s="576"/>
      <c r="AC361" s="576"/>
    </row>
    <row r="362" spans="1:68" ht="14.25" customHeight="1" x14ac:dyDescent="0.25">
      <c r="A362" s="589" t="s">
        <v>74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579</v>
      </c>
      <c r="B363" s="54" t="s">
        <v>580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30</v>
      </c>
      <c r="Y364" s="574">
        <f>IFERROR(IF(X364="",0,CEILING((X364/$H364),1)*$H364),"")</f>
        <v>36</v>
      </c>
      <c r="Z364" s="36">
        <f>IFERROR(IF(Y364=0,"",ROUNDUP(Y364/H364,0)*0.01898),"")</f>
        <v>7.5920000000000001E-2</v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31.73</v>
      </c>
      <c r="BN364" s="64">
        <f>IFERROR(Y364*I364/H364,"0")</f>
        <v>38.076000000000001</v>
      </c>
      <c r="BO364" s="64">
        <f>IFERROR(1/J364*(X364/H364),"0")</f>
        <v>5.2083333333333336E-2</v>
      </c>
      <c r="BP364" s="64">
        <f>IFERROR(1/J364*(Y364/H364),"0")</f>
        <v>6.25E-2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72</v>
      </c>
      <c r="Q365" s="595"/>
      <c r="R365" s="595"/>
      <c r="S365" s="595"/>
      <c r="T365" s="595"/>
      <c r="U365" s="595"/>
      <c r="V365" s="596"/>
      <c r="W365" s="37" t="s">
        <v>73</v>
      </c>
      <c r="X365" s="575">
        <f>IFERROR(X363/H363,"0")+IFERROR(X364/H364,"0")</f>
        <v>3.3333333333333335</v>
      </c>
      <c r="Y365" s="575">
        <f>IFERROR(Y363/H363,"0")+IFERROR(Y364/H364,"0")</f>
        <v>4</v>
      </c>
      <c r="Z365" s="575">
        <f>IFERROR(IF(Z363="",0,Z363),"0")+IFERROR(IF(Z364="",0,Z364),"0")</f>
        <v>7.5920000000000001E-2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72</v>
      </c>
      <c r="Q366" s="595"/>
      <c r="R366" s="595"/>
      <c r="S366" s="595"/>
      <c r="T366" s="595"/>
      <c r="U366" s="595"/>
      <c r="V366" s="596"/>
      <c r="W366" s="37" t="s">
        <v>70</v>
      </c>
      <c r="X366" s="575">
        <f>IFERROR(SUM(X363:X364),"0")</f>
        <v>30</v>
      </c>
      <c r="Y366" s="575">
        <f>IFERROR(SUM(Y363:Y364),"0")</f>
        <v>36</v>
      </c>
      <c r="Z366" s="37"/>
      <c r="AA366" s="576"/>
      <c r="AB366" s="576"/>
      <c r="AC366" s="576"/>
    </row>
    <row r="367" spans="1:68" ht="14.25" customHeight="1" x14ac:dyDescent="0.25">
      <c r="A367" s="589" t="s">
        <v>172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60</v>
      </c>
      <c r="Y368" s="574">
        <f>IFERROR(IF(X368="",0,CEILING((X368/$H368),1)*$H368),"")</f>
        <v>63</v>
      </c>
      <c r="Z368" s="36">
        <f>IFERROR(IF(Y368=0,"",ROUNDUP(Y368/H368,0)*0.01898),"")</f>
        <v>0.13286000000000001</v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63.46</v>
      </c>
      <c r="BN368" s="64">
        <f>IFERROR(Y368*I368/H368,"0")</f>
        <v>66.632999999999996</v>
      </c>
      <c r="BO368" s="64">
        <f>IFERROR(1/J368*(X368/H368),"0")</f>
        <v>0.10416666666666667</v>
      </c>
      <c r="BP368" s="64">
        <f>IFERROR(1/J368*(Y368/H368),"0")</f>
        <v>0.109375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72</v>
      </c>
      <c r="Q369" s="595"/>
      <c r="R369" s="595"/>
      <c r="S369" s="595"/>
      <c r="T369" s="595"/>
      <c r="U369" s="595"/>
      <c r="V369" s="596"/>
      <c r="W369" s="37" t="s">
        <v>73</v>
      </c>
      <c r="X369" s="575">
        <f>IFERROR(X368/H368,"0")</f>
        <v>6.666666666666667</v>
      </c>
      <c r="Y369" s="575">
        <f>IFERROR(Y368/H368,"0")</f>
        <v>7</v>
      </c>
      <c r="Z369" s="575">
        <f>IFERROR(IF(Z368="",0,Z368),"0")</f>
        <v>0.13286000000000001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72</v>
      </c>
      <c r="Q370" s="595"/>
      <c r="R370" s="595"/>
      <c r="S370" s="595"/>
      <c r="T370" s="595"/>
      <c r="U370" s="595"/>
      <c r="V370" s="596"/>
      <c r="W370" s="37" t="s">
        <v>70</v>
      </c>
      <c r="X370" s="575">
        <f>IFERROR(SUM(X368:X368),"0")</f>
        <v>60</v>
      </c>
      <c r="Y370" s="575">
        <f>IFERROR(SUM(Y368:Y368),"0")</f>
        <v>63</v>
      </c>
      <c r="Z370" s="37"/>
      <c r="AA370" s="576"/>
      <c r="AB370" s="576"/>
      <c r="AC370" s="576"/>
    </row>
    <row r="371" spans="1:68" ht="16.5" customHeight="1" x14ac:dyDescent="0.25">
      <c r="A371" s="591" t="s">
        <v>588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103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589</v>
      </c>
      <c r="B373" s="54" t="s">
        <v>590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50</v>
      </c>
      <c r="Y375" s="574">
        <f>IFERROR(IF(X375="",0,CEILING((X375/$H375),1)*$H375),"")</f>
        <v>60</v>
      </c>
      <c r="Z375" s="36">
        <f>IFERROR(IF(Y375=0,"",ROUNDUP(Y375/H375,0)*0.01898),"")</f>
        <v>9.4899999999999998E-2</v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51.8125</v>
      </c>
      <c r="BN375" s="64">
        <f>IFERROR(Y375*I375/H375,"0")</f>
        <v>62.175000000000004</v>
      </c>
      <c r="BO375" s="64">
        <f>IFERROR(1/J375*(X375/H375),"0")</f>
        <v>6.5104166666666671E-2</v>
      </c>
      <c r="BP375" s="64">
        <f>IFERROR(1/J375*(Y375/H375),"0")</f>
        <v>7.8125E-2</v>
      </c>
    </row>
    <row r="376" spans="1:68" ht="37.5" customHeight="1" x14ac:dyDescent="0.25">
      <c r="A376" s="54" t="s">
        <v>597</v>
      </c>
      <c r="B376" s="54" t="s">
        <v>598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72</v>
      </c>
      <c r="Q377" s="595"/>
      <c r="R377" s="595"/>
      <c r="S377" s="595"/>
      <c r="T377" s="595"/>
      <c r="U377" s="595"/>
      <c r="V377" s="596"/>
      <c r="W377" s="37" t="s">
        <v>73</v>
      </c>
      <c r="X377" s="575">
        <f>IFERROR(X373/H373,"0")+IFERROR(X374/H374,"0")+IFERROR(X375/H375,"0")+IFERROR(X376/H376,"0")</f>
        <v>4.166666666666667</v>
      </c>
      <c r="Y377" s="575">
        <f>IFERROR(Y373/H373,"0")+IFERROR(Y374/H374,"0")+IFERROR(Y375/H375,"0")+IFERROR(Y376/H376,"0")</f>
        <v>5</v>
      </c>
      <c r="Z377" s="575">
        <f>IFERROR(IF(Z373="",0,Z373),"0")+IFERROR(IF(Z374="",0,Z374),"0")+IFERROR(IF(Z375="",0,Z375),"0")+IFERROR(IF(Z376="",0,Z376),"0")</f>
        <v>9.4899999999999998E-2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72</v>
      </c>
      <c r="Q378" s="595"/>
      <c r="R378" s="595"/>
      <c r="S378" s="595"/>
      <c r="T378" s="595"/>
      <c r="U378" s="595"/>
      <c r="V378" s="596"/>
      <c r="W378" s="37" t="s">
        <v>70</v>
      </c>
      <c r="X378" s="575">
        <f>IFERROR(SUM(X373:X376),"0")</f>
        <v>50</v>
      </c>
      <c r="Y378" s="575">
        <f>IFERROR(SUM(Y373:Y376),"0")</f>
        <v>60</v>
      </c>
      <c r="Z378" s="37"/>
      <c r="AA378" s="576"/>
      <c r="AB378" s="576"/>
      <c r="AC378" s="576"/>
    </row>
    <row r="379" spans="1:68" ht="14.25" customHeight="1" x14ac:dyDescent="0.25">
      <c r="A379" s="589" t="s">
        <v>64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599</v>
      </c>
      <c r="B380" s="54" t="s">
        <v>600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72</v>
      </c>
      <c r="Q381" s="595"/>
      <c r="R381" s="595"/>
      <c r="S381" s="595"/>
      <c r="T381" s="595"/>
      <c r="U381" s="595"/>
      <c r="V381" s="596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72</v>
      </c>
      <c r="Q382" s="595"/>
      <c r="R382" s="595"/>
      <c r="S382" s="595"/>
      <c r="T382" s="595"/>
      <c r="U382" s="595"/>
      <c r="V382" s="596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74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20</v>
      </c>
      <c r="Y384" s="574">
        <f>IFERROR(IF(X384="",0,CEILING((X384/$H384),1)*$H384),"")</f>
        <v>27</v>
      </c>
      <c r="Z384" s="36">
        <f>IFERROR(IF(Y384=0,"",ROUNDUP(Y384/H384,0)*0.01898),"")</f>
        <v>5.6940000000000004E-2</v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21.153333333333332</v>
      </c>
      <c r="BN384" s="64">
        <f>IFERROR(Y384*I384/H384,"0")</f>
        <v>28.556999999999999</v>
      </c>
      <c r="BO384" s="64">
        <f>IFERROR(1/J384*(X384/H384),"0")</f>
        <v>3.4722222222222224E-2</v>
      </c>
      <c r="BP384" s="64">
        <f>IFERROR(1/J384*(Y384/H384),"0")</f>
        <v>4.6875E-2</v>
      </c>
    </row>
    <row r="385" spans="1:68" ht="27" customHeight="1" x14ac:dyDescent="0.25">
      <c r="A385" s="54" t="s">
        <v>605</v>
      </c>
      <c r="B385" s="54" t="s">
        <v>606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72</v>
      </c>
      <c r="Q386" s="595"/>
      <c r="R386" s="595"/>
      <c r="S386" s="595"/>
      <c r="T386" s="595"/>
      <c r="U386" s="595"/>
      <c r="V386" s="596"/>
      <c r="W386" s="37" t="s">
        <v>73</v>
      </c>
      <c r="X386" s="575">
        <f>IFERROR(X384/H384,"0")+IFERROR(X385/H385,"0")</f>
        <v>2.2222222222222223</v>
      </c>
      <c r="Y386" s="575">
        <f>IFERROR(Y384/H384,"0")+IFERROR(Y385/H385,"0")</f>
        <v>3</v>
      </c>
      <c r="Z386" s="575">
        <f>IFERROR(IF(Z384="",0,Z384),"0")+IFERROR(IF(Z385="",0,Z385),"0")</f>
        <v>5.6940000000000004E-2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72</v>
      </c>
      <c r="Q387" s="595"/>
      <c r="R387" s="595"/>
      <c r="S387" s="595"/>
      <c r="T387" s="595"/>
      <c r="U387" s="595"/>
      <c r="V387" s="596"/>
      <c r="W387" s="37" t="s">
        <v>70</v>
      </c>
      <c r="X387" s="575">
        <f>IFERROR(SUM(X384:X385),"0")</f>
        <v>20</v>
      </c>
      <c r="Y387" s="575">
        <f>IFERROR(SUM(Y384:Y385),"0")</f>
        <v>27</v>
      </c>
      <c r="Z387" s="37"/>
      <c r="AA387" s="576"/>
      <c r="AB387" s="576"/>
      <c r="AC387" s="576"/>
    </row>
    <row r="388" spans="1:68" ht="14.25" customHeight="1" x14ac:dyDescent="0.25">
      <c r="A388" s="589" t="s">
        <v>172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607</v>
      </c>
      <c r="B389" s="54" t="s">
        <v>608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72</v>
      </c>
      <c r="Q390" s="595"/>
      <c r="R390" s="595"/>
      <c r="S390" s="595"/>
      <c r="T390" s="595"/>
      <c r="U390" s="595"/>
      <c r="V390" s="596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72</v>
      </c>
      <c r="Q391" s="595"/>
      <c r="R391" s="595"/>
      <c r="S391" s="595"/>
      <c r="T391" s="595"/>
      <c r="U391" s="595"/>
      <c r="V391" s="596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610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611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64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0.21300000000000099</v>
      </c>
      <c r="Y395" s="574">
        <f t="shared" ref="Y395:Y404" si="63">IFERROR(IF(X395="",0,CEILING((X395/$H395),1)*$H395),"")</f>
        <v>5.4</v>
      </c>
      <c r="Z395" s="36">
        <f>IFERROR(IF(Y395=0,"",ROUNDUP(Y395/H395,0)*0.00902),"")</f>
        <v>9.0200000000000002E-3</v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0.22128333333333436</v>
      </c>
      <c r="BN395" s="64">
        <f t="shared" ref="BN395:BN404" si="65">IFERROR(Y395*I395/H395,"0")</f>
        <v>5.61</v>
      </c>
      <c r="BO395" s="64">
        <f t="shared" ref="BO395:BO404" si="66">IFERROR(1/J395*(X395/H395),"0")</f>
        <v>2.9882154882155022E-4</v>
      </c>
      <c r="BP395" s="64">
        <f t="shared" ref="BP395:BP404" si="67">IFERROR(1/J395*(Y395/H395),"0")</f>
        <v>7.575757575757576E-3</v>
      </c>
    </row>
    <row r="396" spans="1:68" ht="27" customHeight="1" x14ac:dyDescent="0.25">
      <c r="A396" s="54" t="s">
        <v>615</v>
      </c>
      <c r="B396" s="54" t="s">
        <v>616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615</v>
      </c>
      <c r="B397" s="54" t="s">
        <v>618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622</v>
      </c>
      <c r="B399" s="54" t="s">
        <v>623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70</v>
      </c>
      <c r="Y400" s="574">
        <f t="shared" si="63"/>
        <v>71.400000000000006</v>
      </c>
      <c r="Z400" s="36">
        <f t="shared" si="68"/>
        <v>0.17068</v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74.333333333333329</v>
      </c>
      <c r="BN400" s="64">
        <f t="shared" si="65"/>
        <v>75.820000000000007</v>
      </c>
      <c r="BO400" s="64">
        <f t="shared" si="66"/>
        <v>0.14245014245014245</v>
      </c>
      <c r="BP400" s="64">
        <f t="shared" si="67"/>
        <v>0.14529914529914531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10.5</v>
      </c>
      <c r="Y401" s="574">
        <f t="shared" si="63"/>
        <v>10.5</v>
      </c>
      <c r="Z401" s="36">
        <f t="shared" si="68"/>
        <v>2.5100000000000001E-2</v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11.149999999999999</v>
      </c>
      <c r="BN401" s="64">
        <f t="shared" si="65"/>
        <v>11.149999999999999</v>
      </c>
      <c r="BO401" s="64">
        <f t="shared" si="66"/>
        <v>2.1367521367521368E-2</v>
      </c>
      <c r="BP401" s="64">
        <f t="shared" si="67"/>
        <v>2.1367521367521368E-2</v>
      </c>
    </row>
    <row r="402" spans="1:68" ht="27" customHeight="1" x14ac:dyDescent="0.25">
      <c r="A402" s="54" t="s">
        <v>629</v>
      </c>
      <c r="B402" s="54" t="s">
        <v>630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52.5</v>
      </c>
      <c r="Y403" s="574">
        <f t="shared" si="63"/>
        <v>52.5</v>
      </c>
      <c r="Z403" s="36">
        <f t="shared" si="68"/>
        <v>0.1255</v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55.75</v>
      </c>
      <c r="BN403" s="64">
        <f t="shared" si="65"/>
        <v>55.75</v>
      </c>
      <c r="BO403" s="64">
        <f t="shared" si="66"/>
        <v>0.10683760683760685</v>
      </c>
      <c r="BP403" s="64">
        <f t="shared" si="67"/>
        <v>0.10683760683760685</v>
      </c>
    </row>
    <row r="404" spans="1:68" ht="37.5" customHeight="1" x14ac:dyDescent="0.25">
      <c r="A404" s="54" t="s">
        <v>635</v>
      </c>
      <c r="B404" s="54" t="s">
        <v>636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72</v>
      </c>
      <c r="Q405" s="595"/>
      <c r="R405" s="595"/>
      <c r="S405" s="595"/>
      <c r="T405" s="595"/>
      <c r="U405" s="595"/>
      <c r="V405" s="596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63.37277777777777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65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0.33030000000000004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72</v>
      </c>
      <c r="Q406" s="595"/>
      <c r="R406" s="595"/>
      <c r="S406" s="595"/>
      <c r="T406" s="595"/>
      <c r="U406" s="595"/>
      <c r="V406" s="596"/>
      <c r="W406" s="37" t="s">
        <v>70</v>
      </c>
      <c r="X406" s="575">
        <f>IFERROR(SUM(X395:X404),"0")</f>
        <v>133.21300000000002</v>
      </c>
      <c r="Y406" s="575">
        <f>IFERROR(SUM(Y395:Y404),"0")</f>
        <v>139.80000000000001</v>
      </c>
      <c r="Z406" s="37"/>
      <c r="AA406" s="576"/>
      <c r="AB406" s="576"/>
      <c r="AC406" s="576"/>
    </row>
    <row r="407" spans="1:68" ht="14.25" customHeight="1" x14ac:dyDescent="0.25">
      <c r="A407" s="589" t="s">
        <v>74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637</v>
      </c>
      <c r="B408" s="54" t="s">
        <v>638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640</v>
      </c>
      <c r="B409" s="54" t="s">
        <v>641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72</v>
      </c>
      <c r="Q410" s="595"/>
      <c r="R410" s="595"/>
      <c r="S410" s="595"/>
      <c r="T410" s="595"/>
      <c r="U410" s="595"/>
      <c r="V410" s="596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72</v>
      </c>
      <c r="Q411" s="595"/>
      <c r="R411" s="595"/>
      <c r="S411" s="595"/>
      <c r="T411" s="595"/>
      <c r="U411" s="595"/>
      <c r="V411" s="596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643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137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644</v>
      </c>
      <c r="B414" s="54" t="s">
        <v>645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647</v>
      </c>
      <c r="B415" s="54" t="s">
        <v>648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72</v>
      </c>
      <c r="Q416" s="595"/>
      <c r="R416" s="595"/>
      <c r="S416" s="595"/>
      <c r="T416" s="595"/>
      <c r="U416" s="595"/>
      <c r="V416" s="596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72</v>
      </c>
      <c r="Q417" s="595"/>
      <c r="R417" s="595"/>
      <c r="S417" s="595"/>
      <c r="T417" s="595"/>
      <c r="U417" s="595"/>
      <c r="V417" s="596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64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654</v>
      </c>
      <c r="B420" s="54" t="s">
        <v>655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657</v>
      </c>
      <c r="B421" s="54" t="s">
        <v>658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17.5</v>
      </c>
      <c r="Y422" s="574">
        <f>IFERROR(IF(X422="",0,CEILING((X422/$H422),1)*$H422),"")</f>
        <v>18.900000000000002</v>
      </c>
      <c r="Z422" s="36">
        <f>IFERROR(IF(Y422=0,"",ROUNDUP(Y422/H422,0)*0.00502),"")</f>
        <v>4.5179999999999998E-2</v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18.583333333333332</v>
      </c>
      <c r="BN422" s="64">
        <f>IFERROR(Y422*I422/H422,"0")</f>
        <v>20.07</v>
      </c>
      <c r="BO422" s="64">
        <f>IFERROR(1/J422*(X422/H422),"0")</f>
        <v>3.5612535612535613E-2</v>
      </c>
      <c r="BP422" s="64">
        <f>IFERROR(1/J422*(Y422/H422),"0")</f>
        <v>3.8461538461538464E-2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72</v>
      </c>
      <c r="Q423" s="595"/>
      <c r="R423" s="595"/>
      <c r="S423" s="595"/>
      <c r="T423" s="595"/>
      <c r="U423" s="595"/>
      <c r="V423" s="596"/>
      <c r="W423" s="37" t="s">
        <v>73</v>
      </c>
      <c r="X423" s="575">
        <f>IFERROR(X419/H419,"0")+IFERROR(X420/H420,"0")+IFERROR(X421/H421,"0")+IFERROR(X422/H422,"0")</f>
        <v>8.3333333333333321</v>
      </c>
      <c r="Y423" s="575">
        <f>IFERROR(Y419/H419,"0")+IFERROR(Y420/H420,"0")+IFERROR(Y421/H421,"0")+IFERROR(Y422/H422,"0")</f>
        <v>9</v>
      </c>
      <c r="Z423" s="575">
        <f>IFERROR(IF(Z419="",0,Z419),"0")+IFERROR(IF(Z420="",0,Z420),"0")+IFERROR(IF(Z421="",0,Z421),"0")+IFERROR(IF(Z422="",0,Z422),"0")</f>
        <v>4.5179999999999998E-2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72</v>
      </c>
      <c r="Q424" s="595"/>
      <c r="R424" s="595"/>
      <c r="S424" s="595"/>
      <c r="T424" s="595"/>
      <c r="U424" s="595"/>
      <c r="V424" s="596"/>
      <c r="W424" s="37" t="s">
        <v>70</v>
      </c>
      <c r="X424" s="575">
        <f>IFERROR(SUM(X419:X422),"0")</f>
        <v>17.5</v>
      </c>
      <c r="Y424" s="575">
        <f>IFERROR(SUM(Y419:Y422),"0")</f>
        <v>18.900000000000002</v>
      </c>
      <c r="Z424" s="37"/>
      <c r="AA424" s="576"/>
      <c r="AB424" s="576"/>
      <c r="AC424" s="576"/>
    </row>
    <row r="425" spans="1:68" ht="16.5" customHeight="1" x14ac:dyDescent="0.25">
      <c r="A425" s="591" t="s">
        <v>662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64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20</v>
      </c>
      <c r="Y427" s="574">
        <f>IFERROR(IF(X427="",0,CEILING((X427/$H427),1)*$H427),"")</f>
        <v>20.399999999999999</v>
      </c>
      <c r="Z427" s="36">
        <f>IFERROR(IF(Y427=0,"",ROUNDUP(Y427/H427,0)*0.00651),"")</f>
        <v>0.11067</v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35</v>
      </c>
      <c r="BN427" s="64">
        <f>IFERROR(Y427*I427/H427,"0")</f>
        <v>35.699999999999996</v>
      </c>
      <c r="BO427" s="64">
        <f>IFERROR(1/J427*(X427/H427),"0")</f>
        <v>9.1575091575091583E-2</v>
      </c>
      <c r="BP427" s="64">
        <f>IFERROR(1/J427*(Y427/H427),"0")</f>
        <v>9.3406593406593408E-2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72</v>
      </c>
      <c r="Q428" s="595"/>
      <c r="R428" s="595"/>
      <c r="S428" s="595"/>
      <c r="T428" s="595"/>
      <c r="U428" s="595"/>
      <c r="V428" s="596"/>
      <c r="W428" s="37" t="s">
        <v>73</v>
      </c>
      <c r="X428" s="575">
        <f>IFERROR(X427/H427,"0")</f>
        <v>16.666666666666668</v>
      </c>
      <c r="Y428" s="575">
        <f>IFERROR(Y427/H427,"0")</f>
        <v>17</v>
      </c>
      <c r="Z428" s="575">
        <f>IFERROR(IF(Z427="",0,Z427),"0")</f>
        <v>0.11067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72</v>
      </c>
      <c r="Q429" s="595"/>
      <c r="R429" s="595"/>
      <c r="S429" s="595"/>
      <c r="T429" s="595"/>
      <c r="U429" s="595"/>
      <c r="V429" s="596"/>
      <c r="W429" s="37" t="s">
        <v>70</v>
      </c>
      <c r="X429" s="575">
        <f>IFERROR(SUM(X427:X427),"0")</f>
        <v>20</v>
      </c>
      <c r="Y429" s="575">
        <f>IFERROR(SUM(Y427:Y427),"0")</f>
        <v>20.399999999999999</v>
      </c>
      <c r="Z429" s="37"/>
      <c r="AA429" s="576"/>
      <c r="AB429" s="576"/>
      <c r="AC429" s="576"/>
    </row>
    <row r="430" spans="1:68" ht="16.5" customHeight="1" x14ac:dyDescent="0.25">
      <c r="A430" s="591" t="s">
        <v>666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64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667</v>
      </c>
      <c r="B432" s="54" t="s">
        <v>668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72</v>
      </c>
      <c r="Q433" s="595"/>
      <c r="R433" s="595"/>
      <c r="S433" s="595"/>
      <c r="T433" s="595"/>
      <c r="U433" s="595"/>
      <c r="V433" s="596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72</v>
      </c>
      <c r="Q434" s="595"/>
      <c r="R434" s="595"/>
      <c r="S434" s="595"/>
      <c r="T434" s="595"/>
      <c r="U434" s="595"/>
      <c r="V434" s="596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670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670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103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100</v>
      </c>
      <c r="Y438" s="574">
        <f t="shared" ref="Y438:Y452" si="69">IFERROR(IF(X438="",0,CEILING((X438/$H438),1)*$H438),"")</f>
        <v>100.32000000000001</v>
      </c>
      <c r="Z438" s="36">
        <f t="shared" ref="Z438:Z444" si="70">IFERROR(IF(Y438=0,"",ROUNDUP(Y438/H438,0)*0.01196),"")</f>
        <v>0.22724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106.81818181818181</v>
      </c>
      <c r="BN438" s="64">
        <f t="shared" ref="BN438:BN452" si="72">IFERROR(Y438*I438/H438,"0")</f>
        <v>107.16</v>
      </c>
      <c r="BO438" s="64">
        <f t="shared" ref="BO438:BO452" si="73">IFERROR(1/J438*(X438/H438),"0")</f>
        <v>0.18210955710955709</v>
      </c>
      <c r="BP438" s="64">
        <f t="shared" ref="BP438:BP452" si="74">IFERROR(1/J438*(Y438/H438),"0")</f>
        <v>0.18269230769230771</v>
      </c>
    </row>
    <row r="439" spans="1:68" ht="27" customHeight="1" x14ac:dyDescent="0.25">
      <c r="A439" s="54" t="s">
        <v>674</v>
      </c>
      <c r="B439" s="54" t="s">
        <v>675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50</v>
      </c>
      <c r="Y440" s="574">
        <f t="shared" si="69"/>
        <v>52.800000000000004</v>
      </c>
      <c r="Z440" s="36">
        <f t="shared" si="70"/>
        <v>0.1196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53.409090909090907</v>
      </c>
      <c r="BN440" s="64">
        <f t="shared" si="72"/>
        <v>56.400000000000006</v>
      </c>
      <c r="BO440" s="64">
        <f t="shared" si="73"/>
        <v>9.1054778554778545E-2</v>
      </c>
      <c r="BP440" s="64">
        <f t="shared" si="74"/>
        <v>9.6153846153846159E-2</v>
      </c>
    </row>
    <row r="441" spans="1:68" ht="27" customHeight="1" x14ac:dyDescent="0.25">
      <c r="A441" s="54" t="s">
        <v>680</v>
      </c>
      <c r="B441" s="54" t="s">
        <v>681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79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684</v>
      </c>
      <c r="B442" s="54" t="s">
        <v>685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160</v>
      </c>
      <c r="Y443" s="574">
        <f t="shared" si="69"/>
        <v>163.68</v>
      </c>
      <c r="Z443" s="36">
        <f t="shared" si="70"/>
        <v>0.37075999999999998</v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170.90909090909091</v>
      </c>
      <c r="BN443" s="64">
        <f t="shared" si="72"/>
        <v>174.84</v>
      </c>
      <c r="BO443" s="64">
        <f t="shared" si="73"/>
        <v>0.29137529137529139</v>
      </c>
      <c r="BP443" s="64">
        <f t="shared" si="74"/>
        <v>0.29807692307692307</v>
      </c>
    </row>
    <row r="444" spans="1:68" ht="16.5" customHeight="1" x14ac:dyDescent="0.25">
      <c r="A444" s="54" t="s">
        <v>690</v>
      </c>
      <c r="B444" s="54" t="s">
        <v>691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108</v>
      </c>
      <c r="Y447" s="574">
        <f t="shared" si="69"/>
        <v>108</v>
      </c>
      <c r="Z447" s="36">
        <f>IFERROR(IF(Y447=0,"",ROUNDUP(Y447/H447,0)*0.00902),"")</f>
        <v>0.27060000000000001</v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114.3</v>
      </c>
      <c r="BN447" s="64">
        <f t="shared" si="72"/>
        <v>114.3</v>
      </c>
      <c r="BO447" s="64">
        <f t="shared" si="73"/>
        <v>0.22727272727272729</v>
      </c>
      <c r="BP447" s="64">
        <f t="shared" si="74"/>
        <v>0.22727272727272729</v>
      </c>
    </row>
    <row r="448" spans="1:68" ht="27" customHeight="1" x14ac:dyDescent="0.25">
      <c r="A448" s="54" t="s">
        <v>698</v>
      </c>
      <c r="B448" s="54" t="s">
        <v>699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5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701</v>
      </c>
      <c r="B449" s="54" t="s">
        <v>702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703</v>
      </c>
      <c r="B450" s="54" t="s">
        <v>704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3">
        <v>4607091389982</v>
      </c>
      <c r="E451" s="584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138</v>
      </c>
      <c r="Y451" s="574">
        <f t="shared" si="69"/>
        <v>140.4</v>
      </c>
      <c r="Z451" s="36">
        <f>IFERROR(IF(Y451=0,"",ROUNDUP(Y451/H451,0)*0.00902),"")</f>
        <v>0.35177999999999998</v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146.04999999999998</v>
      </c>
      <c r="BN451" s="64">
        <f t="shared" si="72"/>
        <v>148.59</v>
      </c>
      <c r="BO451" s="64">
        <f t="shared" si="73"/>
        <v>0.29040404040404044</v>
      </c>
      <c r="BP451" s="64">
        <f t="shared" si="74"/>
        <v>0.29545454545454547</v>
      </c>
    </row>
    <row r="452" spans="1:68" ht="27" customHeight="1" x14ac:dyDescent="0.25">
      <c r="A452" s="54" t="s">
        <v>705</v>
      </c>
      <c r="B452" s="54" t="s">
        <v>707</v>
      </c>
      <c r="C452" s="31">
        <v>4301012034</v>
      </c>
      <c r="D452" s="583">
        <v>4607091389982</v>
      </c>
      <c r="E452" s="584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72</v>
      </c>
      <c r="Q453" s="595"/>
      <c r="R453" s="595"/>
      <c r="S453" s="595"/>
      <c r="T453" s="595"/>
      <c r="U453" s="595"/>
      <c r="V453" s="596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127.04545454545453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129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1.3399799999999999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72</v>
      </c>
      <c r="Q454" s="595"/>
      <c r="R454" s="595"/>
      <c r="S454" s="595"/>
      <c r="T454" s="595"/>
      <c r="U454" s="595"/>
      <c r="V454" s="596"/>
      <c r="W454" s="37" t="s">
        <v>70</v>
      </c>
      <c r="X454" s="575">
        <f>IFERROR(SUM(X438:X452),"0")</f>
        <v>556</v>
      </c>
      <c r="Y454" s="575">
        <f>IFERROR(SUM(Y438:Y452),"0")</f>
        <v>565.20000000000005</v>
      </c>
      <c r="Z454" s="37"/>
      <c r="AA454" s="576"/>
      <c r="AB454" s="576"/>
      <c r="AC454" s="576"/>
    </row>
    <row r="455" spans="1:68" ht="14.25" customHeight="1" x14ac:dyDescent="0.25">
      <c r="A455" s="589" t="s">
        <v>137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120</v>
      </c>
      <c r="Y456" s="574">
        <f>IFERROR(IF(X456="",0,CEILING((X456/$H456),1)*$H456),"")</f>
        <v>121.44000000000001</v>
      </c>
      <c r="Z456" s="36">
        <f>IFERROR(IF(Y456=0,"",ROUNDUP(Y456/H456,0)*0.01196),"")</f>
        <v>0.27507999999999999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128.18181818181816</v>
      </c>
      <c r="BN456" s="64">
        <f>IFERROR(Y456*I456/H456,"0")</f>
        <v>129.72</v>
      </c>
      <c r="BO456" s="64">
        <f>IFERROR(1/J456*(X456/H456),"0")</f>
        <v>0.21853146853146854</v>
      </c>
      <c r="BP456" s="64">
        <f>IFERROR(1/J456*(Y456/H456),"0")</f>
        <v>0.22115384615384617</v>
      </c>
    </row>
    <row r="457" spans="1:68" ht="16.5" customHeight="1" x14ac:dyDescent="0.25">
      <c r="A457" s="54" t="s">
        <v>711</v>
      </c>
      <c r="B457" s="54" t="s">
        <v>712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713</v>
      </c>
      <c r="B458" s="54" t="s">
        <v>714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72</v>
      </c>
      <c r="Q459" s="595"/>
      <c r="R459" s="595"/>
      <c r="S459" s="595"/>
      <c r="T459" s="595"/>
      <c r="U459" s="595"/>
      <c r="V459" s="596"/>
      <c r="W459" s="37" t="s">
        <v>73</v>
      </c>
      <c r="X459" s="575">
        <f>IFERROR(X456/H456,"0")+IFERROR(X457/H457,"0")+IFERROR(X458/H458,"0")</f>
        <v>22.727272727272727</v>
      </c>
      <c r="Y459" s="575">
        <f>IFERROR(Y456/H456,"0")+IFERROR(Y457/H457,"0")+IFERROR(Y458/H458,"0")</f>
        <v>23</v>
      </c>
      <c r="Z459" s="575">
        <f>IFERROR(IF(Z456="",0,Z456),"0")+IFERROR(IF(Z457="",0,Z457),"0")+IFERROR(IF(Z458="",0,Z458),"0")</f>
        <v>0.27507999999999999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72</v>
      </c>
      <c r="Q460" s="595"/>
      <c r="R460" s="595"/>
      <c r="S460" s="595"/>
      <c r="T460" s="595"/>
      <c r="U460" s="595"/>
      <c r="V460" s="596"/>
      <c r="W460" s="37" t="s">
        <v>70</v>
      </c>
      <c r="X460" s="575">
        <f>IFERROR(SUM(X456:X458),"0")</f>
        <v>120</v>
      </c>
      <c r="Y460" s="575">
        <f>IFERROR(SUM(Y456:Y458),"0")</f>
        <v>121.44000000000001</v>
      </c>
      <c r="Z460" s="37"/>
      <c r="AA460" s="576"/>
      <c r="AB460" s="576"/>
      <c r="AC460" s="576"/>
    </row>
    <row r="461" spans="1:68" ht="14.25" customHeight="1" x14ac:dyDescent="0.25">
      <c r="A461" s="589" t="s">
        <v>64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40</v>
      </c>
      <c r="Y462" s="574">
        <f t="shared" ref="Y462:Y468" si="75">IFERROR(IF(X462="",0,CEILING((X462/$H462),1)*$H462),"")</f>
        <v>42.24</v>
      </c>
      <c r="Z462" s="36">
        <f>IFERROR(IF(Y462=0,"",ROUNDUP(Y462/H462,0)*0.01196),"")</f>
        <v>9.5680000000000001E-2</v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42.727272727272727</v>
      </c>
      <c r="BN462" s="64">
        <f t="shared" ref="BN462:BN468" si="77">IFERROR(Y462*I462/H462,"0")</f>
        <v>45.12</v>
      </c>
      <c r="BO462" s="64">
        <f t="shared" ref="BO462:BO468" si="78">IFERROR(1/J462*(X462/H462),"0")</f>
        <v>7.2843822843822847E-2</v>
      </c>
      <c r="BP462" s="64">
        <f t="shared" ref="BP462:BP468" si="79">IFERROR(1/J462*(Y462/H462),"0")</f>
        <v>7.6923076923076927E-2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50</v>
      </c>
      <c r="Y463" s="574">
        <f t="shared" si="75"/>
        <v>52.800000000000004</v>
      </c>
      <c r="Z463" s="36">
        <f>IFERROR(IF(Y463=0,"",ROUNDUP(Y463/H463,0)*0.01196),"")</f>
        <v>0.1196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53.409090909090907</v>
      </c>
      <c r="BN463" s="64">
        <f t="shared" si="77"/>
        <v>56.400000000000006</v>
      </c>
      <c r="BO463" s="64">
        <f t="shared" si="78"/>
        <v>9.1054778554778545E-2</v>
      </c>
      <c r="BP463" s="64">
        <f t="shared" si="79"/>
        <v>9.6153846153846159E-2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100</v>
      </c>
      <c r="Y464" s="574">
        <f t="shared" si="75"/>
        <v>100.32000000000001</v>
      </c>
      <c r="Z464" s="36">
        <f>IFERROR(IF(Y464=0,"",ROUNDUP(Y464/H464,0)*0.01196),"")</f>
        <v>0.22724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106.81818181818181</v>
      </c>
      <c r="BN464" s="64">
        <f t="shared" si="77"/>
        <v>107.16</v>
      </c>
      <c r="BO464" s="64">
        <f t="shared" si="78"/>
        <v>0.18210955710955709</v>
      </c>
      <c r="BP464" s="64">
        <f t="shared" si="79"/>
        <v>0.18269230769230771</v>
      </c>
    </row>
    <row r="465" spans="1:68" ht="27" customHeight="1" x14ac:dyDescent="0.25">
      <c r="A465" s="54" t="s">
        <v>724</v>
      </c>
      <c r="B465" s="54" t="s">
        <v>725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724</v>
      </c>
      <c r="B466" s="54" t="s">
        <v>726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18</v>
      </c>
      <c r="Y467" s="574">
        <f t="shared" si="75"/>
        <v>19.2</v>
      </c>
      <c r="Z467" s="36">
        <f>IFERROR(IF(Y467=0,"",ROUNDUP(Y467/H467,0)*0.00902),"")</f>
        <v>3.6080000000000001E-2</v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25.087500000000002</v>
      </c>
      <c r="BN467" s="64">
        <f t="shared" si="77"/>
        <v>26.76</v>
      </c>
      <c r="BO467" s="64">
        <f t="shared" si="78"/>
        <v>2.8409090909090912E-2</v>
      </c>
      <c r="BP467" s="64">
        <f t="shared" si="79"/>
        <v>3.0303030303030304E-2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84</v>
      </c>
      <c r="Y468" s="574">
        <f t="shared" si="75"/>
        <v>86.399999999999991</v>
      </c>
      <c r="Z468" s="36">
        <f>IFERROR(IF(Y468=0,"",ROUNDUP(Y468/H468,0)*0.00902),"")</f>
        <v>0.16236</v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117.07500000000002</v>
      </c>
      <c r="BN468" s="64">
        <f t="shared" si="77"/>
        <v>120.42</v>
      </c>
      <c r="BO468" s="64">
        <f t="shared" si="78"/>
        <v>0.13257575757575757</v>
      </c>
      <c r="BP468" s="64">
        <f t="shared" si="79"/>
        <v>0.13636363636363635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72</v>
      </c>
      <c r="Q469" s="595"/>
      <c r="R469" s="595"/>
      <c r="S469" s="595"/>
      <c r="T469" s="595"/>
      <c r="U469" s="595"/>
      <c r="V469" s="596"/>
      <c r="W469" s="37" t="s">
        <v>73</v>
      </c>
      <c r="X469" s="575">
        <f>IFERROR(X462/H462,"0")+IFERROR(X463/H463,"0")+IFERROR(X464/H464,"0")+IFERROR(X465/H465,"0")+IFERROR(X466/H466,"0")+IFERROR(X467/H467,"0")+IFERROR(X468/H468,"0")</f>
        <v>57.234848484848484</v>
      </c>
      <c r="Y469" s="575">
        <f>IFERROR(Y462/H462,"0")+IFERROR(Y463/H463,"0")+IFERROR(Y464/H464,"0")+IFERROR(Y465/H465,"0")+IFERROR(Y466/H466,"0")+IFERROR(Y467/H467,"0")+IFERROR(Y468/H468,"0")</f>
        <v>59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0.64095999999999997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72</v>
      </c>
      <c r="Q470" s="595"/>
      <c r="R470" s="595"/>
      <c r="S470" s="595"/>
      <c r="T470" s="595"/>
      <c r="U470" s="595"/>
      <c r="V470" s="596"/>
      <c r="W470" s="37" t="s">
        <v>70</v>
      </c>
      <c r="X470" s="575">
        <f>IFERROR(SUM(X462:X468),"0")</f>
        <v>292</v>
      </c>
      <c r="Y470" s="575">
        <f>IFERROR(SUM(Y462:Y468),"0")</f>
        <v>300.95999999999998</v>
      </c>
      <c r="Z470" s="37"/>
      <c r="AA470" s="576"/>
      <c r="AB470" s="576"/>
      <c r="AC470" s="576"/>
    </row>
    <row r="471" spans="1:68" ht="14.25" customHeight="1" x14ac:dyDescent="0.25">
      <c r="A471" s="589" t="s">
        <v>74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731</v>
      </c>
      <c r="B472" s="54" t="s">
        <v>732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734</v>
      </c>
      <c r="B473" s="54" t="s">
        <v>735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737</v>
      </c>
      <c r="B474" s="54" t="s">
        <v>738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72</v>
      </c>
      <c r="Q475" s="595"/>
      <c r="R475" s="595"/>
      <c r="S475" s="595"/>
      <c r="T475" s="595"/>
      <c r="U475" s="595"/>
      <c r="V475" s="596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72</v>
      </c>
      <c r="Q476" s="595"/>
      <c r="R476" s="595"/>
      <c r="S476" s="595"/>
      <c r="T476" s="595"/>
      <c r="U476" s="595"/>
      <c r="V476" s="596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740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740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103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741</v>
      </c>
      <c r="B480" s="54" t="s">
        <v>742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8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0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0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20</v>
      </c>
      <c r="Y482" s="574">
        <f>IFERROR(IF(X482="",0,CEILING((X482/$H482),1)*$H482),"")</f>
        <v>24</v>
      </c>
      <c r="Z482" s="36">
        <f>IFERROR(IF(Y482=0,"",ROUNDUP(Y482/H482,0)*0.01898),"")</f>
        <v>3.7960000000000001E-2</v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20.725000000000001</v>
      </c>
      <c r="BN482" s="64">
        <f>IFERROR(Y482*I482/H482,"0")</f>
        <v>24.87</v>
      </c>
      <c r="BO482" s="64">
        <f>IFERROR(1/J482*(X482/H482),"0")</f>
        <v>2.6041666666666668E-2</v>
      </c>
      <c r="BP482" s="64">
        <f>IFERROR(1/J482*(Y482/H482),"0")</f>
        <v>3.125E-2</v>
      </c>
    </row>
    <row r="483" spans="1:68" ht="27" customHeight="1" x14ac:dyDescent="0.25">
      <c r="A483" s="54" t="s">
        <v>753</v>
      </c>
      <c r="B483" s="54" t="s">
        <v>754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5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72</v>
      </c>
      <c r="Q484" s="595"/>
      <c r="R484" s="595"/>
      <c r="S484" s="595"/>
      <c r="T484" s="595"/>
      <c r="U484" s="595"/>
      <c r="V484" s="596"/>
      <c r="W484" s="37" t="s">
        <v>73</v>
      </c>
      <c r="X484" s="575">
        <f>IFERROR(X480/H480,"0")+IFERROR(X481/H481,"0")+IFERROR(X482/H482,"0")+IFERROR(X483/H483,"0")</f>
        <v>1.6666666666666667</v>
      </c>
      <c r="Y484" s="575">
        <f>IFERROR(Y480/H480,"0")+IFERROR(Y481/H481,"0")+IFERROR(Y482/H482,"0")+IFERROR(Y483/H483,"0")</f>
        <v>2</v>
      </c>
      <c r="Z484" s="575">
        <f>IFERROR(IF(Z480="",0,Z480),"0")+IFERROR(IF(Z481="",0,Z481),"0")+IFERROR(IF(Z482="",0,Z482),"0")+IFERROR(IF(Z483="",0,Z483),"0")</f>
        <v>3.7960000000000001E-2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72</v>
      </c>
      <c r="Q485" s="595"/>
      <c r="R485" s="595"/>
      <c r="S485" s="595"/>
      <c r="T485" s="595"/>
      <c r="U485" s="595"/>
      <c r="V485" s="596"/>
      <c r="W485" s="37" t="s">
        <v>70</v>
      </c>
      <c r="X485" s="575">
        <f>IFERROR(SUM(X480:X483),"0")</f>
        <v>20</v>
      </c>
      <c r="Y485" s="575">
        <f>IFERROR(SUM(Y480:Y483),"0")</f>
        <v>24</v>
      </c>
      <c r="Z485" s="37"/>
      <c r="AA485" s="576"/>
      <c r="AB485" s="576"/>
      <c r="AC485" s="576"/>
    </row>
    <row r="486" spans="1:68" ht="14.25" customHeight="1" x14ac:dyDescent="0.25">
      <c r="A486" s="589" t="s">
        <v>137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756</v>
      </c>
      <c r="B487" s="54" t="s">
        <v>757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8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756</v>
      </c>
      <c r="B488" s="54" t="s">
        <v>760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50</v>
      </c>
      <c r="P488" s="830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763</v>
      </c>
      <c r="B489" s="54" t="s">
        <v>764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0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762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766</v>
      </c>
      <c r="B490" s="54" t="s">
        <v>767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5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72</v>
      </c>
      <c r="Q491" s="595"/>
      <c r="R491" s="595"/>
      <c r="S491" s="595"/>
      <c r="T491" s="595"/>
      <c r="U491" s="595"/>
      <c r="V491" s="596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72</v>
      </c>
      <c r="Q492" s="595"/>
      <c r="R492" s="595"/>
      <c r="S492" s="595"/>
      <c r="T492" s="595"/>
      <c r="U492" s="595"/>
      <c r="V492" s="596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64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770</v>
      </c>
      <c r="B494" s="54" t="s">
        <v>771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8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722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72</v>
      </c>
      <c r="Q496" s="595"/>
      <c r="R496" s="595"/>
      <c r="S496" s="595"/>
      <c r="T496" s="595"/>
      <c r="U496" s="595"/>
      <c r="V496" s="596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72</v>
      </c>
      <c r="Q497" s="595"/>
      <c r="R497" s="595"/>
      <c r="S497" s="595"/>
      <c r="T497" s="595"/>
      <c r="U497" s="595"/>
      <c r="V497" s="596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74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0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900</v>
      </c>
      <c r="Y499" s="574">
        <f>IFERROR(IF(X499="",0,CEILING((X499/$H499),1)*$H499),"")</f>
        <v>900</v>
      </c>
      <c r="Z499" s="36">
        <f>IFERROR(IF(Y499=0,"",ROUNDUP(Y499/H499,0)*0.01898),"")</f>
        <v>1.8980000000000001</v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951.90000000000009</v>
      </c>
      <c r="BN499" s="64">
        <f>IFERROR(Y499*I499/H499,"0")</f>
        <v>951.90000000000009</v>
      </c>
      <c r="BO499" s="64">
        <f>IFERROR(1/J499*(X499/H499),"0")</f>
        <v>1.5625</v>
      </c>
      <c r="BP499" s="64">
        <f>IFERROR(1/J499*(Y499/H499),"0")</f>
        <v>1.5625</v>
      </c>
    </row>
    <row r="500" spans="1:68" ht="27" customHeight="1" x14ac:dyDescent="0.25">
      <c r="A500" s="54" t="s">
        <v>782</v>
      </c>
      <c r="B500" s="54" t="s">
        <v>783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5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72</v>
      </c>
      <c r="Q501" s="595"/>
      <c r="R501" s="595"/>
      <c r="S501" s="595"/>
      <c r="T501" s="595"/>
      <c r="U501" s="595"/>
      <c r="V501" s="596"/>
      <c r="W501" s="37" t="s">
        <v>73</v>
      </c>
      <c r="X501" s="575">
        <f>IFERROR(X499/H499,"0")+IFERROR(X500/H500,"0")</f>
        <v>100</v>
      </c>
      <c r="Y501" s="575">
        <f>IFERROR(Y499/H499,"0")+IFERROR(Y500/H500,"0")</f>
        <v>100</v>
      </c>
      <c r="Z501" s="575">
        <f>IFERROR(IF(Z499="",0,Z499),"0")+IFERROR(IF(Z500="",0,Z500),"0")</f>
        <v>1.8980000000000001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72</v>
      </c>
      <c r="Q502" s="595"/>
      <c r="R502" s="595"/>
      <c r="S502" s="595"/>
      <c r="T502" s="595"/>
      <c r="U502" s="595"/>
      <c r="V502" s="596"/>
      <c r="W502" s="37" t="s">
        <v>70</v>
      </c>
      <c r="X502" s="575">
        <f>IFERROR(SUM(X499:X500),"0")</f>
        <v>900</v>
      </c>
      <c r="Y502" s="575">
        <f>IFERROR(SUM(Y499:Y500),"0")</f>
        <v>900</v>
      </c>
      <c r="Z502" s="37"/>
      <c r="AA502" s="576"/>
      <c r="AB502" s="576"/>
      <c r="AC502" s="576"/>
    </row>
    <row r="503" spans="1:68" ht="14.25" customHeight="1" x14ac:dyDescent="0.25">
      <c r="A503" s="589" t="s">
        <v>172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76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10</v>
      </c>
      <c r="Y504" s="574">
        <f>IFERROR(IF(X504="",0,CEILING((X504/$H504),1)*$H504),"")</f>
        <v>18</v>
      </c>
      <c r="Z504" s="36">
        <f>IFERROR(IF(Y504=0,"",ROUNDUP(Y504/H504,0)*0.01898),"")</f>
        <v>3.7960000000000001E-2</v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10.483333333333334</v>
      </c>
      <c r="BN504" s="64">
        <f>IFERROR(Y504*I504/H504,"0")</f>
        <v>18.87</v>
      </c>
      <c r="BO504" s="64">
        <f>IFERROR(1/J504*(X504/H504),"0")</f>
        <v>1.7361111111111112E-2</v>
      </c>
      <c r="BP504" s="64">
        <f>IFERROR(1/J504*(Y504/H504),"0")</f>
        <v>3.125E-2</v>
      </c>
    </row>
    <row r="505" spans="1:68" ht="27" customHeight="1" x14ac:dyDescent="0.25">
      <c r="A505" s="54" t="s">
        <v>789</v>
      </c>
      <c r="B505" s="54" t="s">
        <v>790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9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72</v>
      </c>
      <c r="Q506" s="595"/>
      <c r="R506" s="595"/>
      <c r="S506" s="595"/>
      <c r="T506" s="595"/>
      <c r="U506" s="595"/>
      <c r="V506" s="596"/>
      <c r="W506" s="37" t="s">
        <v>73</v>
      </c>
      <c r="X506" s="575">
        <f>IFERROR(X504/H504,"0")+IFERROR(X505/H505,"0")</f>
        <v>1.1111111111111112</v>
      </c>
      <c r="Y506" s="575">
        <f>IFERROR(Y504/H504,"0")+IFERROR(Y505/H505,"0")</f>
        <v>2</v>
      </c>
      <c r="Z506" s="575">
        <f>IFERROR(IF(Z504="",0,Z504),"0")+IFERROR(IF(Z505="",0,Z505),"0")</f>
        <v>3.7960000000000001E-2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72</v>
      </c>
      <c r="Q507" s="595"/>
      <c r="R507" s="595"/>
      <c r="S507" s="595"/>
      <c r="T507" s="595"/>
      <c r="U507" s="595"/>
      <c r="V507" s="596"/>
      <c r="W507" s="37" t="s">
        <v>70</v>
      </c>
      <c r="X507" s="575">
        <f>IFERROR(SUM(X504:X505),"0")</f>
        <v>10</v>
      </c>
      <c r="Y507" s="575">
        <f>IFERROR(SUM(Y504:Y505),"0")</f>
        <v>18</v>
      </c>
      <c r="Z507" s="37"/>
      <c r="AA507" s="576"/>
      <c r="AB507" s="576"/>
      <c r="AC507" s="576"/>
    </row>
    <row r="508" spans="1:68" ht="16.5" customHeight="1" x14ac:dyDescent="0.25">
      <c r="A508" s="591" t="s">
        <v>793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137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794</v>
      </c>
      <c r="B510" s="54" t="s">
        <v>795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6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72</v>
      </c>
      <c r="Q511" s="595"/>
      <c r="R511" s="595"/>
      <c r="S511" s="595"/>
      <c r="T511" s="595"/>
      <c r="U511" s="595"/>
      <c r="V511" s="596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72</v>
      </c>
      <c r="Q512" s="595"/>
      <c r="R512" s="595"/>
      <c r="S512" s="595"/>
      <c r="T512" s="595"/>
      <c r="U512" s="595"/>
      <c r="V512" s="596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798</v>
      </c>
      <c r="Q513" s="581"/>
      <c r="R513" s="581"/>
      <c r="S513" s="581"/>
      <c r="T513" s="581"/>
      <c r="U513" s="581"/>
      <c r="V513" s="582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17507.813000000002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17677.429999999997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799</v>
      </c>
      <c r="Q514" s="581"/>
      <c r="R514" s="581"/>
      <c r="S514" s="581"/>
      <c r="T514" s="581"/>
      <c r="U514" s="581"/>
      <c r="V514" s="582"/>
      <c r="W514" s="37" t="s">
        <v>70</v>
      </c>
      <c r="X514" s="575">
        <f>IFERROR(SUM(BM22:BM510),"0")</f>
        <v>18586.069519391658</v>
      </c>
      <c r="Y514" s="575">
        <f>IFERROR(SUM(BN22:BN510),"0")</f>
        <v>18766.527000000002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800</v>
      </c>
      <c r="Q515" s="581"/>
      <c r="R515" s="581"/>
      <c r="S515" s="581"/>
      <c r="T515" s="581"/>
      <c r="U515" s="581"/>
      <c r="V515" s="582"/>
      <c r="W515" s="37" t="s">
        <v>801</v>
      </c>
      <c r="X515" s="38">
        <f>ROUNDUP(SUM(BO22:BO510),0)</f>
        <v>32</v>
      </c>
      <c r="Y515" s="38">
        <f>ROUNDUP(SUM(BP22:BP510),0)</f>
        <v>32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802</v>
      </c>
      <c r="Q516" s="581"/>
      <c r="R516" s="581"/>
      <c r="S516" s="581"/>
      <c r="T516" s="581"/>
      <c r="U516" s="581"/>
      <c r="V516" s="582"/>
      <c r="W516" s="37" t="s">
        <v>70</v>
      </c>
      <c r="X516" s="575">
        <f>GrossWeightTotal+PalletQtyTotal*25</f>
        <v>19386.069519391658</v>
      </c>
      <c r="Y516" s="575">
        <f>GrossWeightTotalR+PalletQtyTotalR*25</f>
        <v>19566.527000000002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803</v>
      </c>
      <c r="Q517" s="581"/>
      <c r="R517" s="581"/>
      <c r="S517" s="581"/>
      <c r="T517" s="581"/>
      <c r="U517" s="581"/>
      <c r="V517" s="582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3748.1412057099992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3779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804</v>
      </c>
      <c r="Q518" s="581"/>
      <c r="R518" s="581"/>
      <c r="S518" s="581"/>
      <c r="T518" s="581"/>
      <c r="U518" s="581"/>
      <c r="V518" s="582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36.49653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598" t="s">
        <v>101</v>
      </c>
      <c r="D520" s="673"/>
      <c r="E520" s="673"/>
      <c r="F520" s="673"/>
      <c r="G520" s="673"/>
      <c r="H520" s="674"/>
      <c r="I520" s="598" t="s">
        <v>260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553</v>
      </c>
      <c r="U520" s="674"/>
      <c r="V520" s="598" t="s">
        <v>610</v>
      </c>
      <c r="W520" s="673"/>
      <c r="X520" s="673"/>
      <c r="Y520" s="674"/>
      <c r="Z520" s="570" t="s">
        <v>670</v>
      </c>
      <c r="AA520" s="598" t="s">
        <v>740</v>
      </c>
      <c r="AB520" s="674"/>
      <c r="AC520" s="52"/>
      <c r="AF520" s="571"/>
    </row>
    <row r="521" spans="1:32" ht="14.25" customHeight="1" thickTop="1" x14ac:dyDescent="0.2">
      <c r="A521" s="634" t="s">
        <v>807</v>
      </c>
      <c r="B521" s="598" t="s">
        <v>63</v>
      </c>
      <c r="C521" s="598" t="s">
        <v>102</v>
      </c>
      <c r="D521" s="598" t="s">
        <v>119</v>
      </c>
      <c r="E521" s="598" t="s">
        <v>179</v>
      </c>
      <c r="F521" s="598" t="s">
        <v>202</v>
      </c>
      <c r="G521" s="598" t="s">
        <v>235</v>
      </c>
      <c r="H521" s="598" t="s">
        <v>101</v>
      </c>
      <c r="I521" s="598" t="s">
        <v>261</v>
      </c>
      <c r="J521" s="598" t="s">
        <v>301</v>
      </c>
      <c r="K521" s="598" t="s">
        <v>362</v>
      </c>
      <c r="L521" s="598" t="s">
        <v>404</v>
      </c>
      <c r="M521" s="598" t="s">
        <v>420</v>
      </c>
      <c r="N521" s="571"/>
      <c r="O521" s="598" t="s">
        <v>433</v>
      </c>
      <c r="P521" s="598" t="s">
        <v>443</v>
      </c>
      <c r="Q521" s="598" t="s">
        <v>450</v>
      </c>
      <c r="R521" s="598" t="s">
        <v>455</v>
      </c>
      <c r="S521" s="598" t="s">
        <v>543</v>
      </c>
      <c r="T521" s="598" t="s">
        <v>554</v>
      </c>
      <c r="U521" s="598" t="s">
        <v>588</v>
      </c>
      <c r="V521" s="598" t="s">
        <v>611</v>
      </c>
      <c r="W521" s="598" t="s">
        <v>643</v>
      </c>
      <c r="X521" s="598" t="s">
        <v>662</v>
      </c>
      <c r="Y521" s="598" t="s">
        <v>666</v>
      </c>
      <c r="Z521" s="598" t="s">
        <v>670</v>
      </c>
      <c r="AA521" s="598" t="s">
        <v>740</v>
      </c>
      <c r="AB521" s="598" t="s">
        <v>793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468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924.90000000000009</v>
      </c>
      <c r="E523" s="46">
        <f>IFERROR(Y89*1,"0")+IFERROR(Y90*1,"0")+IFERROR(Y91*1,"0")+IFERROR(Y95*1,"0")+IFERROR(Y96*1,"0")+IFERROR(Y97*1,"0")+IFERROR(Y98*1,"0")+IFERROR(Y99*1,"0")+IFERROR(Y100*1,"0")</f>
        <v>1256.4000000000001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1750.8600000000001</v>
      </c>
      <c r="G523" s="46">
        <f>IFERROR(Y131*1,"0")+IFERROR(Y132*1,"0")+IFERROR(Y136*1,"0")+IFERROR(Y137*1,"0")+IFERROR(Y141*1,"0")+IFERROR(Y142*1,"0")</f>
        <v>178.4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670.74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2211.9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355.93000000000006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360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511.19999999999993</v>
      </c>
      <c r="S523" s="46">
        <f>IFERROR(Y340*1,"0")+IFERROR(Y341*1,"0")+IFERROR(Y342*1,"0")</f>
        <v>1121.4000000000001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5672</v>
      </c>
      <c r="U523" s="46">
        <f>IFERROR(Y373*1,"0")+IFERROR(Y374*1,"0")+IFERROR(Y375*1,"0")+IFERROR(Y376*1,"0")+IFERROR(Y380*1,"0")+IFERROR(Y384*1,"0")+IFERROR(Y385*1,"0")+IFERROR(Y389*1,"0")</f>
        <v>87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139.80000000000001</v>
      </c>
      <c r="W523" s="46">
        <f>IFERROR(Y414*1,"0")+IFERROR(Y415*1,"0")+IFERROR(Y419*1,"0")+IFERROR(Y420*1,"0")+IFERROR(Y421*1,"0")+IFERROR(Y422*1,"0")</f>
        <v>18.900000000000002</v>
      </c>
      <c r="X523" s="46">
        <f>IFERROR(Y427*1,"0")</f>
        <v>20.399999999999999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987.60000000000014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942</v>
      </c>
      <c r="AB523" s="46">
        <f>IFERROR(Y510*1,"0")</f>
        <v>0</v>
      </c>
      <c r="AC523" s="52"/>
      <c r="AF523" s="571"/>
    </row>
  </sheetData>
  <sheetProtection algorithmName="SHA-512" hashValue="Uzd+YTw3u9df6vEiFa+UpyEN+8j/vSP4UEvqscdXGhYhp24NQjiBahNG4zFhALNYAdw7Jgi6pL6KAyxAdzpeKA==" saltValue="Ja4pN8oYjq0t/ajaV+yq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3 X348:X350 X358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3" xr:uid="{00000000-0002-0000-0000-000012000000}">
      <formula1>IF(AK293&gt;0,OR(X293=0,AND(IF(X293-AK293&gt;=0,TRUE,FALSE),X293&gt;0,IF(X293/(H293*K293)=ROUND(X293/(H293*K293),0),TRUE,FALSE))),FALSE)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HYoQtDPmXeW/VWiTHKmmgrT0ZqMMWk86cEqtxiGetDnXC06NJjRahrsA9jFKOnUTi+cOOrrGkCB/+6AUMt5NwA==" saltValue="+Caj0inPdc1Bt76OilKN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2025-07-04T09:18:43Z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