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36C3748D-7DFD-4057-88AA-CBE0E9DC5C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5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Y214" i="1" s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Z197" i="1" s="1"/>
  <c r="Y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8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X281" i="1" s="1"/>
  <c r="BP22" i="1"/>
  <c r="BO22" i="1"/>
  <c r="X27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Y278" i="1" s="1"/>
  <c r="BN34" i="1"/>
  <c r="BP34" i="1"/>
  <c r="BN36" i="1"/>
  <c r="BN41" i="1"/>
  <c r="BP41" i="1"/>
  <c r="Y279" i="1" s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282" i="1" s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Y280" i="1" l="1"/>
  <c r="C290" i="1" s="1"/>
  <c r="A290" i="1"/>
  <c r="B290" i="1" l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<sst xmlns="http://schemas.openxmlformats.org/spreadsheetml/2006/main" count="1242" uniqueCount="405">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</sst>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4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0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90" t="str">
        <f>IFERROR(VLOOKUP($D$10,Proxy,2,FALSE),"")</f>
        <v/>
      </c>
      <c r="I10" s="282"/>
      <c r="J10" s="282"/>
      <c r="K10" s="282"/>
      <c r="L10" s="282"/>
      <c r="M10" s="282"/>
      <c r="N10" s="261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12</v>
      </c>
      <c r="Y37" s="270">
        <f>IFERROR(SUM(Y34:Y36),"0")</f>
        <v>12</v>
      </c>
      <c r="Z37" s="270">
        <f>IFERROR(IF(Z34="",0,Z34),"0")+IFERROR(IF(Z35="",0,Z35),"0")+IFERROR(IF(Z36="",0,Z36),"0")</f>
        <v>0.186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67.199999999999989</v>
      </c>
      <c r="Y38" s="270">
        <f>IFERROR(SUMPRODUCT(Y34:Y36*H34:H36),"0")</f>
        <v>67.199999999999989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48</v>
      </c>
      <c r="Y42" s="26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48</v>
      </c>
      <c r="Y45" s="270">
        <f>IFERROR(SUM(Y41:Y44),"0")</f>
        <v>48</v>
      </c>
      <c r="Z45" s="270">
        <f>IFERROR(IF(Z41="",0,Z41),"0")+IFERROR(IF(Z42="",0,Z42),"0")+IFERROR(IF(Z43="",0,Z43),"0")+IFERROR(IF(Z44="",0,Z44),"0")</f>
        <v>0.74399999999999999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336</v>
      </c>
      <c r="Y46" s="270">
        <f>IFERROR(SUMPRODUCT(Y41:Y44*H41:H44),"0")</f>
        <v>336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4"/>
      <c r="AB65" s="264"/>
      <c r="AC65" s="264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133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72</v>
      </c>
      <c r="Y74" s="26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72</v>
      </c>
      <c r="Y75" s="270">
        <f>IFERROR(SUM(Y73:Y74),"0")</f>
        <v>72</v>
      </c>
      <c r="Z75" s="270">
        <f>IFERROR(IF(Z73="",0,Z73),"0")+IFERROR(IF(Z74="",0,Z74),"0")</f>
        <v>0.62351999999999996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360</v>
      </c>
      <c r="Y76" s="270">
        <f>IFERROR(SUMPRODUCT(Y73:Y74*H73:H74),"0")</f>
        <v>360</v>
      </c>
      <c r="Z76" s="37"/>
      <c r="AA76" s="271"/>
      <c r="AB76" s="271"/>
      <c r="AC76" s="271"/>
    </row>
    <row r="77" spans="1:68" ht="16.5" customHeight="1" x14ac:dyDescent="0.25">
      <c r="A77" s="298" t="s">
        <v>140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98" t="s">
        <v>144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145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42</v>
      </c>
      <c r="Y84" s="26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14</v>
      </c>
      <c r="Y85" s="26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56</v>
      </c>
      <c r="Y86" s="270">
        <f>IFERROR(SUM(Y84:Y85),"0")</f>
        <v>56</v>
      </c>
      <c r="Z86" s="270">
        <f>IFERROR(IF(Z84="",0,Z84),"0")+IFERROR(IF(Z85="",0,Z85),"0")</f>
        <v>1.0012799999999999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201.60000000000002</v>
      </c>
      <c r="Y87" s="270">
        <f>IFERROR(SUMPRODUCT(Y84:Y85*H84:H85),"0")</f>
        <v>201.60000000000002</v>
      </c>
      <c r="Z87" s="37"/>
      <c r="AA87" s="271"/>
      <c r="AB87" s="271"/>
      <c r="AC87" s="271"/>
    </row>
    <row r="88" spans="1:68" ht="16.5" customHeight="1" x14ac:dyDescent="0.25">
      <c r="A88" s="298" t="s">
        <v>152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14</v>
      </c>
      <c r="Y92" s="269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14</v>
      </c>
      <c r="Y93" s="269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56</v>
      </c>
      <c r="Y96" s="270">
        <f>IFERROR(SUM(Y90:Y95),"0")</f>
        <v>56</v>
      </c>
      <c r="Z96" s="270">
        <f>IFERROR(IF(Z90="",0,Z90),"0")+IFERROR(IF(Z91="",0,Z91),"0")+IFERROR(IF(Z92="",0,Z92),"0")+IFERROR(IF(Z93="",0,Z93),"0")+IFERROR(IF(Z94="",0,Z94),"0")+IFERROR(IF(Z95="",0,Z95),"0")</f>
        <v>1.0012799999999999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174.72</v>
      </c>
      <c r="Y97" s="270">
        <f>IFERROR(SUMPRODUCT(Y90:Y95*H90:H95),"0")</f>
        <v>174.72</v>
      </c>
      <c r="Z97" s="37"/>
      <c r="AA97" s="271"/>
      <c r="AB97" s="271"/>
      <c r="AC97" s="271"/>
    </row>
    <row r="98" spans="1:68" ht="16.5" customHeight="1" x14ac:dyDescent="0.25">
      <c r="A98" s="298" t="s">
        <v>167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14</v>
      </c>
      <c r="Y100" s="26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14</v>
      </c>
      <c r="Y101" s="26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0.38135999999999998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80.64</v>
      </c>
      <c r="Y103" s="270">
        <f>IFERROR(SUMPRODUCT(Y100:Y101*H100:H101),"0")</f>
        <v>80.64</v>
      </c>
      <c r="Z103" s="37"/>
      <c r="AA103" s="271"/>
      <c r="AB103" s="271"/>
      <c r="AC103" s="271"/>
    </row>
    <row r="104" spans="1:68" ht="16.5" customHeight="1" x14ac:dyDescent="0.25">
      <c r="A104" s="298" t="s">
        <v>173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24</v>
      </c>
      <c r="Y110" s="26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48</v>
      </c>
      <c r="Y111" s="270">
        <f>IFERROR(SUM(Y106:Y110),"0")</f>
        <v>48</v>
      </c>
      <c r="Z111" s="270">
        <f>IFERROR(IF(Z106="",0,Z106),"0")+IFERROR(IF(Z107="",0,Z107),"0")+IFERROR(IF(Z108="",0,Z108),"0")+IFERROR(IF(Z109="",0,Z109),"0")+IFERROR(IF(Z110="",0,Z110),"0")</f>
        <v>0.74399999999999999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328.8</v>
      </c>
      <c r="Y112" s="270">
        <f>IFERROR(SUMPRODUCT(Y106:Y110*H106:H110),"0")</f>
        <v>328.8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0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1" t="s">
        <v>189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194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14</v>
      </c>
      <c r="Y123" s="269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51.850399999999993</v>
      </c>
      <c r="BN123" s="67">
        <f>IFERROR(Y123*I123,"0")</f>
        <v>51.850399999999993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28</v>
      </c>
      <c r="Y124" s="26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42</v>
      </c>
      <c r="Y125" s="270">
        <f>IFERROR(SUM(Y123:Y124),"0")</f>
        <v>42</v>
      </c>
      <c r="Z125" s="270">
        <f>IFERROR(IF(Z123="",0,Z123),"0")+IFERROR(IF(Z124="",0,Z124),"0")</f>
        <v>0.75095999999999996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126</v>
      </c>
      <c r="Y126" s="270">
        <f>IFERROR(SUMPRODUCT(Y123:Y124*H123:H124),"0")</f>
        <v>126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14</v>
      </c>
      <c r="Y131" s="270">
        <f>IFERROR(SUM(Y129:Y130),"0")</f>
        <v>14</v>
      </c>
      <c r="Z131" s="270">
        <f>IFERROR(IF(Z129="",0,Z129),"0")+IFERROR(IF(Z130="",0,Z130),"0")</f>
        <v>0.25031999999999999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42</v>
      </c>
      <c r="Y132" s="270">
        <f>IFERROR(SUMPRODUCT(Y129:Y130*H129:H130),"0")</f>
        <v>42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189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98</v>
      </c>
      <c r="Y156" s="269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98</v>
      </c>
      <c r="Y157" s="270">
        <f>IFERROR(SUM(Y156:Y156),"0")</f>
        <v>98</v>
      </c>
      <c r="Z157" s="270">
        <f>IFERROR(IF(Z156="",0,Z156),"0")</f>
        <v>0.92218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164.64</v>
      </c>
      <c r="Y158" s="270">
        <f>IFERROR(SUMPRODUCT(Y156:Y156*H156:H156),"0")</f>
        <v>164.64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168</v>
      </c>
      <c r="Y163" s="269">
        <f>IFERROR(IF(X163="","",X163),"")</f>
        <v>168</v>
      </c>
      <c r="Z163" s="36">
        <f>IFERROR(IF(X163="","",X163*0.00866),"")</f>
        <v>1.45488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875.81759999999997</v>
      </c>
      <c r="BN163" s="67">
        <f>IFERROR(Y163*I163,"0")</f>
        <v>875.81759999999997</v>
      </c>
      <c r="BO163" s="67">
        <f>IFERROR(X163/J163,"0")</f>
        <v>1.1666666666666667</v>
      </c>
      <c r="BP163" s="67">
        <f>IFERROR(Y163/J163,"0")</f>
        <v>1.1666666666666667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168</v>
      </c>
      <c r="Y164" s="270">
        <f>IFERROR(SUM(Y162:Y163),"0")</f>
        <v>168</v>
      </c>
      <c r="Z164" s="270">
        <f>IFERROR(IF(Z162="",0,Z162),"0")+IFERROR(IF(Z163="",0,Z163),"0")</f>
        <v>1.45488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840</v>
      </c>
      <c r="Y165" s="270">
        <f>IFERROR(SUMPRODUCT(Y162:Y163*H162:H163),"0")</f>
        <v>840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12</v>
      </c>
      <c r="Y194" s="269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12</v>
      </c>
      <c r="Y197" s="270">
        <f>IFERROR(SUM(Y193:Y196),"0")</f>
        <v>12</v>
      </c>
      <c r="Z197" s="270">
        <f>IFERROR(IF(Z193="",0,Z193),"0")+IFERROR(IF(Z194="",0,Z194),"0")+IFERROR(IF(Z195="",0,Z195),"0")+IFERROR(IF(Z196="",0,Z196),"0")</f>
        <v>0.186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86.4</v>
      </c>
      <c r="Y198" s="270">
        <f>IFERROR(SUMPRODUCT(Y193:Y196*H193:H196),"0")</f>
        <v>86.4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4"/>
      <c r="AB205" s="264"/>
      <c r="AC205" s="264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4"/>
      <c r="AB216" s="264"/>
      <c r="AC216" s="264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4"/>
      <c r="AB223" s="264"/>
      <c r="AC223" s="264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12</v>
      </c>
      <c r="Y230" s="269">
        <f>IFERROR(IF(X230="","",X230),"")</f>
        <v>12</v>
      </c>
      <c r="Z230" s="36">
        <f>IFERROR(IF(X230="","",X230*0.0155),"")</f>
        <v>0.186</v>
      </c>
      <c r="AA230" s="56"/>
      <c r="AB230" s="57"/>
      <c r="AC230" s="214" t="s">
        <v>238</v>
      </c>
      <c r="AG230" s="67"/>
      <c r="AJ230" s="71" t="s">
        <v>83</v>
      </c>
      <c r="AK230" s="71">
        <v>12</v>
      </c>
      <c r="BB230" s="215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12</v>
      </c>
      <c r="Y231" s="270">
        <f>IFERROR(SUM(Y230:Y230),"0")</f>
        <v>12</v>
      </c>
      <c r="Z231" s="270">
        <f>IFERROR(IF(Z230="",0,Z230),"0")</f>
        <v>0.186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60</v>
      </c>
      <c r="Y232" s="270">
        <f>IFERROR(SUMPRODUCT(Y230:Y230*H230:H230),"0")</f>
        <v>60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4"/>
      <c r="AB235" s="264"/>
      <c r="AC235" s="264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4"/>
      <c r="AB239" s="264"/>
      <c r="AC239" s="264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4"/>
      <c r="AB245" s="264"/>
      <c r="AC245" s="264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83</v>
      </c>
      <c r="AK247" s="71">
        <v>12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IFERROR(IF(X252="","",X252*0.0155),"")</f>
        <v>0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0</v>
      </c>
      <c r="Y254" s="270">
        <f>IFERROR(SUM(Y252:Y253),"0")</f>
        <v>0</v>
      </c>
      <c r="Z254" s="270">
        <f>IFERROR(IF(Z252="",0,Z252),"0")+IFERROR(IF(Z253="",0,Z253),"0")</f>
        <v>0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0</v>
      </c>
      <c r="Y255" s="270">
        <f>IFERROR(SUMPRODUCT(Y252:Y253*H252:H253),"0")</f>
        <v>0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48</v>
      </c>
      <c r="Y258" s="269">
        <f>IFERROR(IF(X258="","",X258),"")</f>
        <v>48</v>
      </c>
      <c r="Z258" s="36">
        <f>IFERROR(IF(X258="","",X258*0.0155),"")</f>
        <v>0.74399999999999999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251.28000000000003</v>
      </c>
      <c r="BN258" s="67">
        <f>IFERROR(Y258*I258,"0")</f>
        <v>251.28000000000003</v>
      </c>
      <c r="BO258" s="67">
        <f>IFERROR(X258/J258,"0")</f>
        <v>0.5714285714285714</v>
      </c>
      <c r="BP258" s="67">
        <f>IFERROR(Y258/J258,"0")</f>
        <v>0.5714285714285714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48</v>
      </c>
      <c r="Y260" s="270">
        <f>IFERROR(SUM(Y257:Y259),"0")</f>
        <v>48</v>
      </c>
      <c r="Z260" s="270">
        <f>IFERROR(IF(Z257="",0,Z257),"0")+IFERROR(IF(Z258="",0,Z258),"0")+IFERROR(IF(Z259="",0,Z259),"0")</f>
        <v>0.74399999999999999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240</v>
      </c>
      <c r="Y261" s="270">
        <f>IFERROR(SUMPRODUCT(Y257:Y259*H257:H259),"0")</f>
        <v>240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4"/>
      <c r="AB262" s="264"/>
      <c r="AC262" s="264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14</v>
      </c>
      <c r="Y264" s="269">
        <f t="shared" si="6"/>
        <v>14</v>
      </c>
      <c r="Z264" s="36">
        <f>IFERROR(IF(X264="","",X264*0.00936),"")</f>
        <v>0.13103999999999999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54.488</v>
      </c>
      <c r="BN264" s="67">
        <f t="shared" si="8"/>
        <v>54.488</v>
      </c>
      <c r="BO264" s="67">
        <f t="shared" si="9"/>
        <v>0.1111111111111111</v>
      </c>
      <c r="BP264" s="67">
        <f t="shared" si="10"/>
        <v>0.1111111111111111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1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14</v>
      </c>
      <c r="Y266" s="269">
        <f t="shared" si="6"/>
        <v>14</v>
      </c>
      <c r="Z266" s="36">
        <f t="shared" ref="Z266:Z271" si="11">IFERROR(IF(X266="","",X266*0.00936),"")</f>
        <v>0.13103999999999999</v>
      </c>
      <c r="AA266" s="56"/>
      <c r="AB266" s="57"/>
      <c r="AC266" s="242" t="s">
        <v>355</v>
      </c>
      <c r="AG266" s="67"/>
      <c r="AJ266" s="71" t="s">
        <v>72</v>
      </c>
      <c r="AK266" s="71">
        <v>1</v>
      </c>
      <c r="BB266" s="243" t="s">
        <v>84</v>
      </c>
      <c r="BM266" s="67">
        <f t="shared" si="7"/>
        <v>44.688000000000002</v>
      </c>
      <c r="BN266" s="67">
        <f t="shared" si="8"/>
        <v>44.688000000000002</v>
      </c>
      <c r="BO266" s="67">
        <f t="shared" si="9"/>
        <v>0.1111111111111111</v>
      </c>
      <c r="BP266" s="67">
        <f t="shared" si="10"/>
        <v>0.1111111111111111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72</v>
      </c>
      <c r="AK267" s="71">
        <v>1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6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28</v>
      </c>
      <c r="Y275" s="270">
        <f>IFERROR(SUM(Y263:Y274),"0")</f>
        <v>28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0.26207999999999998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93.800000000000011</v>
      </c>
      <c r="Y276" s="270">
        <f>IFERROR(SUMPRODUCT(Y263:Y274*H263:H274),"0")</f>
        <v>93.800000000000011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3534.44</v>
      </c>
      <c r="Y277" s="270">
        <f>IFERROR(Y24+Y31+Y38+Y46+Y51+Y55+Y59+Y64+Y70+Y76+Y81+Y87+Y97+Y103+Y112+Y116+Y120+Y126+Y132+Y138+Y143+Y148+Y153+Y158+Y165+Y173+Y177+Y183+Y190+Y198+Y203+Y208+Y214+Y220+Y226+Y232+Y238+Y242+Y250+Y255+Y261+Y276,"0")</f>
        <v>3534.44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3861.3819999999992</v>
      </c>
      <c r="Y278" s="270">
        <f>IFERROR(SUM(BN22:BN274),"0")</f>
        <v>3861.3819999999992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10</v>
      </c>
      <c r="Y279" s="38">
        <f>ROUNDUP(SUM(BP22:BP274),0)</f>
        <v>10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4111.3819999999996</v>
      </c>
      <c r="Y280" s="270">
        <f>GrossWeightTotalR+PalletQtyTotalR*25</f>
        <v>4111.3819999999996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854</v>
      </c>
      <c r="Y281" s="270">
        <f>IFERROR(Y23+Y30+Y37+Y45+Y50+Y54+Y58+Y63+Y69+Y75+Y80+Y86+Y96+Y102+Y111+Y115+Y119+Y125+Y131+Y137+Y142+Y147+Y152+Y157+Y164+Y172+Y176+Y182+Y189+Y197+Y202+Y207+Y213+Y219+Y225+Y231+Y237+Y241+Y249+Y254+Y260+Y275,"0")</f>
        <v>854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11.44042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7" t="s">
        <v>258</v>
      </c>
      <c r="X284" s="330"/>
      <c r="Y284" s="330"/>
      <c r="Z284" s="330"/>
      <c r="AA284" s="331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133</v>
      </c>
      <c r="H285" s="287" t="s">
        <v>140</v>
      </c>
      <c r="I285" s="287" t="s">
        <v>144</v>
      </c>
      <c r="J285" s="287" t="s">
        <v>152</v>
      </c>
      <c r="K285" s="287" t="s">
        <v>167</v>
      </c>
      <c r="L285" s="287" t="s">
        <v>173</v>
      </c>
      <c r="M285" s="287" t="s">
        <v>194</v>
      </c>
      <c r="N285" s="266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6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6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67.199999999999989</v>
      </c>
      <c r="E287" s="46">
        <f>IFERROR(X41*H41,"0")+IFERROR(X42*H42,"0")+IFERROR(X43*H43,"0")+IFERROR(X44*H44,"0")</f>
        <v>336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360</v>
      </c>
      <c r="H287" s="46">
        <f>IFERROR(X79*H79,"0")</f>
        <v>50.4</v>
      </c>
      <c r="I287" s="46">
        <f>IFERROR(X84*H84,"0")+IFERROR(X85*H85,"0")</f>
        <v>201.60000000000002</v>
      </c>
      <c r="J287" s="46">
        <f>IFERROR(X90*H90,"0")+IFERROR(X91*H91,"0")+IFERROR(X92*H92,"0")+IFERROR(X93*H93,"0")+IFERROR(X94*H94,"0")+IFERROR(X95*H95,"0")</f>
        <v>174.72</v>
      </c>
      <c r="K287" s="46">
        <f>IFERROR(X100*H100,"0")+IFERROR(X101*H101,"0")</f>
        <v>80.64</v>
      </c>
      <c r="L287" s="46">
        <f>IFERROR(X106*H106,"0")+IFERROR(X107*H107,"0")+IFERROR(X108*H108,"0")+IFERROR(X109*H109,"0")+IFERROR(X110*H110,"0")+IFERROR(X114*H114,"0")+IFERROR(X118*H118,"0")</f>
        <v>328.8</v>
      </c>
      <c r="M287" s="46">
        <f>IFERROR(X123*H123,"0")+IFERROR(X124*H124,"0")</f>
        <v>126</v>
      </c>
      <c r="N287" s="266"/>
      <c r="O287" s="46">
        <f>IFERROR(X129*H129,"0")+IFERROR(X130*H130,"0")</f>
        <v>42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164.64</v>
      </c>
      <c r="U287" s="46">
        <f>IFERROR(X162*H162,"0")+IFERROR(X163*H163,"0")</f>
        <v>840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</f>
        <v>86.4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60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333.8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2078.4</v>
      </c>
      <c r="B290" s="60">
        <f>SUMPRODUCT(--(BB:BB="ПГП"),--(W:W="кор"),H:H,Y:Y)+SUMPRODUCT(--(BB:BB="ПГП"),--(W:W="кг"),Y:Y)</f>
        <v>1456.04</v>
      </c>
      <c r="C290" s="60">
        <f>SUMPRODUCT(--(BB:BB="КИЗ"),--(W:W="кор"),H:H,Y:Y)+SUMPRODUCT(--(BB:BB="КИЗ"),--(W:W="кг"),Y:Y)</f>
        <v>0</v>
      </c>
    </row>
  </sheetData>
  <sheetProtection algorithmName="SHA-512" hashValue="VyzCzboVWJ9xujnc0WbotZjpGPAsvMa/XvpPeNJliCCVbUM5TdtdvsW1PfKcPwAov5IXd+wzV/xmMztKFQTHMA==" saltValue="t4WEpaZG/6xhOpgYJ0C0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X285:X286"/>
    <mergeCell ref="Z285:Z286"/>
    <mergeCell ref="P263:T263"/>
    <mergeCell ref="D171:E171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266:E266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P285:P286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247:T247"/>
    <mergeCell ref="P114:T114"/>
    <mergeCell ref="D84:E84"/>
    <mergeCell ref="P41:T41"/>
    <mergeCell ref="D22:E22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P261:V261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A65:Z65"/>
    <mergeCell ref="A45:O46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4 X118 X135:X136 X146 X151 X162 X175 X185:X188 X193:X196 X206 X210:X212 X217:X218 X224 X236 X240 X246 X253 X259 X263 X266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23 X129:X130 X141 X156 X163 X169:X171 X181 X201 X230 X247:X248 X252 X257:X258 X264:X26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ux/SUQuQDodfZMN+5tC0Zwcpq5OIyXLE/nY29ziNSXJMqohEz8+CNxQA7SJ6jzgN/i9nbBX3QoWLFpBlSUSGoQ==" saltValue="gYczbUZuVrRMQ5vfoLKD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