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B1B94980-14AE-4E54-9996-6B56B5279F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Y374" i="1" s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Y317" i="1" s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Y249" i="1"/>
  <c r="X249" i="1"/>
  <c r="X248" i="1"/>
  <c r="BP247" i="1"/>
  <c r="BO247" i="1"/>
  <c r="BN247" i="1"/>
  <c r="BM247" i="1"/>
  <c r="Z247" i="1"/>
  <c r="Z248" i="1" s="1"/>
  <c r="Y247" i="1"/>
  <c r="Y248" i="1" s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K567" i="1" s="1"/>
  <c r="P231" i="1"/>
  <c r="X228" i="1"/>
  <c r="X227" i="1"/>
  <c r="BO226" i="1"/>
  <c r="BM226" i="1"/>
  <c r="Y226" i="1"/>
  <c r="Y228" i="1" s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67" i="1" s="1"/>
  <c r="P192" i="1"/>
  <c r="X189" i="1"/>
  <c r="X188" i="1"/>
  <c r="BO187" i="1"/>
  <c r="BM187" i="1"/>
  <c r="Y187" i="1"/>
  <c r="Y189" i="1" s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I567" i="1" s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H567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Y125" i="1" s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N96" i="1"/>
  <c r="BM96" i="1"/>
  <c r="Z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1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X560" i="1" s="1"/>
  <c r="Y22" i="1"/>
  <c r="B567" i="1" s="1"/>
  <c r="P22" i="1"/>
  <c r="H10" i="1"/>
  <c r="A9" i="1"/>
  <c r="F10" i="1" s="1"/>
  <c r="D7" i="1"/>
  <c r="Q6" i="1"/>
  <c r="P2" i="1"/>
  <c r="H9" i="1" l="1"/>
  <c r="A10" i="1"/>
  <c r="Y28" i="1"/>
  <c r="Y42" i="1"/>
  <c r="Y46" i="1"/>
  <c r="Y55" i="1"/>
  <c r="Y63" i="1"/>
  <c r="Y69" i="1"/>
  <c r="Y77" i="1"/>
  <c r="Y83" i="1"/>
  <c r="Y90" i="1"/>
  <c r="BP98" i="1"/>
  <c r="BN98" i="1"/>
  <c r="Z98" i="1"/>
  <c r="BP107" i="1"/>
  <c r="BN107" i="1"/>
  <c r="Z107" i="1"/>
  <c r="Y114" i="1"/>
  <c r="BP111" i="1"/>
  <c r="BN111" i="1"/>
  <c r="Z111" i="1"/>
  <c r="BP119" i="1"/>
  <c r="BN119" i="1"/>
  <c r="Z119" i="1"/>
  <c r="BP123" i="1"/>
  <c r="BN123" i="1"/>
  <c r="Z123" i="1"/>
  <c r="Y129" i="1"/>
  <c r="Y130" i="1"/>
  <c r="BP127" i="1"/>
  <c r="BN127" i="1"/>
  <c r="Z127" i="1"/>
  <c r="Z129" i="1" s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Y100" i="1"/>
  <c r="BP105" i="1"/>
  <c r="BN105" i="1"/>
  <c r="Z105" i="1"/>
  <c r="Z108" i="1" s="1"/>
  <c r="BP113" i="1"/>
  <c r="BN113" i="1"/>
  <c r="Z113" i="1"/>
  <c r="Y115" i="1"/>
  <c r="Y124" i="1"/>
  <c r="BP117" i="1"/>
  <c r="BN117" i="1"/>
  <c r="Z117" i="1"/>
  <c r="BP121" i="1"/>
  <c r="BN121" i="1"/>
  <c r="Z121" i="1"/>
  <c r="F567" i="1"/>
  <c r="Y108" i="1"/>
  <c r="G567" i="1"/>
  <c r="Z134" i="1"/>
  <c r="Z135" i="1" s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Z156" i="1" s="1"/>
  <c r="BN153" i="1"/>
  <c r="BP153" i="1"/>
  <c r="Z155" i="1"/>
  <c r="BN155" i="1"/>
  <c r="Y156" i="1"/>
  <c r="Z159" i="1"/>
  <c r="Z160" i="1" s="1"/>
  <c r="BN159" i="1"/>
  <c r="BP159" i="1"/>
  <c r="Y160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Y178" i="1"/>
  <c r="Z187" i="1"/>
  <c r="Z188" i="1" s="1"/>
  <c r="BN187" i="1"/>
  <c r="BP187" i="1"/>
  <c r="Y188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Z222" i="1" s="1"/>
  <c r="BN214" i="1"/>
  <c r="BP214" i="1"/>
  <c r="Z216" i="1"/>
  <c r="BN216" i="1"/>
  <c r="Z218" i="1"/>
  <c r="BN218" i="1"/>
  <c r="Z220" i="1"/>
  <c r="BN220" i="1"/>
  <c r="Z226" i="1"/>
  <c r="Z227" i="1" s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BP243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Z345" i="1"/>
  <c r="BP343" i="1"/>
  <c r="BN343" i="1"/>
  <c r="Z343" i="1"/>
  <c r="Y352" i="1"/>
  <c r="BP360" i="1"/>
  <c r="BN360" i="1"/>
  <c r="Z360" i="1"/>
  <c r="Z362" i="1" s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Y151" i="1"/>
  <c r="Y167" i="1"/>
  <c r="Y194" i="1"/>
  <c r="Y239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Z317" i="1" s="1"/>
  <c r="BP315" i="1"/>
  <c r="BN315" i="1"/>
  <c r="Z315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Z351" i="1"/>
  <c r="BP349" i="1"/>
  <c r="BN349" i="1"/>
  <c r="Z349" i="1"/>
  <c r="BP368" i="1"/>
  <c r="BN368" i="1"/>
  <c r="Z368" i="1"/>
  <c r="BP372" i="1"/>
  <c r="BN372" i="1"/>
  <c r="Z372" i="1"/>
  <c r="Z374" i="1" s="1"/>
  <c r="BP393" i="1"/>
  <c r="BN393" i="1"/>
  <c r="Z393" i="1"/>
  <c r="Z397" i="1" s="1"/>
  <c r="Y397" i="1"/>
  <c r="Z438" i="1"/>
  <c r="Y409" i="1"/>
  <c r="Y413" i="1"/>
  <c r="X567" i="1"/>
  <c r="Y427" i="1"/>
  <c r="BP437" i="1"/>
  <c r="BN437" i="1"/>
  <c r="Z437" i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BP522" i="1"/>
  <c r="BN522" i="1"/>
  <c r="Z522" i="1"/>
  <c r="BP524" i="1"/>
  <c r="BN524" i="1"/>
  <c r="Z524" i="1"/>
  <c r="Y526" i="1"/>
  <c r="Y535" i="1"/>
  <c r="BP533" i="1"/>
  <c r="BN533" i="1"/>
  <c r="Z533" i="1"/>
  <c r="Y536" i="1"/>
  <c r="Q567" i="1"/>
  <c r="Y567" i="1"/>
  <c r="Y266" i="1"/>
  <c r="Y288" i="1"/>
  <c r="R567" i="1"/>
  <c r="Y302" i="1"/>
  <c r="Y357" i="1"/>
  <c r="V567" i="1"/>
  <c r="Y375" i="1"/>
  <c r="W567" i="1"/>
  <c r="Z395" i="1"/>
  <c r="BN395" i="1"/>
  <c r="Y398" i="1"/>
  <c r="Z405" i="1"/>
  <c r="Z408" i="1" s="1"/>
  <c r="BN405" i="1"/>
  <c r="Z407" i="1"/>
  <c r="BN407" i="1"/>
  <c r="Z411" i="1"/>
  <c r="Z412" i="1" s="1"/>
  <c r="BN411" i="1"/>
  <c r="BP411" i="1"/>
  <c r="Z417" i="1"/>
  <c r="Z427" i="1" s="1"/>
  <c r="BN417" i="1"/>
  <c r="BP417" i="1"/>
  <c r="Z419" i="1"/>
  <c r="BN419" i="1"/>
  <c r="Z421" i="1"/>
  <c r="BN421" i="1"/>
  <c r="Z423" i="1"/>
  <c r="BN423" i="1"/>
  <c r="BP424" i="1"/>
  <c r="BN424" i="1"/>
  <c r="BP426" i="1"/>
  <c r="BN426" i="1"/>
  <c r="Z426" i="1"/>
  <c r="Y428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Z499" i="1" s="1"/>
  <c r="BP495" i="1"/>
  <c r="BN495" i="1"/>
  <c r="Z495" i="1"/>
  <c r="Y499" i="1"/>
  <c r="BP503" i="1"/>
  <c r="BN503" i="1"/>
  <c r="Z503" i="1"/>
  <c r="Z505" i="1" s="1"/>
  <c r="Y505" i="1"/>
  <c r="AC567" i="1"/>
  <c r="Z567" i="1"/>
  <c r="Y451" i="1"/>
  <c r="Z487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535" i="1" l="1"/>
  <c r="Z445" i="1"/>
  <c r="Y558" i="1"/>
  <c r="Z525" i="1"/>
  <c r="Z481" i="1"/>
  <c r="Z332" i="1"/>
  <c r="Z274" i="1"/>
  <c r="Z324" i="1"/>
  <c r="Z239" i="1"/>
  <c r="Z210" i="1"/>
  <c r="Z124" i="1"/>
  <c r="Z100" i="1"/>
  <c r="Z89" i="1"/>
  <c r="Z68" i="1"/>
  <c r="Z55" i="1"/>
  <c r="Y557" i="1"/>
  <c r="Y559" i="1"/>
  <c r="Z28" i="1"/>
  <c r="Z114" i="1"/>
  <c r="Y561" i="1"/>
  <c r="Z562" i="1" l="1"/>
  <c r="Y560" i="1"/>
</calcChain>
</file>

<file path=xl/sharedStrings.xml><?xml version="1.0" encoding="utf-8"?>
<sst xmlns="http://schemas.openxmlformats.org/spreadsheetml/2006/main" count="2495" uniqueCount="876">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</sst>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7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45788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Воскресенье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20</v>
      </c>
      <c r="Q8" s="757">
        <v>0.375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21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22</v>
      </c>
      <c r="Q10" s="803"/>
      <c r="R10" s="804"/>
      <c r="U10" s="24" t="s">
        <v>23</v>
      </c>
      <c r="V10" s="667" t="s">
        <v>24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5"/>
      <c r="R11" s="746"/>
      <c r="U11" s="24" t="s">
        <v>27</v>
      </c>
      <c r="V11" s="896" t="s">
        <v>28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30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32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35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69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69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69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69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69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69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37" t="s">
        <v>87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37" t="s">
        <v>69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69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37" t="s">
        <v>87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37" t="s">
        <v>69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69</v>
      </c>
      <c r="X37" s="615">
        <v>200</v>
      </c>
      <c r="Y37" s="616">
        <f>IFERROR(IF(X37="",0,CEILING((X37/$H37),1)*$H37),"")</f>
        <v>205.20000000000002</v>
      </c>
      <c r="Z37" s="36">
        <f>IFERROR(IF(Y37=0,"",ROUNDUP(Y37/H37,0)*0.01898),"")</f>
        <v>0.36062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208.05555555555554</v>
      </c>
      <c r="BN37" s="64">
        <f>IFERROR(Y37*I37/H37,"0")</f>
        <v>213.46499999999997</v>
      </c>
      <c r="BO37" s="64">
        <f>IFERROR(1/J37*(X37/H37),"0")</f>
        <v>0.28935185185185186</v>
      </c>
      <c r="BP37" s="64">
        <f>IFERROR(1/J37*(Y37/H37),"0")</f>
        <v>0.296875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69</v>
      </c>
      <c r="X38" s="615">
        <v>320</v>
      </c>
      <c r="Y38" s="616">
        <f>IFERROR(IF(X38="",0,CEILING((X38/$H38),1)*$H38),"")</f>
        <v>320</v>
      </c>
      <c r="Z38" s="36">
        <f>IFERROR(IF(Y38=0,"",ROUNDUP(Y38/H38,0)*0.00902),"")</f>
        <v>0.72160000000000002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336.8</v>
      </c>
      <c r="BN38" s="64">
        <f>IFERROR(Y38*I38/H38,"0")</f>
        <v>336.8</v>
      </c>
      <c r="BO38" s="64">
        <f>IFERROR(1/J38*(X38/H38),"0")</f>
        <v>0.60606060606060608</v>
      </c>
      <c r="BP38" s="64">
        <f>IFERROR(1/J38*(Y38/H38),"0")</f>
        <v>0.60606060606060608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69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69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37" t="s">
        <v>87</v>
      </c>
      <c r="X41" s="617">
        <f>IFERROR(X37/H37,"0")+IFERROR(X38/H38,"0")+IFERROR(X39/H39,"0")+IFERROR(X40/H40,"0")</f>
        <v>98.518518518518519</v>
      </c>
      <c r="Y41" s="617">
        <f>IFERROR(Y37/H37,"0")+IFERROR(Y38/H38,"0")+IFERROR(Y39/H39,"0")+IFERROR(Y40/H40,"0")</f>
        <v>99</v>
      </c>
      <c r="Z41" s="617">
        <f>IFERROR(IF(Z37="",0,Z37),"0")+IFERROR(IF(Z38="",0,Z38),"0")+IFERROR(IF(Z39="",0,Z39),"0")+IFERROR(IF(Z40="",0,Z40),"0")</f>
        <v>1.08222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37" t="s">
        <v>69</v>
      </c>
      <c r="X42" s="617">
        <f>IFERROR(SUM(X37:X40),"0")</f>
        <v>520</v>
      </c>
      <c r="Y42" s="617">
        <f>IFERROR(SUM(Y37:Y40),"0")</f>
        <v>525.20000000000005</v>
      </c>
      <c r="Z42" s="37"/>
      <c r="AA42" s="618"/>
      <c r="AB42" s="618"/>
      <c r="AC42" s="618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69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37" t="s">
        <v>87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37" t="s">
        <v>69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69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99</v>
      </c>
      <c r="L50" s="32" t="s">
        <v>105</v>
      </c>
      <c r="M50" s="33" t="s">
        <v>100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69</v>
      </c>
      <c r="X50" s="615">
        <v>120</v>
      </c>
      <c r="Y50" s="616">
        <f t="shared" si="6"/>
        <v>129.60000000000002</v>
      </c>
      <c r="Z50" s="36">
        <f>IFERROR(IF(Y50=0,"",ROUNDUP(Y50/H50,0)*0.01898),"")</f>
        <v>0.22776000000000002</v>
      </c>
      <c r="AA50" s="56"/>
      <c r="AB50" s="57"/>
      <c r="AC50" s="95" t="s">
        <v>122</v>
      </c>
      <c r="AG50" s="64"/>
      <c r="AJ50" s="68" t="s">
        <v>107</v>
      </c>
      <c r="AK50" s="68">
        <v>691.2</v>
      </c>
      <c r="BB50" s="96" t="s">
        <v>1</v>
      </c>
      <c r="BM50" s="64">
        <f t="shared" si="7"/>
        <v>124.83333333333331</v>
      </c>
      <c r="BN50" s="64">
        <f t="shared" si="8"/>
        <v>134.82000000000002</v>
      </c>
      <c r="BO50" s="64">
        <f t="shared" si="9"/>
        <v>0.1736111111111111</v>
      </c>
      <c r="BP50" s="64">
        <f t="shared" si="10"/>
        <v>0.18750000000000003</v>
      </c>
    </row>
    <row r="51" spans="1:68" ht="27" customHeight="1" x14ac:dyDescent="0.25">
      <c r="A51" s="54" t="s">
        <v>123</v>
      </c>
      <c r="B51" s="54" t="s">
        <v>124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69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126</v>
      </c>
      <c r="B52" s="54" t="s">
        <v>127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69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69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104</v>
      </c>
      <c r="L54" s="32" t="s">
        <v>105</v>
      </c>
      <c r="M54" s="33" t="s">
        <v>100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69</v>
      </c>
      <c r="X54" s="615">
        <v>495</v>
      </c>
      <c r="Y54" s="616">
        <f t="shared" si="6"/>
        <v>495</v>
      </c>
      <c r="Z54" s="36">
        <f>IFERROR(IF(Y54=0,"",ROUNDUP(Y54/H54,0)*0.00902),"")</f>
        <v>0.99219999999999997</v>
      </c>
      <c r="AA54" s="56"/>
      <c r="AB54" s="57"/>
      <c r="AC54" s="103" t="s">
        <v>134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518.09999999999991</v>
      </c>
      <c r="BN54" s="64">
        <f t="shared" si="8"/>
        <v>518.09999999999991</v>
      </c>
      <c r="BO54" s="64">
        <f t="shared" si="9"/>
        <v>0.83333333333333337</v>
      </c>
      <c r="BP54" s="64">
        <f t="shared" si="10"/>
        <v>0.83333333333333337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37" t="s">
        <v>87</v>
      </c>
      <c r="X55" s="617">
        <f>IFERROR(X49/H49,"0")+IFERROR(X50/H50,"0")+IFERROR(X51/H51,"0")+IFERROR(X52/H52,"0")+IFERROR(X53/H53,"0")+IFERROR(X54/H54,"0")</f>
        <v>121.11111111111111</v>
      </c>
      <c r="Y55" s="617">
        <f>IFERROR(Y49/H49,"0")+IFERROR(Y50/H50,"0")+IFERROR(Y51/H51,"0")+IFERROR(Y52/H52,"0")+IFERROR(Y53/H53,"0")+IFERROR(Y54/H54,"0")</f>
        <v>122</v>
      </c>
      <c r="Z55" s="617">
        <f>IFERROR(IF(Z49="",0,Z49),"0")+IFERROR(IF(Z50="",0,Z50),"0")+IFERROR(IF(Z51="",0,Z51),"0")+IFERROR(IF(Z52="",0,Z52),"0")+IFERROR(IF(Z53="",0,Z53),"0")+IFERROR(IF(Z54="",0,Z54),"0")</f>
        <v>1.2199599999999999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37" t="s">
        <v>69</v>
      </c>
      <c r="X56" s="617">
        <f>IFERROR(SUM(X49:X54),"0")</f>
        <v>615</v>
      </c>
      <c r="Y56" s="617">
        <f>IFERROR(SUM(Y49:Y54),"0")</f>
        <v>624.6</v>
      </c>
      <c r="Z56" s="37"/>
      <c r="AA56" s="618"/>
      <c r="AB56" s="618"/>
      <c r="AC56" s="618"/>
    </row>
    <row r="57" spans="1:68" ht="14.25" customHeight="1" x14ac:dyDescent="0.25">
      <c r="A57" s="639" t="s">
        <v>135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69</v>
      </c>
      <c r="X58" s="615">
        <v>80</v>
      </c>
      <c r="Y58" s="616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83.222222222222214</v>
      </c>
      <c r="BN58" s="64">
        <f>IFERROR(Y58*I58/H58,"0")</f>
        <v>89.88</v>
      </c>
      <c r="BO58" s="64">
        <f>IFERROR(1/J58*(X58/H58),"0")</f>
        <v>0.11574074074074073</v>
      </c>
      <c r="BP58" s="64">
        <f>IFERROR(1/J58*(Y58/H58),"0")</f>
        <v>0.125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69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69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67</v>
      </c>
      <c r="L61" s="32" t="s">
        <v>105</v>
      </c>
      <c r="M61" s="33" t="s">
        <v>100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69</v>
      </c>
      <c r="X61" s="615">
        <v>135</v>
      </c>
      <c r="Y61" s="616">
        <f>IFERROR(IF(X61="",0,CEILING((X61/$H61),1)*$H61),"")</f>
        <v>135</v>
      </c>
      <c r="Z61" s="36">
        <f>IFERROR(IF(Y61=0,"",ROUNDUP(Y61/H61,0)*0.00651),"")</f>
        <v>0.32550000000000001</v>
      </c>
      <c r="AA61" s="56"/>
      <c r="AB61" s="57"/>
      <c r="AC61" s="111" t="s">
        <v>138</v>
      </c>
      <c r="AG61" s="64"/>
      <c r="AJ61" s="68" t="s">
        <v>107</v>
      </c>
      <c r="AK61" s="68">
        <v>491.4</v>
      </c>
      <c r="BB61" s="112" t="s">
        <v>1</v>
      </c>
      <c r="BM61" s="64">
        <f>IFERROR(X61*I61/H61,"0")</f>
        <v>144</v>
      </c>
      <c r="BN61" s="64">
        <f>IFERROR(Y61*I61/H61,"0")</f>
        <v>144</v>
      </c>
      <c r="BO61" s="64">
        <f>IFERROR(1/J61*(X61/H61),"0")</f>
        <v>0.27472527472527475</v>
      </c>
      <c r="BP61" s="64">
        <f>IFERROR(1/J61*(Y61/H61),"0")</f>
        <v>0.27472527472527475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37" t="s">
        <v>87</v>
      </c>
      <c r="X62" s="617">
        <f>IFERROR(X58/H58,"0")+IFERROR(X59/H59,"0")+IFERROR(X60/H60,"0")+IFERROR(X61/H61,"0")</f>
        <v>57.407407407407405</v>
      </c>
      <c r="Y62" s="617">
        <f>IFERROR(Y58/H58,"0")+IFERROR(Y59/H59,"0")+IFERROR(Y60/H60,"0")+IFERROR(Y61/H61,"0")</f>
        <v>58</v>
      </c>
      <c r="Z62" s="617">
        <f>IFERROR(IF(Z58="",0,Z58),"0")+IFERROR(IF(Z59="",0,Z59),"0")+IFERROR(IF(Z60="",0,Z60),"0")+IFERROR(IF(Z61="",0,Z61),"0")</f>
        <v>0.47733999999999999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37" t="s">
        <v>69</v>
      </c>
      <c r="X63" s="617">
        <f>IFERROR(SUM(X58:X61),"0")</f>
        <v>215</v>
      </c>
      <c r="Y63" s="617">
        <f>IFERROR(SUM(Y58:Y61),"0")</f>
        <v>221.4</v>
      </c>
      <c r="Z63" s="37"/>
      <c r="AA63" s="618"/>
      <c r="AB63" s="618"/>
      <c r="AC63" s="618"/>
    </row>
    <row r="64" spans="1:68" ht="14.25" customHeight="1" x14ac:dyDescent="0.25">
      <c r="A64" s="639" t="s">
        <v>146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69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69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69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37" t="s">
        <v>87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37" t="s">
        <v>69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69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69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163</v>
      </c>
      <c r="B73" s="54" t="s">
        <v>164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69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69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69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170</v>
      </c>
      <c r="B76" s="54" t="s">
        <v>171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69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37" t="s">
        <v>87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37" t="s">
        <v>69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172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173</v>
      </c>
      <c r="B80" s="54" t="s">
        <v>174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69</v>
      </c>
      <c r="X80" s="615">
        <v>30</v>
      </c>
      <c r="Y80" s="616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31.673076923076923</v>
      </c>
      <c r="BN80" s="64">
        <f>IFERROR(Y80*I80/H80,"0")</f>
        <v>32.94</v>
      </c>
      <c r="BO80" s="64">
        <f>IFERROR(1/J80*(X80/H80),"0")</f>
        <v>6.0096153846153848E-2</v>
      </c>
      <c r="BP80" s="64">
        <f>IFERROR(1/J80*(Y80/H80),"0")</f>
        <v>6.25E-2</v>
      </c>
    </row>
    <row r="81" spans="1:68" ht="27" customHeight="1" x14ac:dyDescent="0.25">
      <c r="A81" s="54" t="s">
        <v>176</v>
      </c>
      <c r="B81" s="54" t="s">
        <v>177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69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37" t="s">
        <v>87</v>
      </c>
      <c r="X82" s="617">
        <f>IFERROR(X80/H80,"0")+IFERROR(X81/H81,"0")</f>
        <v>3.8461538461538463</v>
      </c>
      <c r="Y82" s="617">
        <f>IFERROR(Y80/H80,"0")+IFERROR(Y81/H81,"0")</f>
        <v>4</v>
      </c>
      <c r="Z82" s="617">
        <f>IFERROR(IF(Z80="",0,Z80),"0")+IFERROR(IF(Z81="",0,Z81),"0")</f>
        <v>7.5920000000000001E-2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37" t="s">
        <v>69</v>
      </c>
      <c r="X83" s="617">
        <f>IFERROR(SUM(X80:X81),"0")</f>
        <v>30</v>
      </c>
      <c r="Y83" s="617">
        <f>IFERROR(SUM(Y80:Y81),"0")</f>
        <v>31.2</v>
      </c>
      <c r="Z83" s="37"/>
      <c r="AA83" s="618"/>
      <c r="AB83" s="618"/>
      <c r="AC83" s="618"/>
    </row>
    <row r="84" spans="1:68" ht="16.5" customHeight="1" x14ac:dyDescent="0.25">
      <c r="A84" s="636" t="s">
        <v>179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69</v>
      </c>
      <c r="X86" s="615">
        <v>130</v>
      </c>
      <c r="Y86" s="616">
        <f>IFERROR(IF(X86="",0,CEILING((X86/$H86),1)*$H86),"")</f>
        <v>140.4</v>
      </c>
      <c r="Z86" s="36">
        <f>IFERROR(IF(Y86=0,"",ROUNDUP(Y86/H86,0)*0.01898),"")</f>
        <v>0.24674000000000001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135.23611111111109</v>
      </c>
      <c r="BN86" s="64">
        <f>IFERROR(Y86*I86/H86,"0")</f>
        <v>146.05499999999998</v>
      </c>
      <c r="BO86" s="64">
        <f>IFERROR(1/J86*(X86/H86),"0")</f>
        <v>0.18807870370370369</v>
      </c>
      <c r="BP86" s="64">
        <f>IFERROR(1/J86*(Y86/H86),"0")</f>
        <v>0.203125</v>
      </c>
    </row>
    <row r="87" spans="1:68" ht="16.5" customHeight="1" x14ac:dyDescent="0.25">
      <c r="A87" s="54" t="s">
        <v>183</v>
      </c>
      <c r="B87" s="54" t="s">
        <v>184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69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104</v>
      </c>
      <c r="L88" s="32" t="s">
        <v>105</v>
      </c>
      <c r="M88" s="33" t="s">
        <v>130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69</v>
      </c>
      <c r="X88" s="615">
        <v>225</v>
      </c>
      <c r="Y88" s="616">
        <f>IFERROR(IF(X88="",0,CEILING((X88/$H88),1)*$H88),"")</f>
        <v>225</v>
      </c>
      <c r="Z88" s="36">
        <f>IFERROR(IF(Y88=0,"",ROUNDUP(Y88/H88,0)*0.00902),"")</f>
        <v>0.45100000000000001</v>
      </c>
      <c r="AA88" s="56"/>
      <c r="AB88" s="57"/>
      <c r="AC88" s="139" t="s">
        <v>187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235.5</v>
      </c>
      <c r="BN88" s="64">
        <f>IFERROR(Y88*I88/H88,"0")</f>
        <v>235.5</v>
      </c>
      <c r="BO88" s="64">
        <f>IFERROR(1/J88*(X88/H88),"0")</f>
        <v>0.37878787878787878</v>
      </c>
      <c r="BP88" s="64">
        <f>IFERROR(1/J88*(Y88/H88),"0")</f>
        <v>0.37878787878787878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37" t="s">
        <v>87</v>
      </c>
      <c r="X89" s="617">
        <f>IFERROR(X86/H86,"0")+IFERROR(X87/H87,"0")+IFERROR(X88/H88,"0")</f>
        <v>62.037037037037038</v>
      </c>
      <c r="Y89" s="617">
        <f>IFERROR(Y86/H86,"0")+IFERROR(Y87/H87,"0")+IFERROR(Y88/H88,"0")</f>
        <v>63</v>
      </c>
      <c r="Z89" s="617">
        <f>IFERROR(IF(Z86="",0,Z86),"0")+IFERROR(IF(Z87="",0,Z87),"0")+IFERROR(IF(Z88="",0,Z88),"0")</f>
        <v>0.69774000000000003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37" t="s">
        <v>69</v>
      </c>
      <c r="X90" s="617">
        <f>IFERROR(SUM(X86:X88),"0")</f>
        <v>355</v>
      </c>
      <c r="Y90" s="617">
        <f>IFERROR(SUM(Y86:Y88),"0")</f>
        <v>365.4</v>
      </c>
      <c r="Z90" s="37"/>
      <c r="AA90" s="618"/>
      <c r="AB90" s="618"/>
      <c r="AC90" s="618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19">
        <v>4607091386967</v>
      </c>
      <c r="E92" s="620"/>
      <c r="F92" s="614">
        <v>1.4</v>
      </c>
      <c r="G92" s="32">
        <v>6</v>
      </c>
      <c r="H92" s="614">
        <v>8.4</v>
      </c>
      <c r="I92" s="614">
        <v>8.9190000000000005</v>
      </c>
      <c r="J92" s="32">
        <v>64</v>
      </c>
      <c r="K92" s="32" t="s">
        <v>99</v>
      </c>
      <c r="L92" s="32"/>
      <c r="M92" s="33" t="s">
        <v>106</v>
      </c>
      <c r="N92" s="33"/>
      <c r="O92" s="32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4"/>
      <c r="V92" s="34"/>
      <c r="W92" s="35" t="s">
        <v>69</v>
      </c>
      <c r="X92" s="615">
        <v>250</v>
      </c>
      <c r="Y92" s="616">
        <f t="shared" ref="Y92:Y99" si="16">IFERROR(IF(X92="",0,CEILING((X92/$H92),1)*$H92),"")</f>
        <v>252</v>
      </c>
      <c r="Z92" s="36">
        <f>IFERROR(IF(Y92=0,"",ROUNDUP(Y92/H92,0)*0.01898),"")</f>
        <v>0.56940000000000002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265.44642857142856</v>
      </c>
      <c r="BN92" s="64">
        <f t="shared" ref="BN92:BN99" si="18">IFERROR(Y92*I92/H92,"0")</f>
        <v>267.57</v>
      </c>
      <c r="BO92" s="64">
        <f t="shared" ref="BO92:BO99" si="19">IFERROR(1/J92*(X92/H92),"0")</f>
        <v>0.46502976190476186</v>
      </c>
      <c r="BP92" s="64">
        <f t="shared" ref="BP92:BP99" si="20">IFERROR(1/J92*(Y92/H92),"0")</f>
        <v>0.46875</v>
      </c>
    </row>
    <row r="93" spans="1:68" ht="16.5" customHeight="1" x14ac:dyDescent="0.25">
      <c r="A93" s="54" t="s">
        <v>188</v>
      </c>
      <c r="B93" s="54" t="s">
        <v>191</v>
      </c>
      <c r="C93" s="31">
        <v>4301051712</v>
      </c>
      <c r="D93" s="619">
        <v>4607091386967</v>
      </c>
      <c r="E93" s="620"/>
      <c r="F93" s="614">
        <v>1.35</v>
      </c>
      <c r="G93" s="32">
        <v>6</v>
      </c>
      <c r="H93" s="614">
        <v>8.1</v>
      </c>
      <c r="I93" s="614">
        <v>8.6189999999999998</v>
      </c>
      <c r="J93" s="32">
        <v>64</v>
      </c>
      <c r="K93" s="32" t="s">
        <v>99</v>
      </c>
      <c r="L93" s="32"/>
      <c r="M93" s="33" t="s">
        <v>130</v>
      </c>
      <c r="N93" s="33"/>
      <c r="O93" s="32">
        <v>45</v>
      </c>
      <c r="P93" s="884" t="s">
        <v>192</v>
      </c>
      <c r="Q93" s="622"/>
      <c r="R93" s="622"/>
      <c r="S93" s="622"/>
      <c r="T93" s="623"/>
      <c r="U93" s="34"/>
      <c r="V93" s="34"/>
      <c r="W93" s="35" t="s">
        <v>69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188</v>
      </c>
      <c r="B94" s="54" t="s">
        <v>193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69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194</v>
      </c>
      <c r="B95" s="54" t="s">
        <v>195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69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197</v>
      </c>
      <c r="B96" s="54" t="s">
        <v>198</v>
      </c>
      <c r="C96" s="31">
        <v>4301051718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84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2"/>
      <c r="R96" s="622"/>
      <c r="S96" s="622"/>
      <c r="T96" s="623"/>
      <c r="U96" s="34"/>
      <c r="V96" s="34"/>
      <c r="W96" s="35" t="s">
        <v>69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2"/>
      <c r="R97" s="622"/>
      <c r="S97" s="622"/>
      <c r="T97" s="623"/>
      <c r="U97" s="34"/>
      <c r="V97" s="34"/>
      <c r="W97" s="35" t="s">
        <v>69</v>
      </c>
      <c r="X97" s="615">
        <v>720</v>
      </c>
      <c r="Y97" s="616">
        <f t="shared" si="16"/>
        <v>720.90000000000009</v>
      </c>
      <c r="Z97" s="36">
        <f>IFERROR(IF(Y97=0,"",ROUNDUP(Y97/H97,0)*0.00651),"")</f>
        <v>1.73817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787.19999999999993</v>
      </c>
      <c r="BN97" s="64">
        <f t="shared" si="18"/>
        <v>788.18400000000008</v>
      </c>
      <c r="BO97" s="64">
        <f t="shared" si="19"/>
        <v>1.4652014652014651</v>
      </c>
      <c r="BP97" s="64">
        <f t="shared" si="20"/>
        <v>1.4670329670329672</v>
      </c>
    </row>
    <row r="98" spans="1:68" ht="16.5" customHeight="1" x14ac:dyDescent="0.25">
      <c r="A98" s="54" t="s">
        <v>201</v>
      </c>
      <c r="B98" s="54" t="s">
        <v>202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69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204</v>
      </c>
      <c r="B99" s="54" t="s">
        <v>205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69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37" t="s">
        <v>87</v>
      </c>
      <c r="X100" s="617">
        <f>IFERROR(X92/H92,"0")+IFERROR(X93/H93,"0")+IFERROR(X94/H94,"0")+IFERROR(X95/H95,"0")+IFERROR(X96/H96,"0")+IFERROR(X97/H97,"0")+IFERROR(X98/H98,"0")+IFERROR(X99/H99,"0")</f>
        <v>296.42857142857139</v>
      </c>
      <c r="Y100" s="617">
        <f>IFERROR(Y92/H92,"0")+IFERROR(Y93/H93,"0")+IFERROR(Y94/H94,"0")+IFERROR(Y95/H95,"0")+IFERROR(Y96/H96,"0")+IFERROR(Y97/H97,"0")+IFERROR(Y98/H98,"0")+IFERROR(Y99/H99,"0")</f>
        <v>297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2.3075700000000001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37" t="s">
        <v>69</v>
      </c>
      <c r="X101" s="617">
        <f>IFERROR(SUM(X92:X99),"0")</f>
        <v>970</v>
      </c>
      <c r="Y101" s="617">
        <f>IFERROR(SUM(Y92:Y99),"0")</f>
        <v>972.90000000000009</v>
      </c>
      <c r="Z101" s="37"/>
      <c r="AA101" s="618"/>
      <c r="AB101" s="618"/>
      <c r="AC101" s="618"/>
    </row>
    <row r="102" spans="1:68" ht="16.5" customHeight="1" x14ac:dyDescent="0.25">
      <c r="A102" s="636" t="s">
        <v>206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207</v>
      </c>
      <c r="B104" s="54" t="s">
        <v>208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69</v>
      </c>
      <c r="X104" s="615">
        <v>50</v>
      </c>
      <c r="Y104" s="616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52.013888888888886</v>
      </c>
      <c r="BN104" s="64">
        <f>IFERROR(Y104*I104/H104,"0")</f>
        <v>56.17499999999999</v>
      </c>
      <c r="BO104" s="64">
        <f>IFERROR(1/J104*(X104/H104),"0")</f>
        <v>7.2337962962962965E-2</v>
      </c>
      <c r="BP104" s="64">
        <f>IFERROR(1/J104*(Y104/H104),"0")</f>
        <v>7.8125E-2</v>
      </c>
    </row>
    <row r="105" spans="1:68" ht="16.5" customHeight="1" x14ac:dyDescent="0.25">
      <c r="A105" s="54" t="s">
        <v>210</v>
      </c>
      <c r="B105" s="54" t="s">
        <v>211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104</v>
      </c>
      <c r="L105" s="32"/>
      <c r="M105" s="33" t="s">
        <v>106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69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69</v>
      </c>
      <c r="X106" s="615">
        <v>630</v>
      </c>
      <c r="Y106" s="616">
        <f>IFERROR(IF(X106="",0,CEILING((X106/$H106),1)*$H106),"")</f>
        <v>630</v>
      </c>
      <c r="Z106" s="36">
        <f>IFERROR(IF(Y106=0,"",ROUNDUP(Y106/H106,0)*0.00902),"")</f>
        <v>1.2627999999999999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659.40000000000009</v>
      </c>
      <c r="BN106" s="64">
        <f>IFERROR(Y106*I106/H106,"0")</f>
        <v>659.40000000000009</v>
      </c>
      <c r="BO106" s="64">
        <f>IFERROR(1/J106*(X106/H106),"0")</f>
        <v>1.0606060606060606</v>
      </c>
      <c r="BP106" s="64">
        <f>IFERROR(1/J106*(Y106/H106),"0")</f>
        <v>1.0606060606060606</v>
      </c>
    </row>
    <row r="107" spans="1:68" ht="16.5" customHeight="1" x14ac:dyDescent="0.25">
      <c r="A107" s="54" t="s">
        <v>214</v>
      </c>
      <c r="B107" s="54" t="s">
        <v>215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69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37" t="s">
        <v>87</v>
      </c>
      <c r="X108" s="617">
        <f>IFERROR(X104/H104,"0")+IFERROR(X105/H105,"0")+IFERROR(X106/H106,"0")+IFERROR(X107/H107,"0")</f>
        <v>144.62962962962962</v>
      </c>
      <c r="Y108" s="617">
        <f>IFERROR(Y104/H104,"0")+IFERROR(Y105/H105,"0")+IFERROR(Y106/H106,"0")+IFERROR(Y107/H107,"0")</f>
        <v>145</v>
      </c>
      <c r="Z108" s="617">
        <f>IFERROR(IF(Z104="",0,Z104),"0")+IFERROR(IF(Z105="",0,Z105),"0")+IFERROR(IF(Z106="",0,Z106),"0")+IFERROR(IF(Z107="",0,Z107),"0")</f>
        <v>1.3576999999999999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37" t="s">
        <v>69</v>
      </c>
      <c r="X109" s="617">
        <f>IFERROR(SUM(X104:X107),"0")</f>
        <v>680</v>
      </c>
      <c r="Y109" s="617">
        <f>IFERROR(SUM(Y104:Y107),"0")</f>
        <v>684</v>
      </c>
      <c r="Z109" s="37"/>
      <c r="AA109" s="618"/>
      <c r="AB109" s="618"/>
      <c r="AC109" s="618"/>
    </row>
    <row r="110" spans="1:68" ht="14.25" customHeight="1" x14ac:dyDescent="0.25">
      <c r="A110" s="639" t="s">
        <v>135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216</v>
      </c>
      <c r="B111" s="54" t="s">
        <v>217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69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69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69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37" t="s">
        <v>87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37" t="s">
        <v>69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27" customHeight="1" x14ac:dyDescent="0.25">
      <c r="A117" s="54" t="s">
        <v>223</v>
      </c>
      <c r="B117" s="54" t="s">
        <v>224</v>
      </c>
      <c r="C117" s="31">
        <v>4301051360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99</v>
      </c>
      <c r="L117" s="32"/>
      <c r="M117" s="33" t="s">
        <v>106</v>
      </c>
      <c r="N117" s="33"/>
      <c r="O117" s="32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4"/>
      <c r="V117" s="34"/>
      <c r="W117" s="35" t="s">
        <v>69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223</v>
      </c>
      <c r="B118" s="54" t="s">
        <v>226</v>
      </c>
      <c r="C118" s="31">
        <v>4301051724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4"/>
      <c r="V118" s="34"/>
      <c r="W118" s="35" t="s">
        <v>69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227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223</v>
      </c>
      <c r="B119" s="54" t="s">
        <v>228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69</v>
      </c>
      <c r="X119" s="615">
        <v>700</v>
      </c>
      <c r="Y119" s="616">
        <f t="shared" si="21"/>
        <v>705.6</v>
      </c>
      <c r="Z119" s="36">
        <f>IFERROR(IF(Y119=0,"",ROUNDUP(Y119/H119,0)*0.01898),"")</f>
        <v>1.59432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742.75</v>
      </c>
      <c r="BN119" s="64">
        <f t="shared" si="23"/>
        <v>748.69200000000001</v>
      </c>
      <c r="BO119" s="64">
        <f t="shared" si="24"/>
        <v>1.3020833333333333</v>
      </c>
      <c r="BP119" s="64">
        <f t="shared" si="25"/>
        <v>1.3125</v>
      </c>
    </row>
    <row r="120" spans="1:68" ht="27" customHeight="1" x14ac:dyDescent="0.25">
      <c r="A120" s="54" t="s">
        <v>229</v>
      </c>
      <c r="B120" s="54" t="s">
        <v>230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69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69</v>
      </c>
      <c r="X121" s="615">
        <v>450</v>
      </c>
      <c r="Y121" s="616">
        <f t="shared" si="21"/>
        <v>450.90000000000003</v>
      </c>
      <c r="Z121" s="36">
        <f>IFERROR(IF(Y121=0,"",ROUNDUP(Y121/H121,0)*0.00651),"")</f>
        <v>1.08717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492</v>
      </c>
      <c r="BN121" s="64">
        <f t="shared" si="23"/>
        <v>492.98399999999998</v>
      </c>
      <c r="BO121" s="64">
        <f t="shared" si="24"/>
        <v>0.91575091575091572</v>
      </c>
      <c r="BP121" s="64">
        <f t="shared" si="25"/>
        <v>0.91758241758241765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69</v>
      </c>
      <c r="X122" s="615">
        <v>60</v>
      </c>
      <c r="Y122" s="616">
        <f t="shared" si="21"/>
        <v>61.2</v>
      </c>
      <c r="Z122" s="36">
        <f>IFERROR(IF(Y122=0,"",ROUNDUP(Y122/H122,0)*0.00651),"")</f>
        <v>0.22134000000000001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66</v>
      </c>
      <c r="BN122" s="64">
        <f t="shared" si="23"/>
        <v>67.319999999999993</v>
      </c>
      <c r="BO122" s="64">
        <f t="shared" si="24"/>
        <v>0.18315018315018317</v>
      </c>
      <c r="BP122" s="64">
        <f t="shared" si="25"/>
        <v>0.18681318681318682</v>
      </c>
    </row>
    <row r="123" spans="1:68" ht="27" customHeight="1" x14ac:dyDescent="0.25">
      <c r="A123" s="54" t="s">
        <v>236</v>
      </c>
      <c r="B123" s="54" t="s">
        <v>237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69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37" t="s">
        <v>87</v>
      </c>
      <c r="X124" s="617">
        <f>IFERROR(X117/H117,"0")+IFERROR(X118/H118,"0")+IFERROR(X119/H119,"0")+IFERROR(X120/H120,"0")+IFERROR(X121/H121,"0")+IFERROR(X122/H122,"0")+IFERROR(X123/H123,"0")</f>
        <v>283.33333333333331</v>
      </c>
      <c r="Y124" s="617">
        <f>IFERROR(Y117/H117,"0")+IFERROR(Y118/H118,"0")+IFERROR(Y119/H119,"0")+IFERROR(Y120/H120,"0")+IFERROR(Y121/H121,"0")+IFERROR(Y122/H122,"0")+IFERROR(Y123/H123,"0")</f>
        <v>285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2.9028300000000002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37" t="s">
        <v>69</v>
      </c>
      <c r="X125" s="617">
        <f>IFERROR(SUM(X117:X123),"0")</f>
        <v>1210</v>
      </c>
      <c r="Y125" s="617">
        <f>IFERROR(SUM(Y117:Y123),"0")</f>
        <v>1217.7</v>
      </c>
      <c r="Z125" s="37"/>
      <c r="AA125" s="618"/>
      <c r="AB125" s="618"/>
      <c r="AC125" s="618"/>
    </row>
    <row r="126" spans="1:68" ht="14.25" customHeight="1" x14ac:dyDescent="0.25">
      <c r="A126" s="639" t="s">
        <v>172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239</v>
      </c>
      <c r="B127" s="54" t="s">
        <v>240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69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69</v>
      </c>
      <c r="X128" s="615">
        <v>16.5</v>
      </c>
      <c r="Y128" s="616">
        <f>IFERROR(IF(X128="",0,CEILING((X128/$H128),1)*$H128),"")</f>
        <v>17.82</v>
      </c>
      <c r="Z128" s="36">
        <f>IFERROR(IF(Y128=0,"",ROUNDUP(Y128/H128,0)*0.00651),"")</f>
        <v>5.8590000000000003E-2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18.649999999999999</v>
      </c>
      <c r="BN128" s="64">
        <f>IFERROR(Y128*I128/H128,"0")</f>
        <v>20.141999999999999</v>
      </c>
      <c r="BO128" s="64">
        <f>IFERROR(1/J128*(X128/H128),"0")</f>
        <v>4.5787545787545791E-2</v>
      </c>
      <c r="BP128" s="64">
        <f>IFERROR(1/J128*(Y128/H128),"0")</f>
        <v>4.9450549450549455E-2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37" t="s">
        <v>87</v>
      </c>
      <c r="X129" s="617">
        <f>IFERROR(X127/H127,"0")+IFERROR(X128/H128,"0")</f>
        <v>8.3333333333333339</v>
      </c>
      <c r="Y129" s="617">
        <f>IFERROR(Y127/H127,"0")+IFERROR(Y128/H128,"0")</f>
        <v>9</v>
      </c>
      <c r="Z129" s="617">
        <f>IFERROR(IF(Z127="",0,Z127),"0")+IFERROR(IF(Z128="",0,Z128),"0")</f>
        <v>5.8590000000000003E-2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37" t="s">
        <v>69</v>
      </c>
      <c r="X130" s="617">
        <f>IFERROR(SUM(X127:X128),"0")</f>
        <v>16.5</v>
      </c>
      <c r="Y130" s="617">
        <f>IFERROR(SUM(Y127:Y128),"0")</f>
        <v>17.82</v>
      </c>
      <c r="Z130" s="37"/>
      <c r="AA130" s="618"/>
      <c r="AB130" s="618"/>
      <c r="AC130" s="618"/>
    </row>
    <row r="131" spans="1:68" ht="16.5" customHeight="1" x14ac:dyDescent="0.25">
      <c r="A131" s="636" t="s">
        <v>245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246</v>
      </c>
      <c r="B133" s="54" t="s">
        <v>247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69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246</v>
      </c>
      <c r="B134" s="54" t="s">
        <v>249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69</v>
      </c>
      <c r="X134" s="615">
        <v>80</v>
      </c>
      <c r="Y134" s="616">
        <f>IFERROR(IF(X134="",0,CEILING((X134/$H134),1)*$H134),"")</f>
        <v>80</v>
      </c>
      <c r="Z134" s="36">
        <f>IFERROR(IF(Y134=0,"",ROUNDUP(Y134/H134,0)*0.00651),"")</f>
        <v>0.16275000000000001</v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84.499999999999986</v>
      </c>
      <c r="BN134" s="64">
        <f>IFERROR(Y134*I134/H134,"0")</f>
        <v>84.499999999999986</v>
      </c>
      <c r="BO134" s="64">
        <f>IFERROR(1/J134*(X134/H134),"0")</f>
        <v>0.13736263736263737</v>
      </c>
      <c r="BP134" s="64">
        <f>IFERROR(1/J134*(Y134/H134),"0")</f>
        <v>0.13736263736263737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37" t="s">
        <v>87</v>
      </c>
      <c r="X135" s="617">
        <f>IFERROR(X133/H133,"0")+IFERROR(X134/H134,"0")</f>
        <v>25</v>
      </c>
      <c r="Y135" s="617">
        <f>IFERROR(Y133/H133,"0")+IFERROR(Y134/H134,"0")</f>
        <v>25</v>
      </c>
      <c r="Z135" s="617">
        <f>IFERROR(IF(Z133="",0,Z133),"0")+IFERROR(IF(Z134="",0,Z134),"0")</f>
        <v>0.16275000000000001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37" t="s">
        <v>69</v>
      </c>
      <c r="X136" s="617">
        <f>IFERROR(SUM(X133:X134),"0")</f>
        <v>80</v>
      </c>
      <c r="Y136" s="617">
        <f>IFERROR(SUM(Y133:Y134),"0")</f>
        <v>80</v>
      </c>
      <c r="Z136" s="37"/>
      <c r="AA136" s="618"/>
      <c r="AB136" s="618"/>
      <c r="AC136" s="618"/>
    </row>
    <row r="137" spans="1:68" ht="14.25" customHeight="1" x14ac:dyDescent="0.25">
      <c r="A137" s="639" t="s">
        <v>146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250</v>
      </c>
      <c r="B138" s="54" t="s">
        <v>251</v>
      </c>
      <c r="C138" s="31">
        <v>4301031235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69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69</v>
      </c>
      <c r="X139" s="615">
        <v>45.5</v>
      </c>
      <c r="Y139" s="616">
        <f>IFERROR(IF(X139="",0,CEILING((X139/$H139),1)*$H139),"")</f>
        <v>47.599999999999994</v>
      </c>
      <c r="Z139" s="36">
        <f>IFERROR(IF(Y139=0,"",ROUNDUP(Y139/H139,0)*0.00651),"")</f>
        <v>0.11067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49.855000000000004</v>
      </c>
      <c r="BN139" s="64">
        <f>IFERROR(Y139*I139/H139,"0")</f>
        <v>52.156000000000006</v>
      </c>
      <c r="BO139" s="64">
        <f>IFERROR(1/J139*(X139/H139),"0")</f>
        <v>8.9285714285714288E-2</v>
      </c>
      <c r="BP139" s="64">
        <f>IFERROR(1/J139*(Y139/H139),"0")</f>
        <v>9.3406593406593408E-2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37" t="s">
        <v>87</v>
      </c>
      <c r="X140" s="617">
        <f>IFERROR(X138/H138,"0")+IFERROR(X139/H139,"0")</f>
        <v>16.25</v>
      </c>
      <c r="Y140" s="617">
        <f>IFERROR(Y138/H138,"0")+IFERROR(Y139/H139,"0")</f>
        <v>17</v>
      </c>
      <c r="Z140" s="617">
        <f>IFERROR(IF(Z138="",0,Z138),"0")+IFERROR(IF(Z139="",0,Z139),"0")</f>
        <v>0.11067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37" t="s">
        <v>69</v>
      </c>
      <c r="X141" s="617">
        <f>IFERROR(SUM(X138:X139),"0")</f>
        <v>45.5</v>
      </c>
      <c r="Y141" s="617">
        <f>IFERROR(SUM(Y138:Y139),"0")</f>
        <v>47.599999999999994</v>
      </c>
      <c r="Z141" s="37"/>
      <c r="AA141" s="618"/>
      <c r="AB141" s="618"/>
      <c r="AC141" s="618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254</v>
      </c>
      <c r="B143" s="54" t="s">
        <v>255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69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69</v>
      </c>
      <c r="X144" s="615">
        <v>89.100000000000009</v>
      </c>
      <c r="Y144" s="616">
        <f>IFERROR(IF(X144="",0,CEILING((X144/$H144),1)*$H144),"")</f>
        <v>89.76</v>
      </c>
      <c r="Z144" s="36">
        <f>IFERROR(IF(Y144=0,"",ROUNDUP(Y144/H144,0)*0.00651),"")</f>
        <v>0.22134000000000001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98.144999999999996</v>
      </c>
      <c r="BN144" s="64">
        <f>IFERROR(Y144*I144/H144,"0")</f>
        <v>98.872</v>
      </c>
      <c r="BO144" s="64">
        <f>IFERROR(1/J144*(X144/H144),"0")</f>
        <v>0.18543956043956045</v>
      </c>
      <c r="BP144" s="64">
        <f>IFERROR(1/J144*(Y144/H144),"0")</f>
        <v>0.18681318681318682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37" t="s">
        <v>87</v>
      </c>
      <c r="X145" s="617">
        <f>IFERROR(X143/H143,"0")+IFERROR(X144/H144,"0")</f>
        <v>33.75</v>
      </c>
      <c r="Y145" s="617">
        <f>IFERROR(Y143/H143,"0")+IFERROR(Y144/H144,"0")</f>
        <v>34</v>
      </c>
      <c r="Z145" s="617">
        <f>IFERROR(IF(Z143="",0,Z143),"0")+IFERROR(IF(Z144="",0,Z144),"0")</f>
        <v>0.22134000000000001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37" t="s">
        <v>69</v>
      </c>
      <c r="X146" s="617">
        <f>IFERROR(SUM(X143:X144),"0")</f>
        <v>89.100000000000009</v>
      </c>
      <c r="Y146" s="617">
        <f>IFERROR(SUM(Y143:Y144),"0")</f>
        <v>89.76</v>
      </c>
      <c r="Z146" s="37"/>
      <c r="AA146" s="618"/>
      <c r="AB146" s="618"/>
      <c r="AC146" s="618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257</v>
      </c>
      <c r="B149" s="54" t="s">
        <v>258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69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37" t="s">
        <v>87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37" t="s">
        <v>69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146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260</v>
      </c>
      <c r="B153" s="54" t="s">
        <v>261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69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263</v>
      </c>
      <c r="B154" s="54" t="s">
        <v>264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69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266</v>
      </c>
      <c r="B155" s="54" t="s">
        <v>267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69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37" t="s">
        <v>87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37" t="s">
        <v>69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269</v>
      </c>
      <c r="B159" s="54" t="s">
        <v>270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69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37" t="s">
        <v>87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37" t="s">
        <v>69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272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273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135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274</v>
      </c>
      <c r="B165" s="54" t="s">
        <v>275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69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37" t="s">
        <v>87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37" t="s">
        <v>69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146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277</v>
      </c>
      <c r="B169" s="54" t="s">
        <v>278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69</v>
      </c>
      <c r="X169" s="615">
        <v>50</v>
      </c>
      <c r="Y169" s="616">
        <f t="shared" ref="Y169:Y177" si="26">IFERROR(IF(X169="",0,CEILING((X169/$H169),1)*$H169),"")</f>
        <v>50.400000000000006</v>
      </c>
      <c r="Z169" s="36">
        <f>IFERROR(IF(Y169=0,"",ROUNDUP(Y169/H169,0)*0.00902),"")</f>
        <v>0.10824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53.214285714285715</v>
      </c>
      <c r="BN169" s="64">
        <f t="shared" ref="BN169:BN177" si="28">IFERROR(Y169*I169/H169,"0")</f>
        <v>53.64</v>
      </c>
      <c r="BO169" s="64">
        <f t="shared" ref="BO169:BO177" si="29">IFERROR(1/J169*(X169/H169),"0")</f>
        <v>9.0187590187590191E-2</v>
      </c>
      <c r="BP169" s="64">
        <f t="shared" ref="BP169:BP177" si="30">IFERROR(1/J169*(Y169/H169),"0")</f>
        <v>9.0909090909090912E-2</v>
      </c>
    </row>
    <row r="170" spans="1:68" ht="27" customHeight="1" x14ac:dyDescent="0.25">
      <c r="A170" s="54" t="s">
        <v>280</v>
      </c>
      <c r="B170" s="54" t="s">
        <v>281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69</v>
      </c>
      <c r="X170" s="615">
        <v>40</v>
      </c>
      <c r="Y170" s="616">
        <f t="shared" si="26"/>
        <v>42</v>
      </c>
      <c r="Z170" s="36">
        <f>IFERROR(IF(Y170=0,"",ROUNDUP(Y170/H170,0)*0.00902),"")</f>
        <v>9.0200000000000002E-2</v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42.571428571428562</v>
      </c>
      <c r="BN170" s="64">
        <f t="shared" si="28"/>
        <v>44.699999999999996</v>
      </c>
      <c r="BO170" s="64">
        <f t="shared" si="29"/>
        <v>7.2150072150072145E-2</v>
      </c>
      <c r="BP170" s="64">
        <f t="shared" si="30"/>
        <v>7.575757575757576E-2</v>
      </c>
    </row>
    <row r="171" spans="1:68" ht="27" customHeight="1" x14ac:dyDescent="0.25">
      <c r="A171" s="54" t="s">
        <v>283</v>
      </c>
      <c r="B171" s="54" t="s">
        <v>284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69</v>
      </c>
      <c r="X171" s="615">
        <v>50</v>
      </c>
      <c r="Y171" s="616">
        <f t="shared" si="26"/>
        <v>50.400000000000006</v>
      </c>
      <c r="Z171" s="36">
        <f>IFERROR(IF(Y171=0,"",ROUNDUP(Y171/H171,0)*0.00902),"")</f>
        <v>0.10824</v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52.5</v>
      </c>
      <c r="BN171" s="64">
        <f t="shared" si="28"/>
        <v>52.920000000000009</v>
      </c>
      <c r="BO171" s="64">
        <f t="shared" si="29"/>
        <v>9.0187590187590191E-2</v>
      </c>
      <c r="BP171" s="64">
        <f t="shared" si="30"/>
        <v>9.0909090909090912E-2</v>
      </c>
    </row>
    <row r="172" spans="1:68" ht="27" customHeight="1" x14ac:dyDescent="0.25">
      <c r="A172" s="54" t="s">
        <v>286</v>
      </c>
      <c r="B172" s="54" t="s">
        <v>287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69</v>
      </c>
      <c r="X172" s="615">
        <v>105</v>
      </c>
      <c r="Y172" s="616">
        <f t="shared" si="26"/>
        <v>105</v>
      </c>
      <c r="Z172" s="36">
        <f>IFERROR(IF(Y172=0,"",ROUNDUP(Y172/H172,0)*0.00502),"")</f>
        <v>0.251</v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111.5</v>
      </c>
      <c r="BN172" s="64">
        <f t="shared" si="28"/>
        <v>111.5</v>
      </c>
      <c r="BO172" s="64">
        <f t="shared" si="29"/>
        <v>0.21367521367521369</v>
      </c>
      <c r="BP172" s="64">
        <f t="shared" si="30"/>
        <v>0.21367521367521369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69</v>
      </c>
      <c r="X173" s="615">
        <v>105</v>
      </c>
      <c r="Y173" s="616">
        <f t="shared" si="26"/>
        <v>105</v>
      </c>
      <c r="Z173" s="36">
        <f>IFERROR(IF(Y173=0,"",ROUNDUP(Y173/H173,0)*0.00502),"")</f>
        <v>0.251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111.5</v>
      </c>
      <c r="BN173" s="64">
        <f t="shared" si="28"/>
        <v>111.5</v>
      </c>
      <c r="BO173" s="64">
        <f t="shared" si="29"/>
        <v>0.21367521367521369</v>
      </c>
      <c r="BP173" s="64">
        <f t="shared" si="30"/>
        <v>0.21367521367521369</v>
      </c>
    </row>
    <row r="174" spans="1:68" ht="27" customHeight="1" x14ac:dyDescent="0.25">
      <c r="A174" s="54" t="s">
        <v>290</v>
      </c>
      <c r="B174" s="54" t="s">
        <v>291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69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69</v>
      </c>
      <c r="X175" s="615">
        <v>175</v>
      </c>
      <c r="Y175" s="616">
        <f t="shared" si="26"/>
        <v>176.4</v>
      </c>
      <c r="Z175" s="36">
        <f>IFERROR(IF(Y175=0,"",ROUNDUP(Y175/H175,0)*0.00502),"")</f>
        <v>0.42168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183.33333333333334</v>
      </c>
      <c r="BN175" s="64">
        <f t="shared" si="28"/>
        <v>184.8</v>
      </c>
      <c r="BO175" s="64">
        <f t="shared" si="29"/>
        <v>0.35612535612535612</v>
      </c>
      <c r="BP175" s="64">
        <f t="shared" si="30"/>
        <v>0.35897435897435903</v>
      </c>
    </row>
    <row r="176" spans="1:68" ht="27" customHeight="1" x14ac:dyDescent="0.25">
      <c r="A176" s="54" t="s">
        <v>295</v>
      </c>
      <c r="B176" s="54" t="s">
        <v>296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69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69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37" t="s">
        <v>87</v>
      </c>
      <c r="X178" s="617">
        <f>IFERROR(X169/H169,"0")+IFERROR(X170/H170,"0")+IFERROR(X171/H171,"0")+IFERROR(X172/H172,"0")+IFERROR(X173/H173,"0")+IFERROR(X174/H174,"0")+IFERROR(X175/H175,"0")+IFERROR(X176/H176,"0")+IFERROR(X177/H177,"0")</f>
        <v>216.66666666666669</v>
      </c>
      <c r="Y178" s="617">
        <f>IFERROR(Y169/H169,"0")+IFERROR(Y170/H170,"0")+IFERROR(Y171/H171,"0")+IFERROR(Y172/H172,"0")+IFERROR(Y173/H173,"0")+IFERROR(Y174/H174,"0")+IFERROR(Y175/H175,"0")+IFERROR(Y176/H176,"0")+IFERROR(Y177/H177,"0")</f>
        <v>218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1.2303599999999999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37" t="s">
        <v>69</v>
      </c>
      <c r="X179" s="617">
        <f>IFERROR(SUM(X169:X177),"0")</f>
        <v>525</v>
      </c>
      <c r="Y179" s="617">
        <f>IFERROR(SUM(Y169:Y177),"0")</f>
        <v>529.20000000000005</v>
      </c>
      <c r="Z179" s="37"/>
      <c r="AA179" s="618"/>
      <c r="AB179" s="618"/>
      <c r="AC179" s="618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300</v>
      </c>
      <c r="B181" s="54" t="s">
        <v>301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60</v>
      </c>
      <c r="P181" s="940" t="s">
        <v>304</v>
      </c>
      <c r="Q181" s="622"/>
      <c r="R181" s="622"/>
      <c r="S181" s="622"/>
      <c r="T181" s="623"/>
      <c r="U181" s="34"/>
      <c r="V181" s="34"/>
      <c r="W181" s="35" t="s">
        <v>69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306</v>
      </c>
      <c r="B182" s="54" t="s">
        <v>307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54" t="s">
        <v>308</v>
      </c>
      <c r="Q182" s="622"/>
      <c r="R182" s="622"/>
      <c r="S182" s="622"/>
      <c r="T182" s="623"/>
      <c r="U182" s="34"/>
      <c r="V182" s="34"/>
      <c r="W182" s="35" t="s">
        <v>69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309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90</v>
      </c>
      <c r="P183" s="915" t="s">
        <v>312</v>
      </c>
      <c r="Q183" s="622"/>
      <c r="R183" s="622"/>
      <c r="S183" s="622"/>
      <c r="T183" s="623"/>
      <c r="U183" s="34"/>
      <c r="V183" s="34"/>
      <c r="W183" s="35" t="s">
        <v>69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309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37" t="s">
        <v>87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37" t="s">
        <v>69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313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733" t="s">
        <v>316</v>
      </c>
      <c r="Q187" s="622"/>
      <c r="R187" s="622"/>
      <c r="S187" s="622"/>
      <c r="T187" s="623"/>
      <c r="U187" s="34"/>
      <c r="V187" s="34"/>
      <c r="W187" s="35" t="s">
        <v>69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309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37" t="s">
        <v>87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37" t="s">
        <v>69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317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318</v>
      </c>
      <c r="B192" s="54" t="s">
        <v>319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69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320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321</v>
      </c>
      <c r="B193" s="54" t="s">
        <v>322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69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320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37" t="s">
        <v>87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37" t="s">
        <v>69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135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323</v>
      </c>
      <c r="B197" s="54" t="s">
        <v>324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69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325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326</v>
      </c>
      <c r="B198" s="54" t="s">
        <v>327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69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325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37" t="s">
        <v>87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37" t="s">
        <v>69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146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328</v>
      </c>
      <c r="B202" s="54" t="s">
        <v>329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69</v>
      </c>
      <c r="X202" s="615">
        <v>130</v>
      </c>
      <c r="Y202" s="616">
        <f t="shared" ref="Y202:Y209" si="31">IFERROR(IF(X202="",0,CEILING((X202/$H202),1)*$H202),"")</f>
        <v>135</v>
      </c>
      <c r="Z202" s="36">
        <f>IFERROR(IF(Y202=0,"",ROUNDUP(Y202/H202,0)*0.00902),"")</f>
        <v>0.22550000000000001</v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135.05555555555557</v>
      </c>
      <c r="BN202" s="64">
        <f t="shared" ref="BN202:BN209" si="33">IFERROR(Y202*I202/H202,"0")</f>
        <v>140.25</v>
      </c>
      <c r="BO202" s="64">
        <f t="shared" ref="BO202:BO209" si="34">IFERROR(1/J202*(X202/H202),"0")</f>
        <v>0.18237934904601572</v>
      </c>
      <c r="BP202" s="64">
        <f t="shared" ref="BP202:BP209" si="35">IFERROR(1/J202*(Y202/H202),"0")</f>
        <v>0.18939393939393939</v>
      </c>
    </row>
    <row r="203" spans="1:68" ht="27" customHeight="1" x14ac:dyDescent="0.25">
      <c r="A203" s="54" t="s">
        <v>331</v>
      </c>
      <c r="B203" s="54" t="s">
        <v>332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69</v>
      </c>
      <c r="X203" s="615">
        <v>80</v>
      </c>
      <c r="Y203" s="616">
        <f t="shared" si="31"/>
        <v>81</v>
      </c>
      <c r="Z203" s="36">
        <f>IFERROR(IF(Y203=0,"",ROUNDUP(Y203/H203,0)*0.00902),"")</f>
        <v>0.1353</v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83.111111111111114</v>
      </c>
      <c r="BN203" s="64">
        <f t="shared" si="33"/>
        <v>84.15</v>
      </c>
      <c r="BO203" s="64">
        <f t="shared" si="34"/>
        <v>0.11223344556677889</v>
      </c>
      <c r="BP203" s="64">
        <f t="shared" si="35"/>
        <v>0.11363636363636363</v>
      </c>
    </row>
    <row r="204" spans="1:68" ht="27" customHeight="1" x14ac:dyDescent="0.25">
      <c r="A204" s="54" t="s">
        <v>334</v>
      </c>
      <c r="B204" s="54" t="s">
        <v>335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69</v>
      </c>
      <c r="X204" s="615">
        <v>160</v>
      </c>
      <c r="Y204" s="616">
        <f t="shared" si="31"/>
        <v>162</v>
      </c>
      <c r="Z204" s="36">
        <f>IFERROR(IF(Y204=0,"",ROUNDUP(Y204/H204,0)*0.00902),"")</f>
        <v>0.27060000000000001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166.22222222222223</v>
      </c>
      <c r="BN204" s="64">
        <f t="shared" si="33"/>
        <v>168.3</v>
      </c>
      <c r="BO204" s="64">
        <f t="shared" si="34"/>
        <v>0.22446689113355778</v>
      </c>
      <c r="BP204" s="64">
        <f t="shared" si="35"/>
        <v>0.22727272727272727</v>
      </c>
    </row>
    <row r="205" spans="1:68" ht="27" customHeight="1" x14ac:dyDescent="0.25">
      <c r="A205" s="54" t="s">
        <v>337</v>
      </c>
      <c r="B205" s="54" t="s">
        <v>338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69</v>
      </c>
      <c r="X205" s="615">
        <v>80</v>
      </c>
      <c r="Y205" s="616">
        <f t="shared" si="31"/>
        <v>81</v>
      </c>
      <c r="Z205" s="36">
        <f>IFERROR(IF(Y205=0,"",ROUNDUP(Y205/H205,0)*0.00902),"")</f>
        <v>0.1353</v>
      </c>
      <c r="AA205" s="56"/>
      <c r="AB205" s="57"/>
      <c r="AC205" s="253" t="s">
        <v>339</v>
      </c>
      <c r="AG205" s="64"/>
      <c r="AJ205" s="68"/>
      <c r="AK205" s="68">
        <v>0</v>
      </c>
      <c r="BB205" s="254" t="s">
        <v>1</v>
      </c>
      <c r="BM205" s="64">
        <f t="shared" si="32"/>
        <v>83.111111111111114</v>
      </c>
      <c r="BN205" s="64">
        <f t="shared" si="33"/>
        <v>84.15</v>
      </c>
      <c r="BO205" s="64">
        <f t="shared" si="34"/>
        <v>0.11223344556677889</v>
      </c>
      <c r="BP205" s="64">
        <f t="shared" si="35"/>
        <v>0.11363636363636363</v>
      </c>
    </row>
    <row r="206" spans="1:68" ht="27" customHeight="1" x14ac:dyDescent="0.25">
      <c r="A206" s="54" t="s">
        <v>340</v>
      </c>
      <c r="B206" s="54" t="s">
        <v>341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69</v>
      </c>
      <c r="X206" s="615">
        <v>60</v>
      </c>
      <c r="Y206" s="616">
        <f t="shared" si="31"/>
        <v>61.2</v>
      </c>
      <c r="Z206" s="36">
        <f>IFERROR(IF(Y206=0,"",ROUNDUP(Y206/H206,0)*0.00502),"")</f>
        <v>0.17068</v>
      </c>
      <c r="AA206" s="56"/>
      <c r="AB206" s="57"/>
      <c r="AC206" s="255" t="s">
        <v>330</v>
      </c>
      <c r="AG206" s="64"/>
      <c r="AJ206" s="68"/>
      <c r="AK206" s="68">
        <v>0</v>
      </c>
      <c r="BB206" s="256" t="s">
        <v>1</v>
      </c>
      <c r="BM206" s="64">
        <f t="shared" si="32"/>
        <v>64.333333333333329</v>
      </c>
      <c r="BN206" s="64">
        <f t="shared" si="33"/>
        <v>65.62</v>
      </c>
      <c r="BO206" s="64">
        <f t="shared" si="34"/>
        <v>0.14245014245014248</v>
      </c>
      <c r="BP206" s="64">
        <f t="shared" si="35"/>
        <v>0.14529914529914531</v>
      </c>
    </row>
    <row r="207" spans="1:68" ht="27" customHeight="1" x14ac:dyDescent="0.25">
      <c r="A207" s="54" t="s">
        <v>342</v>
      </c>
      <c r="B207" s="54" t="s">
        <v>343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69</v>
      </c>
      <c r="X207" s="615">
        <v>30</v>
      </c>
      <c r="Y207" s="616">
        <f t="shared" si="31"/>
        <v>30.6</v>
      </c>
      <c r="Z207" s="36">
        <f>IFERROR(IF(Y207=0,"",ROUNDUP(Y207/H207,0)*0.00502),"")</f>
        <v>8.5339999999999999E-2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31.666666666666664</v>
      </c>
      <c r="BN207" s="64">
        <f t="shared" si="33"/>
        <v>32.299999999999997</v>
      </c>
      <c r="BO207" s="64">
        <f t="shared" si="34"/>
        <v>7.122507122507124E-2</v>
      </c>
      <c r="BP207" s="64">
        <f t="shared" si="35"/>
        <v>7.2649572649572655E-2</v>
      </c>
    </row>
    <row r="208" spans="1:68" ht="27" customHeight="1" x14ac:dyDescent="0.25">
      <c r="A208" s="54" t="s">
        <v>344</v>
      </c>
      <c r="B208" s="54" t="s">
        <v>345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69</v>
      </c>
      <c r="X208" s="615">
        <v>75</v>
      </c>
      <c r="Y208" s="616">
        <f t="shared" si="31"/>
        <v>75.600000000000009</v>
      </c>
      <c r="Z208" s="36">
        <f>IFERROR(IF(Y208=0,"",ROUNDUP(Y208/H208,0)*0.00502),"")</f>
        <v>0.21084</v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79.166666666666671</v>
      </c>
      <c r="BN208" s="64">
        <f t="shared" si="33"/>
        <v>79.800000000000011</v>
      </c>
      <c r="BO208" s="64">
        <f t="shared" si="34"/>
        <v>0.17806267806267806</v>
      </c>
      <c r="BP208" s="64">
        <f t="shared" si="35"/>
        <v>0.17948717948717954</v>
      </c>
    </row>
    <row r="209" spans="1:68" ht="27" customHeight="1" x14ac:dyDescent="0.25">
      <c r="A209" s="54" t="s">
        <v>346</v>
      </c>
      <c r="B209" s="54" t="s">
        <v>347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69</v>
      </c>
      <c r="X209" s="615">
        <v>30</v>
      </c>
      <c r="Y209" s="616">
        <f t="shared" si="31"/>
        <v>30.6</v>
      </c>
      <c r="Z209" s="36">
        <f>IFERROR(IF(Y209=0,"",ROUNDUP(Y209/H209,0)*0.00502),"")</f>
        <v>8.5339999999999999E-2</v>
      </c>
      <c r="AA209" s="56"/>
      <c r="AB209" s="57"/>
      <c r="AC209" s="261" t="s">
        <v>339</v>
      </c>
      <c r="AG209" s="64"/>
      <c r="AJ209" s="68"/>
      <c r="AK209" s="68">
        <v>0</v>
      </c>
      <c r="BB209" s="262" t="s">
        <v>1</v>
      </c>
      <c r="BM209" s="64">
        <f t="shared" si="32"/>
        <v>31.666666666666664</v>
      </c>
      <c r="BN209" s="64">
        <f t="shared" si="33"/>
        <v>32.299999999999997</v>
      </c>
      <c r="BO209" s="64">
        <f t="shared" si="34"/>
        <v>7.122507122507124E-2</v>
      </c>
      <c r="BP209" s="64">
        <f t="shared" si="35"/>
        <v>7.2649572649572655E-2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37" t="s">
        <v>87</v>
      </c>
      <c r="X210" s="617">
        <f>IFERROR(X202/H202,"0")+IFERROR(X203/H203,"0")+IFERROR(X204/H204,"0")+IFERROR(X205/H205,"0")+IFERROR(X206/H206,"0")+IFERROR(X207/H207,"0")+IFERROR(X208/H208,"0")+IFERROR(X209/H209,"0")</f>
        <v>191.66666666666663</v>
      </c>
      <c r="Y210" s="617">
        <f>IFERROR(Y202/H202,"0")+IFERROR(Y203/H203,"0")+IFERROR(Y204/H204,"0")+IFERROR(Y205/H205,"0")+IFERROR(Y206/H206,"0")+IFERROR(Y207/H207,"0")+IFERROR(Y208/H208,"0")+IFERROR(Y209/H209,"0")</f>
        <v>195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1.3188999999999997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37" t="s">
        <v>69</v>
      </c>
      <c r="X211" s="617">
        <f>IFERROR(SUM(X202:X209),"0")</f>
        <v>645</v>
      </c>
      <c r="Y211" s="617">
        <f>IFERROR(SUM(Y202:Y209),"0")</f>
        <v>657.00000000000011</v>
      </c>
      <c r="Z211" s="37"/>
      <c r="AA211" s="618"/>
      <c r="AB211" s="618"/>
      <c r="AC211" s="618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348</v>
      </c>
      <c r="B213" s="54" t="s">
        <v>349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69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69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354</v>
      </c>
      <c r="B215" s="54" t="s">
        <v>355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69</v>
      </c>
      <c r="X215" s="615">
        <v>120</v>
      </c>
      <c r="Y215" s="616">
        <f t="shared" si="36"/>
        <v>121.79999999999998</v>
      </c>
      <c r="Z215" s="36">
        <f>IFERROR(IF(Y215=0,"",ROUNDUP(Y215/H215,0)*0.01898),"")</f>
        <v>0.26572000000000001</v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127.15862068965518</v>
      </c>
      <c r="BN215" s="64">
        <f t="shared" si="38"/>
        <v>129.06599999999997</v>
      </c>
      <c r="BO215" s="64">
        <f t="shared" si="39"/>
        <v>0.21551724137931036</v>
      </c>
      <c r="BP215" s="64">
        <f t="shared" si="40"/>
        <v>0.21875</v>
      </c>
    </row>
    <row r="216" spans="1:68" ht="27" customHeight="1" x14ac:dyDescent="0.25">
      <c r="A216" s="54" t="s">
        <v>357</v>
      </c>
      <c r="B216" s="54" t="s">
        <v>358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69</v>
      </c>
      <c r="X216" s="615">
        <v>320</v>
      </c>
      <c r="Y216" s="616">
        <f t="shared" si="36"/>
        <v>321.59999999999997</v>
      </c>
      <c r="Z216" s="36">
        <f t="shared" ref="Z216:Z221" si="41">IFERROR(IF(Y216=0,"",ROUNDUP(Y216/H216,0)*0.00651),"")</f>
        <v>0.87234</v>
      </c>
      <c r="AA216" s="56"/>
      <c r="AB216" s="57"/>
      <c r="AC216" s="269" t="s">
        <v>350</v>
      </c>
      <c r="AG216" s="64"/>
      <c r="AJ216" s="68"/>
      <c r="AK216" s="68">
        <v>0</v>
      </c>
      <c r="BB216" s="270" t="s">
        <v>1</v>
      </c>
      <c r="BM216" s="64">
        <f t="shared" si="37"/>
        <v>356</v>
      </c>
      <c r="BN216" s="64">
        <f t="shared" si="38"/>
        <v>357.78</v>
      </c>
      <c r="BO216" s="64">
        <f t="shared" si="39"/>
        <v>0.73260073260073266</v>
      </c>
      <c r="BP216" s="64">
        <f t="shared" si="40"/>
        <v>0.73626373626373631</v>
      </c>
    </row>
    <row r="217" spans="1:68" ht="27" customHeight="1" x14ac:dyDescent="0.25">
      <c r="A217" s="54" t="s">
        <v>359</v>
      </c>
      <c r="B217" s="54" t="s">
        <v>360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69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362</v>
      </c>
      <c r="B218" s="54" t="s">
        <v>363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69</v>
      </c>
      <c r="X218" s="615">
        <v>280</v>
      </c>
      <c r="Y218" s="616">
        <f t="shared" si="36"/>
        <v>280.8</v>
      </c>
      <c r="Z218" s="36">
        <f t="shared" si="41"/>
        <v>0.76167000000000007</v>
      </c>
      <c r="AA218" s="56"/>
      <c r="AB218" s="57"/>
      <c r="AC218" s="273" t="s">
        <v>356</v>
      </c>
      <c r="AG218" s="64"/>
      <c r="AJ218" s="68"/>
      <c r="AK218" s="68">
        <v>0</v>
      </c>
      <c r="BB218" s="274" t="s">
        <v>1</v>
      </c>
      <c r="BM218" s="64">
        <f t="shared" si="37"/>
        <v>309.40000000000003</v>
      </c>
      <c r="BN218" s="64">
        <f t="shared" si="38"/>
        <v>310.28400000000005</v>
      </c>
      <c r="BO218" s="64">
        <f t="shared" si="39"/>
        <v>0.64102564102564108</v>
      </c>
      <c r="BP218" s="64">
        <f t="shared" si="40"/>
        <v>0.64285714285714302</v>
      </c>
    </row>
    <row r="219" spans="1:68" ht="27" customHeight="1" x14ac:dyDescent="0.25">
      <c r="A219" s="54" t="s">
        <v>364</v>
      </c>
      <c r="B219" s="54" t="s">
        <v>365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69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366</v>
      </c>
      <c r="B220" s="54" t="s">
        <v>367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69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368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369</v>
      </c>
      <c r="B221" s="54" t="s">
        <v>370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69</v>
      </c>
      <c r="X221" s="615">
        <v>280</v>
      </c>
      <c r="Y221" s="616">
        <f t="shared" si="36"/>
        <v>280.8</v>
      </c>
      <c r="Z221" s="36">
        <f t="shared" si="41"/>
        <v>0.76167000000000007</v>
      </c>
      <c r="AA221" s="56"/>
      <c r="AB221" s="57"/>
      <c r="AC221" s="279" t="s">
        <v>371</v>
      </c>
      <c r="AG221" s="64"/>
      <c r="AJ221" s="68"/>
      <c r="AK221" s="68">
        <v>0</v>
      </c>
      <c r="BB221" s="280" t="s">
        <v>1</v>
      </c>
      <c r="BM221" s="64">
        <f t="shared" si="37"/>
        <v>310.10000000000002</v>
      </c>
      <c r="BN221" s="64">
        <f t="shared" si="38"/>
        <v>310.98599999999999</v>
      </c>
      <c r="BO221" s="64">
        <f t="shared" si="39"/>
        <v>0.64102564102564108</v>
      </c>
      <c r="BP221" s="64">
        <f t="shared" si="40"/>
        <v>0.64285714285714302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37" t="s">
        <v>87</v>
      </c>
      <c r="X222" s="617">
        <f>IFERROR(X213/H213,"0")+IFERROR(X214/H214,"0")+IFERROR(X215/H215,"0")+IFERROR(X216/H216,"0")+IFERROR(X217/H217,"0")+IFERROR(X218/H218,"0")+IFERROR(X219/H219,"0")+IFERROR(X220/H220,"0")+IFERROR(X221/H221,"0")</f>
        <v>380.45977011494256</v>
      </c>
      <c r="Y222" s="617">
        <f>IFERROR(Y213/H213,"0")+IFERROR(Y214/H214,"0")+IFERROR(Y215/H215,"0")+IFERROR(Y216/H216,"0")+IFERROR(Y217/H217,"0")+IFERROR(Y218/H218,"0")+IFERROR(Y219/H219,"0")+IFERROR(Y220/H220,"0")+IFERROR(Y221/H221,"0")</f>
        <v>382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2.6614000000000004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37" t="s">
        <v>69</v>
      </c>
      <c r="X223" s="617">
        <f>IFERROR(SUM(X213:X221),"0")</f>
        <v>1000</v>
      </c>
      <c r="Y223" s="617">
        <f>IFERROR(SUM(Y213:Y221),"0")</f>
        <v>1005</v>
      </c>
      <c r="Z223" s="37"/>
      <c r="AA223" s="618"/>
      <c r="AB223" s="618"/>
      <c r="AC223" s="618"/>
    </row>
    <row r="224" spans="1:68" ht="14.25" customHeight="1" x14ac:dyDescent="0.25">
      <c r="A224" s="639" t="s">
        <v>172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372</v>
      </c>
      <c r="B225" s="54" t="s">
        <v>373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69</v>
      </c>
      <c r="X225" s="615">
        <v>32</v>
      </c>
      <c r="Y225" s="616">
        <f>IFERROR(IF(X225="",0,CEILING((X225/$H225),1)*$H225),"")</f>
        <v>33.6</v>
      </c>
      <c r="Z225" s="36">
        <f>IFERROR(IF(Y225=0,"",ROUNDUP(Y225/H225,0)*0.00651),"")</f>
        <v>9.1139999999999999E-2</v>
      </c>
      <c r="AA225" s="56"/>
      <c r="AB225" s="57"/>
      <c r="AC225" s="281" t="s">
        <v>374</v>
      </c>
      <c r="AG225" s="64"/>
      <c r="AJ225" s="68"/>
      <c r="AK225" s="68">
        <v>0</v>
      </c>
      <c r="BB225" s="282" t="s">
        <v>1</v>
      </c>
      <c r="BM225" s="64">
        <f>IFERROR(X225*I225/H225,"0")</f>
        <v>35.360000000000007</v>
      </c>
      <c r="BN225" s="64">
        <f>IFERROR(Y225*I225/H225,"0")</f>
        <v>37.128000000000007</v>
      </c>
      <c r="BO225" s="64">
        <f>IFERROR(1/J225*(X225/H225),"0")</f>
        <v>7.3260073260073263E-2</v>
      </c>
      <c r="BP225" s="64">
        <f>IFERROR(1/J225*(Y225/H225),"0")</f>
        <v>7.6923076923076941E-2</v>
      </c>
    </row>
    <row r="226" spans="1:68" ht="27" customHeight="1" x14ac:dyDescent="0.25">
      <c r="A226" s="54" t="s">
        <v>375</v>
      </c>
      <c r="B226" s="54" t="s">
        <v>376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69</v>
      </c>
      <c r="X226" s="615">
        <v>32</v>
      </c>
      <c r="Y226" s="616">
        <f>IFERROR(IF(X226="",0,CEILING((X226/$H226),1)*$H226),"")</f>
        <v>33.6</v>
      </c>
      <c r="Z226" s="36">
        <f>IFERROR(IF(Y226=0,"",ROUNDUP(Y226/H226,0)*0.00651),"")</f>
        <v>9.1139999999999999E-2</v>
      </c>
      <c r="AA226" s="56"/>
      <c r="AB226" s="57"/>
      <c r="AC226" s="283" t="s">
        <v>377</v>
      </c>
      <c r="AG226" s="64"/>
      <c r="AJ226" s="68"/>
      <c r="AK226" s="68">
        <v>0</v>
      </c>
      <c r="BB226" s="284" t="s">
        <v>1</v>
      </c>
      <c r="BM226" s="64">
        <f>IFERROR(X226*I226/H226,"0")</f>
        <v>35.360000000000007</v>
      </c>
      <c r="BN226" s="64">
        <f>IFERROR(Y226*I226/H226,"0")</f>
        <v>37.128000000000007</v>
      </c>
      <c r="BO226" s="64">
        <f>IFERROR(1/J226*(X226/H226),"0")</f>
        <v>7.3260073260073263E-2</v>
      </c>
      <c r="BP226" s="64">
        <f>IFERROR(1/J226*(Y226/H226),"0")</f>
        <v>7.6923076923076941E-2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37" t="s">
        <v>87</v>
      </c>
      <c r="X227" s="617">
        <f>IFERROR(X225/H225,"0")+IFERROR(X226/H226,"0")</f>
        <v>26.666666666666668</v>
      </c>
      <c r="Y227" s="617">
        <f>IFERROR(Y225/H225,"0")+IFERROR(Y226/H226,"0")</f>
        <v>28.000000000000004</v>
      </c>
      <c r="Z227" s="617">
        <f>IFERROR(IF(Z225="",0,Z225),"0")+IFERROR(IF(Z226="",0,Z226),"0")</f>
        <v>0.18228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37" t="s">
        <v>69</v>
      </c>
      <c r="X228" s="617">
        <f>IFERROR(SUM(X225:X226),"0")</f>
        <v>64</v>
      </c>
      <c r="Y228" s="617">
        <f>IFERROR(SUM(Y225:Y226),"0")</f>
        <v>67.2</v>
      </c>
      <c r="Z228" s="37"/>
      <c r="AA228" s="618"/>
      <c r="AB228" s="618"/>
      <c r="AC228" s="618"/>
    </row>
    <row r="229" spans="1:68" ht="16.5" customHeight="1" x14ac:dyDescent="0.25">
      <c r="A229" s="636" t="s">
        <v>378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379</v>
      </c>
      <c r="B231" s="54" t="s">
        <v>380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69</v>
      </c>
      <c r="X231" s="615">
        <v>20</v>
      </c>
      <c r="Y231" s="616">
        <f t="shared" ref="Y231:Y238" si="42">IFERROR(IF(X231="",0,CEILING((X231/$H231),1)*$H231),"")</f>
        <v>23.2</v>
      </c>
      <c r="Z231" s="36">
        <f>IFERROR(IF(Y231=0,"",ROUNDUP(Y231/H231,0)*0.01898),"")</f>
        <v>3.7960000000000001E-2</v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20.75</v>
      </c>
      <c r="BN231" s="64">
        <f t="shared" ref="BN231:BN238" si="44">IFERROR(Y231*I231/H231,"0")</f>
        <v>24.07</v>
      </c>
      <c r="BO231" s="64">
        <f t="shared" ref="BO231:BO238" si="45">IFERROR(1/J231*(X231/H231),"0")</f>
        <v>2.6939655172413795E-2</v>
      </c>
      <c r="BP231" s="64">
        <f t="shared" ref="BP231:BP238" si="46">IFERROR(1/J231*(Y231/H231),"0")</f>
        <v>3.125E-2</v>
      </c>
    </row>
    <row r="232" spans="1:68" ht="27" customHeight="1" x14ac:dyDescent="0.25">
      <c r="A232" s="54" t="s">
        <v>379</v>
      </c>
      <c r="B232" s="54" t="s">
        <v>382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99</v>
      </c>
      <c r="L232" s="32"/>
      <c r="M232" s="33" t="s">
        <v>383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69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384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69</v>
      </c>
      <c r="X233" s="615">
        <v>10</v>
      </c>
      <c r="Y233" s="616">
        <f t="shared" si="42"/>
        <v>11.6</v>
      </c>
      <c r="Z233" s="36">
        <f>IFERROR(IF(Y233=0,"",ROUNDUP(Y233/H233,0)*0.01898),"")</f>
        <v>1.898E-2</v>
      </c>
      <c r="AA233" s="56"/>
      <c r="AB233" s="57"/>
      <c r="AC233" s="289" t="s">
        <v>387</v>
      </c>
      <c r="AG233" s="64"/>
      <c r="AJ233" s="68"/>
      <c r="AK233" s="68">
        <v>0</v>
      </c>
      <c r="BB233" s="290" t="s">
        <v>1</v>
      </c>
      <c r="BM233" s="64">
        <f t="shared" si="43"/>
        <v>10.375</v>
      </c>
      <c r="BN233" s="64">
        <f t="shared" si="44"/>
        <v>12.035</v>
      </c>
      <c r="BO233" s="64">
        <f t="shared" si="45"/>
        <v>1.3469827586206897E-2</v>
      </c>
      <c r="BP233" s="64">
        <f t="shared" si="46"/>
        <v>1.5625E-2</v>
      </c>
    </row>
    <row r="234" spans="1:68" ht="27" customHeight="1" x14ac:dyDescent="0.25">
      <c r="A234" s="54" t="s">
        <v>388</v>
      </c>
      <c r="B234" s="54" t="s">
        <v>389</v>
      </c>
      <c r="C234" s="31">
        <v>4301011721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69</v>
      </c>
      <c r="X234" s="615">
        <v>0</v>
      </c>
      <c r="Y234" s="616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390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388</v>
      </c>
      <c r="B235" s="54" t="s">
        <v>391</v>
      </c>
      <c r="C235" s="31">
        <v>4301011941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12.08</v>
      </c>
      <c r="J235" s="32">
        <v>48</v>
      </c>
      <c r="K235" s="32" t="s">
        <v>99</v>
      </c>
      <c r="L235" s="32"/>
      <c r="M235" s="33" t="s">
        <v>383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69</v>
      </c>
      <c r="X235" s="615">
        <v>0</v>
      </c>
      <c r="Y235" s="616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392</v>
      </c>
      <c r="B236" s="54" t="s">
        <v>393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69</v>
      </c>
      <c r="X236" s="615">
        <v>20</v>
      </c>
      <c r="Y236" s="616">
        <f t="shared" si="42"/>
        <v>20</v>
      </c>
      <c r="Z236" s="36">
        <f>IFERROR(IF(Y236=0,"",ROUNDUP(Y236/H236,0)*0.00902),"")</f>
        <v>4.5100000000000001E-2</v>
      </c>
      <c r="AA236" s="56"/>
      <c r="AB236" s="57"/>
      <c r="AC236" s="295" t="s">
        <v>381</v>
      </c>
      <c r="AG236" s="64"/>
      <c r="AJ236" s="68"/>
      <c r="AK236" s="68">
        <v>0</v>
      </c>
      <c r="BB236" s="296" t="s">
        <v>1</v>
      </c>
      <c r="BM236" s="64">
        <f t="shared" si="43"/>
        <v>21.05</v>
      </c>
      <c r="BN236" s="64">
        <f t="shared" si="44"/>
        <v>21.05</v>
      </c>
      <c r="BO236" s="64">
        <f t="shared" si="45"/>
        <v>3.787878787878788E-2</v>
      </c>
      <c r="BP236" s="64">
        <f t="shared" si="46"/>
        <v>3.787878787878788E-2</v>
      </c>
    </row>
    <row r="237" spans="1:68" ht="27" customHeight="1" x14ac:dyDescent="0.25">
      <c r="A237" s="54" t="s">
        <v>394</v>
      </c>
      <c r="B237" s="54" t="s">
        <v>395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69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387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396</v>
      </c>
      <c r="B238" s="54" t="s">
        <v>397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69</v>
      </c>
      <c r="X238" s="615">
        <v>120</v>
      </c>
      <c r="Y238" s="616">
        <f t="shared" si="42"/>
        <v>120</v>
      </c>
      <c r="Z238" s="36">
        <f>IFERROR(IF(Y238=0,"",ROUNDUP(Y238/H238,0)*0.00902),"")</f>
        <v>0.27060000000000001</v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126.3</v>
      </c>
      <c r="BN238" s="64">
        <f t="shared" si="44"/>
        <v>126.3</v>
      </c>
      <c r="BO238" s="64">
        <f t="shared" si="45"/>
        <v>0.22727272727272729</v>
      </c>
      <c r="BP238" s="64">
        <f t="shared" si="46"/>
        <v>0.22727272727272729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37" t="s">
        <v>87</v>
      </c>
      <c r="X239" s="617">
        <f>IFERROR(X231/H231,"0")+IFERROR(X232/H232,"0")+IFERROR(X233/H233,"0")+IFERROR(X234/H234,"0")+IFERROR(X235/H235,"0")+IFERROR(X236/H236,"0")+IFERROR(X237/H237,"0")+IFERROR(X238/H238,"0")</f>
        <v>37.586206896551722</v>
      </c>
      <c r="Y239" s="617">
        <f>IFERROR(Y231/H231,"0")+IFERROR(Y232/H232,"0")+IFERROR(Y233/H233,"0")+IFERROR(Y234/H234,"0")+IFERROR(Y235/H235,"0")+IFERROR(Y236/H236,"0")+IFERROR(Y237/H237,"0")+IFERROR(Y238/H238,"0")</f>
        <v>38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0.37264000000000003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37" t="s">
        <v>69</v>
      </c>
      <c r="X240" s="617">
        <f>IFERROR(SUM(X231:X238),"0")</f>
        <v>170</v>
      </c>
      <c r="Y240" s="617">
        <f>IFERROR(SUM(Y231:Y238),"0")</f>
        <v>174.8</v>
      </c>
      <c r="Z240" s="37"/>
      <c r="AA240" s="618"/>
      <c r="AB240" s="618"/>
      <c r="AC240" s="618"/>
    </row>
    <row r="241" spans="1:68" ht="14.25" customHeight="1" x14ac:dyDescent="0.25">
      <c r="A241" s="639" t="s">
        <v>135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398</v>
      </c>
      <c r="B242" s="54" t="s">
        <v>399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149</v>
      </c>
      <c r="L242" s="32"/>
      <c r="M242" s="33" t="s">
        <v>106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69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400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398</v>
      </c>
      <c r="B243" s="54" t="s">
        <v>401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149</v>
      </c>
      <c r="L243" s="32"/>
      <c r="M243" s="33" t="s">
        <v>106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69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400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37" t="s">
        <v>87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37" t="s">
        <v>69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402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403</v>
      </c>
      <c r="B247" s="54" t="s">
        <v>404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899" t="s">
        <v>405</v>
      </c>
      <c r="Q247" s="622"/>
      <c r="R247" s="622"/>
      <c r="S247" s="622"/>
      <c r="T247" s="623"/>
      <c r="U247" s="34"/>
      <c r="V247" s="34"/>
      <c r="W247" s="35" t="s">
        <v>69</v>
      </c>
      <c r="X247" s="615">
        <v>6</v>
      </c>
      <c r="Y247" s="616">
        <f>IFERROR(IF(X247="",0,CEILING((X247/$H247),1)*$H247),"")</f>
        <v>6.48</v>
      </c>
      <c r="Z247" s="36">
        <f>IFERROR(IF(Y247=0,"",ROUNDUP(Y247/H247,0)*0.0059),"")</f>
        <v>1.77E-2</v>
      </c>
      <c r="AA247" s="56"/>
      <c r="AB247" s="57"/>
      <c r="AC247" s="305" t="s">
        <v>406</v>
      </c>
      <c r="AG247" s="64"/>
      <c r="AJ247" s="68"/>
      <c r="AK247" s="68">
        <v>0</v>
      </c>
      <c r="BB247" s="306" t="s">
        <v>1</v>
      </c>
      <c r="BM247" s="64">
        <f>IFERROR(X247*I247/H247,"0")</f>
        <v>6.5277777777777777</v>
      </c>
      <c r="BN247" s="64">
        <f>IFERROR(Y247*I247/H247,"0")</f>
        <v>7.05</v>
      </c>
      <c r="BO247" s="64">
        <f>IFERROR(1/J247*(X247/H247),"0")</f>
        <v>1.2860082304526748E-2</v>
      </c>
      <c r="BP247" s="64">
        <f>IFERROR(1/J247*(Y247/H247),"0")</f>
        <v>1.3888888888888888E-2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37" t="s">
        <v>87</v>
      </c>
      <c r="X248" s="617">
        <f>IFERROR(X247/H247,"0")</f>
        <v>2.7777777777777777</v>
      </c>
      <c r="Y248" s="617">
        <f>IFERROR(Y247/H247,"0")</f>
        <v>3</v>
      </c>
      <c r="Z248" s="617">
        <f>IFERROR(IF(Z247="",0,Z247),"0")</f>
        <v>1.77E-2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37" t="s">
        <v>69</v>
      </c>
      <c r="X249" s="617">
        <f>IFERROR(SUM(X247:X247),"0")</f>
        <v>6</v>
      </c>
      <c r="Y249" s="617">
        <f>IFERROR(SUM(Y247:Y247),"0")</f>
        <v>6.48</v>
      </c>
      <c r="Z249" s="37"/>
      <c r="AA249" s="618"/>
      <c r="AB249" s="618"/>
      <c r="AC249" s="618"/>
    </row>
    <row r="250" spans="1:68" ht="14.25" customHeight="1" x14ac:dyDescent="0.25">
      <c r="A250" s="639" t="s">
        <v>407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408</v>
      </c>
      <c r="B251" s="54" t="s">
        <v>409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55" t="s">
        <v>410</v>
      </c>
      <c r="Q251" s="622"/>
      <c r="R251" s="622"/>
      <c r="S251" s="622"/>
      <c r="T251" s="623"/>
      <c r="U251" s="34"/>
      <c r="V251" s="34"/>
      <c r="W251" s="35" t="s">
        <v>69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411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665" t="s">
        <v>414</v>
      </c>
      <c r="Q252" s="622"/>
      <c r="R252" s="622"/>
      <c r="S252" s="622"/>
      <c r="T252" s="623"/>
      <c r="U252" s="34"/>
      <c r="V252" s="34"/>
      <c r="W252" s="35" t="s">
        <v>69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411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34" t="s">
        <v>417</v>
      </c>
      <c r="Q253" s="622"/>
      <c r="R253" s="622"/>
      <c r="S253" s="622"/>
      <c r="T253" s="623"/>
      <c r="U253" s="34"/>
      <c r="V253" s="34"/>
      <c r="W253" s="35" t="s">
        <v>69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411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418</v>
      </c>
      <c r="B254" s="54" t="s">
        <v>419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54" t="s">
        <v>420</v>
      </c>
      <c r="Q254" s="622"/>
      <c r="R254" s="622"/>
      <c r="S254" s="622"/>
      <c r="T254" s="623"/>
      <c r="U254" s="34"/>
      <c r="V254" s="34"/>
      <c r="W254" s="35" t="s">
        <v>69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411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421</v>
      </c>
      <c r="B255" s="54" t="s">
        <v>422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21" t="s">
        <v>423</v>
      </c>
      <c r="Q255" s="622"/>
      <c r="R255" s="622"/>
      <c r="S255" s="622"/>
      <c r="T255" s="623"/>
      <c r="U255" s="34"/>
      <c r="V255" s="34"/>
      <c r="W255" s="35" t="s">
        <v>69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411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37" t="s">
        <v>87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37" t="s">
        <v>69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424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425</v>
      </c>
      <c r="B260" s="54" t="s">
        <v>426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69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427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428</v>
      </c>
      <c r="B261" s="54" t="s">
        <v>429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99</v>
      </c>
      <c r="L261" s="32"/>
      <c r="M261" s="33" t="s">
        <v>383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69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430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428</v>
      </c>
      <c r="B262" s="54" t="s">
        <v>431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69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432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433</v>
      </c>
      <c r="B263" s="54" t="s">
        <v>434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69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435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436</v>
      </c>
      <c r="B264" s="54" t="s">
        <v>437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69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438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69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441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37" t="s">
        <v>87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37" t="s">
        <v>69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442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443</v>
      </c>
      <c r="B270" s="54" t="s">
        <v>444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69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445</v>
      </c>
      <c r="B271" s="54" t="s">
        <v>446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69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447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448</v>
      </c>
      <c r="B272" s="54" t="s">
        <v>449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69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450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451</v>
      </c>
      <c r="B273" s="54" t="s">
        <v>452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13" t="s">
        <v>453</v>
      </c>
      <c r="Q273" s="622"/>
      <c r="R273" s="622"/>
      <c r="S273" s="622"/>
      <c r="T273" s="623"/>
      <c r="U273" s="34"/>
      <c r="V273" s="34"/>
      <c r="W273" s="35" t="s">
        <v>69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454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37" t="s">
        <v>87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37" t="s">
        <v>69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455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456</v>
      </c>
      <c r="B278" s="54" t="s">
        <v>457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69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458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459</v>
      </c>
      <c r="B279" s="54" t="s">
        <v>460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69</v>
      </c>
      <c r="X279" s="615">
        <v>160</v>
      </c>
      <c r="Y279" s="616">
        <f>IFERROR(IF(X279="",0,CEILING((X279/$H279),1)*$H279),"")</f>
        <v>160.79999999999998</v>
      </c>
      <c r="Z279" s="36">
        <f>IFERROR(IF(Y279=0,"",ROUNDUP(Y279/H279,0)*0.00651),"")</f>
        <v>0.43617</v>
      </c>
      <c r="AA279" s="56"/>
      <c r="AB279" s="57"/>
      <c r="AC279" s="339" t="s">
        <v>461</v>
      </c>
      <c r="AG279" s="64"/>
      <c r="AJ279" s="68"/>
      <c r="AK279" s="68">
        <v>0</v>
      </c>
      <c r="BB279" s="340" t="s">
        <v>1</v>
      </c>
      <c r="BM279" s="64">
        <f>IFERROR(X279*I279/H279,"0")</f>
        <v>176.80000000000004</v>
      </c>
      <c r="BN279" s="64">
        <f>IFERROR(Y279*I279/H279,"0")</f>
        <v>177.684</v>
      </c>
      <c r="BO279" s="64">
        <f>IFERROR(1/J279*(X279/H279),"0")</f>
        <v>0.36630036630036633</v>
      </c>
      <c r="BP279" s="64">
        <f>IFERROR(1/J279*(Y279/H279),"0")</f>
        <v>0.36813186813186816</v>
      </c>
    </row>
    <row r="280" spans="1:68" ht="37.5" customHeight="1" x14ac:dyDescent="0.25">
      <c r="A280" s="54" t="s">
        <v>462</v>
      </c>
      <c r="B280" s="54" t="s">
        <v>463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69</v>
      </c>
      <c r="X280" s="615">
        <v>280</v>
      </c>
      <c r="Y280" s="616">
        <f>IFERROR(IF(X280="",0,CEILING((X280/$H280),1)*$H280),"")</f>
        <v>280.8</v>
      </c>
      <c r="Z280" s="36">
        <f>IFERROR(IF(Y280=0,"",ROUNDUP(Y280/H280,0)*0.00651),"")</f>
        <v>0.76167000000000007</v>
      </c>
      <c r="AA280" s="56"/>
      <c r="AB280" s="57"/>
      <c r="AC280" s="341" t="s">
        <v>464</v>
      </c>
      <c r="AG280" s="64"/>
      <c r="AJ280" s="68" t="s">
        <v>107</v>
      </c>
      <c r="AK280" s="68">
        <v>436.8</v>
      </c>
      <c r="BB280" s="342" t="s">
        <v>1</v>
      </c>
      <c r="BM280" s="64">
        <f>IFERROR(X280*I280/H280,"0")</f>
        <v>301</v>
      </c>
      <c r="BN280" s="64">
        <f>IFERROR(Y280*I280/H280,"0")</f>
        <v>301.86</v>
      </c>
      <c r="BO280" s="64">
        <f>IFERROR(1/J280*(X280/H280),"0")</f>
        <v>0.64102564102564108</v>
      </c>
      <c r="BP280" s="64">
        <f>IFERROR(1/J280*(Y280/H280),"0")</f>
        <v>0.64285714285714302</v>
      </c>
    </row>
    <row r="281" spans="1:68" ht="27" customHeight="1" x14ac:dyDescent="0.25">
      <c r="A281" s="54" t="s">
        <v>465</v>
      </c>
      <c r="B281" s="54" t="s">
        <v>466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69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458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37" t="s">
        <v>87</v>
      </c>
      <c r="X282" s="617">
        <f>IFERROR(X278/H278,"0")+IFERROR(X279/H279,"0")+IFERROR(X280/H280,"0")+IFERROR(X281/H281,"0")</f>
        <v>183.33333333333334</v>
      </c>
      <c r="Y282" s="617">
        <f>IFERROR(Y278/H278,"0")+IFERROR(Y279/H279,"0")+IFERROR(Y280/H280,"0")+IFERROR(Y281/H281,"0")</f>
        <v>184</v>
      </c>
      <c r="Z282" s="617">
        <f>IFERROR(IF(Z278="",0,Z278),"0")+IFERROR(IF(Z279="",0,Z279),"0")+IFERROR(IF(Z280="",0,Z280),"0")+IFERROR(IF(Z281="",0,Z281),"0")</f>
        <v>1.19784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37" t="s">
        <v>69</v>
      </c>
      <c r="X283" s="617">
        <f>IFERROR(SUM(X278:X281),"0")</f>
        <v>440</v>
      </c>
      <c r="Y283" s="617">
        <f>IFERROR(SUM(Y278:Y281),"0")</f>
        <v>441.6</v>
      </c>
      <c r="Z283" s="37"/>
      <c r="AA283" s="618"/>
      <c r="AB283" s="618"/>
      <c r="AC283" s="618"/>
    </row>
    <row r="284" spans="1:68" ht="16.5" customHeight="1" x14ac:dyDescent="0.25">
      <c r="A284" s="636" t="s">
        <v>467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146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468</v>
      </c>
      <c r="B286" s="54" t="s">
        <v>469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69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470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37" t="s">
        <v>87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37" t="s">
        <v>69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471</v>
      </c>
      <c r="B290" s="54" t="s">
        <v>472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69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473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37" t="s">
        <v>87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37" t="s">
        <v>69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474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475</v>
      </c>
      <c r="B295" s="54" t="s">
        <v>476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69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477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37" t="s">
        <v>87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37" t="s">
        <v>69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478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146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479</v>
      </c>
      <c r="B300" s="54" t="s">
        <v>480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69</v>
      </c>
      <c r="X300" s="615">
        <v>140</v>
      </c>
      <c r="Y300" s="616">
        <f>IFERROR(IF(X300="",0,CEILING((X300/$H300),1)*$H300),"")</f>
        <v>140.70000000000002</v>
      </c>
      <c r="Z300" s="36">
        <f>IFERROR(IF(Y300=0,"",ROUNDUP(Y300/H300,0)*0.00502),"")</f>
        <v>0.33634000000000003</v>
      </c>
      <c r="AA300" s="56"/>
      <c r="AB300" s="57"/>
      <c r="AC300" s="351" t="s">
        <v>481</v>
      </c>
      <c r="AG300" s="64"/>
      <c r="AJ300" s="68"/>
      <c r="AK300" s="68">
        <v>0</v>
      </c>
      <c r="BB300" s="352" t="s">
        <v>1</v>
      </c>
      <c r="BM300" s="64">
        <f>IFERROR(X300*I300/H300,"0")</f>
        <v>146.66666666666666</v>
      </c>
      <c r="BN300" s="64">
        <f>IFERROR(Y300*I300/H300,"0")</f>
        <v>147.40000000000003</v>
      </c>
      <c r="BO300" s="64">
        <f>IFERROR(1/J300*(X300/H300),"0")</f>
        <v>0.28490028490028491</v>
      </c>
      <c r="BP300" s="64">
        <f>IFERROR(1/J300*(Y300/H300),"0")</f>
        <v>0.28632478632478636</v>
      </c>
    </row>
    <row r="301" spans="1:68" ht="37.5" customHeight="1" x14ac:dyDescent="0.25">
      <c r="A301" s="54" t="s">
        <v>482</v>
      </c>
      <c r="B301" s="54" t="s">
        <v>483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69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481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37" t="s">
        <v>87</v>
      </c>
      <c r="X302" s="617">
        <f>IFERROR(X300/H300,"0")+IFERROR(X301/H301,"0")</f>
        <v>66.666666666666657</v>
      </c>
      <c r="Y302" s="617">
        <f>IFERROR(Y300/H300,"0")+IFERROR(Y301/H301,"0")</f>
        <v>67</v>
      </c>
      <c r="Z302" s="617">
        <f>IFERROR(IF(Z300="",0,Z300),"0")+IFERROR(IF(Z301="",0,Z301),"0")</f>
        <v>0.33634000000000003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37" t="s">
        <v>69</v>
      </c>
      <c r="X303" s="617">
        <f>IFERROR(SUM(X300:X301),"0")</f>
        <v>140</v>
      </c>
      <c r="Y303" s="617">
        <f>IFERROR(SUM(Y300:Y301),"0")</f>
        <v>140.70000000000002</v>
      </c>
      <c r="Z303" s="37"/>
      <c r="AA303" s="618"/>
      <c r="AB303" s="618"/>
      <c r="AC303" s="618"/>
    </row>
    <row r="304" spans="1:68" ht="16.5" customHeight="1" x14ac:dyDescent="0.25">
      <c r="A304" s="636" t="s">
        <v>484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485</v>
      </c>
      <c r="B306" s="54" t="s">
        <v>486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69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487</v>
      </c>
      <c r="AB306" s="57"/>
      <c r="AC306" s="355" t="s">
        <v>488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37" t="s">
        <v>87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37" t="s">
        <v>69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489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490</v>
      </c>
      <c r="B311" s="54" t="s">
        <v>491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69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492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99</v>
      </c>
      <c r="L312" s="32"/>
      <c r="M312" s="33" t="s">
        <v>383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69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495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493</v>
      </c>
      <c r="B313" s="54" t="s">
        <v>496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99</v>
      </c>
      <c r="L313" s="32" t="s">
        <v>497</v>
      </c>
      <c r="M313" s="33" t="s">
        <v>106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69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498</v>
      </c>
      <c r="AG313" s="64"/>
      <c r="AJ313" s="68" t="s">
        <v>499</v>
      </c>
      <c r="AK313" s="68">
        <v>86.4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500</v>
      </c>
      <c r="B314" s="54" t="s">
        <v>501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69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502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69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69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498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37" t="s">
        <v>87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37" t="s">
        <v>69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146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508</v>
      </c>
      <c r="B320" s="54" t="s">
        <v>509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69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510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69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513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69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516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69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37" t="s">
        <v>87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37" t="s">
        <v>69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519</v>
      </c>
      <c r="B327" s="54" t="s">
        <v>520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69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521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69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524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69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527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69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531</v>
      </c>
      <c r="B331" s="54" t="s">
        <v>532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69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37" t="s">
        <v>87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37" t="s">
        <v>69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172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534</v>
      </c>
      <c r="B335" s="54" t="s">
        <v>535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69</v>
      </c>
      <c r="X335" s="615">
        <v>40</v>
      </c>
      <c r="Y335" s="616">
        <f>IFERROR(IF(X335="",0,CEILING((X335/$H335),1)*$H335),"")</f>
        <v>42</v>
      </c>
      <c r="Z335" s="36">
        <f>IFERROR(IF(Y335=0,"",ROUNDUP(Y335/H335,0)*0.01898),"")</f>
        <v>9.4899999999999998E-2</v>
      </c>
      <c r="AA335" s="56"/>
      <c r="AB335" s="57"/>
      <c r="AC335" s="387" t="s">
        <v>536</v>
      </c>
      <c r="AG335" s="64"/>
      <c r="AJ335" s="68"/>
      <c r="AK335" s="68">
        <v>0</v>
      </c>
      <c r="BB335" s="388" t="s">
        <v>1</v>
      </c>
      <c r="BM335" s="64">
        <f>IFERROR(X335*I335/H335,"0")</f>
        <v>42.471428571428568</v>
      </c>
      <c r="BN335" s="64">
        <f>IFERROR(Y335*I335/H335,"0")</f>
        <v>44.594999999999999</v>
      </c>
      <c r="BO335" s="64">
        <f>IFERROR(1/J335*(X335/H335),"0")</f>
        <v>7.4404761904761904E-2</v>
      </c>
      <c r="BP335" s="64">
        <f>IFERROR(1/J335*(Y335/H335),"0")</f>
        <v>7.8125E-2</v>
      </c>
    </row>
    <row r="336" spans="1:68" ht="27" customHeight="1" x14ac:dyDescent="0.25">
      <c r="A336" s="54" t="s">
        <v>537</v>
      </c>
      <c r="B336" s="54" t="s">
        <v>538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69</v>
      </c>
      <c r="X336" s="615">
        <v>400</v>
      </c>
      <c r="Y336" s="616">
        <f>IFERROR(IF(X336="",0,CEILING((X336/$H336),1)*$H336),"")</f>
        <v>405.59999999999997</v>
      </c>
      <c r="Z336" s="36">
        <f>IFERROR(IF(Y336=0,"",ROUNDUP(Y336/H336,0)*0.01898),"")</f>
        <v>0.98696000000000006</v>
      </c>
      <c r="AA336" s="56"/>
      <c r="AB336" s="57"/>
      <c r="AC336" s="389" t="s">
        <v>539</v>
      </c>
      <c r="AG336" s="64"/>
      <c r="AJ336" s="68"/>
      <c r="AK336" s="68">
        <v>0</v>
      </c>
      <c r="BB336" s="390" t="s">
        <v>1</v>
      </c>
      <c r="BM336" s="64">
        <f>IFERROR(X336*I336/H336,"0")</f>
        <v>426.6153846153847</v>
      </c>
      <c r="BN336" s="64">
        <f>IFERROR(Y336*I336/H336,"0")</f>
        <v>432.58800000000002</v>
      </c>
      <c r="BO336" s="64">
        <f>IFERROR(1/J336*(X336/H336),"0")</f>
        <v>0.80128205128205132</v>
      </c>
      <c r="BP336" s="64">
        <f>IFERROR(1/J336*(Y336/H336),"0")</f>
        <v>0.8125</v>
      </c>
    </row>
    <row r="337" spans="1:68" ht="16.5" customHeight="1" x14ac:dyDescent="0.25">
      <c r="A337" s="54" t="s">
        <v>540</v>
      </c>
      <c r="B337" s="54" t="s">
        <v>541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69</v>
      </c>
      <c r="X337" s="615">
        <v>10</v>
      </c>
      <c r="Y337" s="616">
        <f>IFERROR(IF(X337="",0,CEILING((X337/$H337),1)*$H337),"")</f>
        <v>16.8</v>
      </c>
      <c r="Z337" s="36">
        <f>IFERROR(IF(Y337=0,"",ROUNDUP(Y337/H337,0)*0.01898),"")</f>
        <v>3.7960000000000001E-2</v>
      </c>
      <c r="AA337" s="56"/>
      <c r="AB337" s="57"/>
      <c r="AC337" s="391" t="s">
        <v>542</v>
      </c>
      <c r="AG337" s="64"/>
      <c r="AJ337" s="68"/>
      <c r="AK337" s="68">
        <v>0</v>
      </c>
      <c r="BB337" s="392" t="s">
        <v>1</v>
      </c>
      <c r="BM337" s="64">
        <f>IFERROR(X337*I337/H337,"0")</f>
        <v>10.617857142857142</v>
      </c>
      <c r="BN337" s="64">
        <f>IFERROR(Y337*I337/H337,"0")</f>
        <v>17.838000000000001</v>
      </c>
      <c r="BO337" s="64">
        <f>IFERROR(1/J337*(X337/H337),"0")</f>
        <v>1.8601190476190476E-2</v>
      </c>
      <c r="BP337" s="64">
        <f>IFERROR(1/J337*(Y337/H337),"0")</f>
        <v>3.125E-2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37" t="s">
        <v>87</v>
      </c>
      <c r="X338" s="617">
        <f>IFERROR(X335/H335,"0")+IFERROR(X336/H336,"0")+IFERROR(X337/H337,"0")</f>
        <v>57.234432234432234</v>
      </c>
      <c r="Y338" s="617">
        <f>IFERROR(Y335/H335,"0")+IFERROR(Y336/H336,"0")+IFERROR(Y337/H337,"0")</f>
        <v>59</v>
      </c>
      <c r="Z338" s="617">
        <f>IFERROR(IF(Z335="",0,Z335),"0")+IFERROR(IF(Z336="",0,Z336),"0")+IFERROR(IF(Z337="",0,Z337),"0")</f>
        <v>1.11982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37" t="s">
        <v>69</v>
      </c>
      <c r="X339" s="617">
        <f>IFERROR(SUM(X335:X337),"0")</f>
        <v>450</v>
      </c>
      <c r="Y339" s="617">
        <f>IFERROR(SUM(Y335:Y337),"0")</f>
        <v>464.4</v>
      </c>
      <c r="Z339" s="37"/>
      <c r="AA339" s="618"/>
      <c r="AB339" s="618"/>
      <c r="AC339" s="618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543</v>
      </c>
      <c r="B341" s="54" t="s">
        <v>544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06" t="s">
        <v>545</v>
      </c>
      <c r="Q341" s="622"/>
      <c r="R341" s="622"/>
      <c r="S341" s="622"/>
      <c r="T341" s="623"/>
      <c r="U341" s="34"/>
      <c r="V341" s="34"/>
      <c r="W341" s="35" t="s">
        <v>69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546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547</v>
      </c>
      <c r="B342" s="54" t="s">
        <v>548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38" t="s">
        <v>549</v>
      </c>
      <c r="Q342" s="622"/>
      <c r="R342" s="622"/>
      <c r="S342" s="622"/>
      <c r="T342" s="623"/>
      <c r="U342" s="34"/>
      <c r="V342" s="34"/>
      <c r="W342" s="35" t="s">
        <v>69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550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551</v>
      </c>
      <c r="B343" s="54" t="s">
        <v>552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69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553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554</v>
      </c>
      <c r="B344" s="54" t="s">
        <v>555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69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550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37" t="s">
        <v>87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37" t="s">
        <v>69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557</v>
      </c>
      <c r="B348" s="54" t="s">
        <v>558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67</v>
      </c>
      <c r="L348" s="32"/>
      <c r="M348" s="33" t="s">
        <v>559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69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560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561</v>
      </c>
      <c r="B349" s="54" t="s">
        <v>562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67</v>
      </c>
      <c r="L349" s="32"/>
      <c r="M349" s="33" t="s">
        <v>559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69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560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563</v>
      </c>
      <c r="B350" s="54" t="s">
        <v>564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67</v>
      </c>
      <c r="L350" s="32"/>
      <c r="M350" s="33" t="s">
        <v>559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69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560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37" t="s">
        <v>87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37" t="s">
        <v>69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146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566</v>
      </c>
      <c r="B355" s="54" t="s">
        <v>567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69</v>
      </c>
      <c r="X355" s="615">
        <v>30</v>
      </c>
      <c r="Y355" s="616">
        <f>IFERROR(IF(X355="",0,CEILING((X355/$H355),1)*$H355),"")</f>
        <v>30.6</v>
      </c>
      <c r="Z355" s="36">
        <f>IFERROR(IF(Y355=0,"",ROUNDUP(Y355/H355,0)*0.00651),"")</f>
        <v>0.11067</v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33.800000000000004</v>
      </c>
      <c r="BN355" s="64">
        <f>IFERROR(Y355*I355/H355,"0")</f>
        <v>34.475999999999999</v>
      </c>
      <c r="BO355" s="64">
        <f>IFERROR(1/J355*(X355/H355),"0")</f>
        <v>9.1575091575091583E-2</v>
      </c>
      <c r="BP355" s="64">
        <f>IFERROR(1/J355*(Y355/H355),"0")</f>
        <v>9.3406593406593408E-2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37" t="s">
        <v>87</v>
      </c>
      <c r="X356" s="617">
        <f>IFERROR(X355/H355,"0")</f>
        <v>16.666666666666668</v>
      </c>
      <c r="Y356" s="617">
        <f>IFERROR(Y355/H355,"0")</f>
        <v>17</v>
      </c>
      <c r="Z356" s="617">
        <f>IFERROR(IF(Z355="",0,Z355),"0")</f>
        <v>0.11067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37" t="s">
        <v>69</v>
      </c>
      <c r="X357" s="617">
        <f>IFERROR(SUM(X355:X355),"0")</f>
        <v>30</v>
      </c>
      <c r="Y357" s="617">
        <f>IFERROR(SUM(Y355:Y355),"0")</f>
        <v>30.6</v>
      </c>
      <c r="Z357" s="37"/>
      <c r="AA357" s="618"/>
      <c r="AB357" s="618"/>
      <c r="AC357" s="618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569</v>
      </c>
      <c r="B359" s="54" t="s">
        <v>570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69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69</v>
      </c>
      <c r="X360" s="615">
        <v>525</v>
      </c>
      <c r="Y360" s="616">
        <f>IFERROR(IF(X360="",0,CEILING((X360/$H360),1)*$H360),"")</f>
        <v>525</v>
      </c>
      <c r="Z360" s="36">
        <f>IFERROR(IF(Y360=0,"",ROUNDUP(Y360/H360,0)*0.00651),"")</f>
        <v>1.6274999999999999</v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588</v>
      </c>
      <c r="BN360" s="64">
        <f>IFERROR(Y360*I360/H360,"0")</f>
        <v>588</v>
      </c>
      <c r="BO360" s="64">
        <f>IFERROR(1/J360*(X360/H360),"0")</f>
        <v>1.3736263736263736</v>
      </c>
      <c r="BP360" s="64">
        <f>IFERROR(1/J360*(Y360/H360),"0")</f>
        <v>1.3736263736263736</v>
      </c>
    </row>
    <row r="361" spans="1:68" ht="27" customHeight="1" x14ac:dyDescent="0.25">
      <c r="A361" s="54" t="s">
        <v>575</v>
      </c>
      <c r="B361" s="54" t="s">
        <v>576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69</v>
      </c>
      <c r="X361" s="615">
        <v>315</v>
      </c>
      <c r="Y361" s="616">
        <f>IFERROR(IF(X361="",0,CEILING((X361/$H361),1)*$H361),"")</f>
        <v>315</v>
      </c>
      <c r="Z361" s="36">
        <f>IFERROR(IF(Y361=0,"",ROUNDUP(Y361/H361,0)*0.00651),"")</f>
        <v>0.97650000000000003</v>
      </c>
      <c r="AA361" s="56"/>
      <c r="AB361" s="57"/>
      <c r="AC361" s="413" t="s">
        <v>577</v>
      </c>
      <c r="AG361" s="64"/>
      <c r="AJ361" s="68"/>
      <c r="AK361" s="68">
        <v>0</v>
      </c>
      <c r="BB361" s="414" t="s">
        <v>1</v>
      </c>
      <c r="BM361" s="64">
        <f>IFERROR(X361*I361/H361,"0")</f>
        <v>350.99999999999994</v>
      </c>
      <c r="BN361" s="64">
        <f>IFERROR(Y361*I361/H361,"0")</f>
        <v>350.99999999999994</v>
      </c>
      <c r="BO361" s="64">
        <f>IFERROR(1/J361*(X361/H361),"0")</f>
        <v>0.82417582417582425</v>
      </c>
      <c r="BP361" s="64">
        <f>IFERROR(1/J361*(Y361/H361),"0")</f>
        <v>0.82417582417582425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37" t="s">
        <v>87</v>
      </c>
      <c r="X362" s="617">
        <f>IFERROR(X359/H359,"0")+IFERROR(X360/H360,"0")+IFERROR(X361/H361,"0")</f>
        <v>400</v>
      </c>
      <c r="Y362" s="617">
        <f>IFERROR(Y359/H359,"0")+IFERROR(Y360/H360,"0")+IFERROR(Y361/H361,"0")</f>
        <v>400</v>
      </c>
      <c r="Z362" s="617">
        <f>IFERROR(IF(Z359="",0,Z359),"0")+IFERROR(IF(Z360="",0,Z360),"0")+IFERROR(IF(Z361="",0,Z361),"0")</f>
        <v>2.6040000000000001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37" t="s">
        <v>69</v>
      </c>
      <c r="X363" s="617">
        <f>IFERROR(SUM(X359:X361),"0")</f>
        <v>840</v>
      </c>
      <c r="Y363" s="617">
        <f>IFERROR(SUM(Y359:Y361),"0")</f>
        <v>840</v>
      </c>
      <c r="Z363" s="37"/>
      <c r="AA363" s="618"/>
      <c r="AB363" s="618"/>
      <c r="AC363" s="618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580</v>
      </c>
      <c r="B367" s="54" t="s">
        <v>581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99</v>
      </c>
      <c r="L367" s="32" t="s">
        <v>105</v>
      </c>
      <c r="M367" s="33" t="s">
        <v>68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69</v>
      </c>
      <c r="X367" s="615">
        <v>1000</v>
      </c>
      <c r="Y367" s="616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582</v>
      </c>
      <c r="AG367" s="64"/>
      <c r="AJ367" s="68" t="s">
        <v>107</v>
      </c>
      <c r="AK367" s="68">
        <v>720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583</v>
      </c>
      <c r="B368" s="54" t="s">
        <v>584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99</v>
      </c>
      <c r="L368" s="32" t="s">
        <v>105</v>
      </c>
      <c r="M368" s="33" t="s">
        <v>68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69</v>
      </c>
      <c r="X368" s="615">
        <v>1000</v>
      </c>
      <c r="Y368" s="616">
        <f t="shared" si="57"/>
        <v>1005</v>
      </c>
      <c r="Z368" s="36">
        <f>IFERROR(IF(Y368=0,"",ROUNDUP(Y368/H368,0)*0.02175),"")</f>
        <v>1.4572499999999999</v>
      </c>
      <c r="AA368" s="56"/>
      <c r="AB368" s="57"/>
      <c r="AC368" s="417" t="s">
        <v>585</v>
      </c>
      <c r="AG368" s="64"/>
      <c r="AJ368" s="68" t="s">
        <v>107</v>
      </c>
      <c r="AK368" s="68">
        <v>720</v>
      </c>
      <c r="BB368" s="418" t="s">
        <v>1</v>
      </c>
      <c r="BM368" s="64">
        <f t="shared" si="58"/>
        <v>1032</v>
      </c>
      <c r="BN368" s="64">
        <f t="shared" si="59"/>
        <v>1037.1600000000001</v>
      </c>
      <c r="BO368" s="64">
        <f t="shared" si="60"/>
        <v>1.3888888888888888</v>
      </c>
      <c r="BP368" s="64">
        <f t="shared" si="61"/>
        <v>1.3958333333333333</v>
      </c>
    </row>
    <row r="369" spans="1:68" ht="27" customHeight="1" x14ac:dyDescent="0.25">
      <c r="A369" s="54" t="s">
        <v>586</v>
      </c>
      <c r="B369" s="54" t="s">
        <v>587</v>
      </c>
      <c r="C369" s="31">
        <v>4301011832</v>
      </c>
      <c r="D369" s="619">
        <v>4607091383997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99</v>
      </c>
      <c r="L369" s="32"/>
      <c r="M369" s="33" t="s">
        <v>130</v>
      </c>
      <c r="N369" s="33"/>
      <c r="O369" s="32">
        <v>60</v>
      </c>
      <c r="P369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22"/>
      <c r="R369" s="622"/>
      <c r="S369" s="622"/>
      <c r="T369" s="623"/>
      <c r="U369" s="34"/>
      <c r="V369" s="34"/>
      <c r="W369" s="35" t="s">
        <v>69</v>
      </c>
      <c r="X369" s="615">
        <v>200</v>
      </c>
      <c r="Y369" s="616">
        <f t="shared" si="57"/>
        <v>210</v>
      </c>
      <c r="Z369" s="36">
        <f>IFERROR(IF(Y369=0,"",ROUNDUP(Y369/H369,0)*0.02175),"")</f>
        <v>0.30449999999999999</v>
      </c>
      <c r="AA369" s="56"/>
      <c r="AB369" s="57"/>
      <c r="AC369" s="419" t="s">
        <v>588</v>
      </c>
      <c r="AG369" s="64"/>
      <c r="AJ369" s="68"/>
      <c r="AK369" s="68">
        <v>0</v>
      </c>
      <c r="BB369" s="420" t="s">
        <v>1</v>
      </c>
      <c r="BM369" s="64">
        <f t="shared" si="58"/>
        <v>206.4</v>
      </c>
      <c r="BN369" s="64">
        <f t="shared" si="59"/>
        <v>216.72</v>
      </c>
      <c r="BO369" s="64">
        <f t="shared" si="60"/>
        <v>0.27777777777777779</v>
      </c>
      <c r="BP369" s="64">
        <f t="shared" si="61"/>
        <v>0.29166666666666663</v>
      </c>
    </row>
    <row r="370" spans="1:68" ht="37.5" customHeight="1" x14ac:dyDescent="0.25">
      <c r="A370" s="54" t="s">
        <v>589</v>
      </c>
      <c r="B370" s="54" t="s">
        <v>590</v>
      </c>
      <c r="C370" s="31">
        <v>4301011867</v>
      </c>
      <c r="D370" s="619">
        <v>4680115884830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99</v>
      </c>
      <c r="L370" s="32" t="s">
        <v>105</v>
      </c>
      <c r="M370" s="33" t="s">
        <v>68</v>
      </c>
      <c r="N370" s="33"/>
      <c r="O370" s="32">
        <v>60</v>
      </c>
      <c r="P370" s="9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22"/>
      <c r="R370" s="622"/>
      <c r="S370" s="622"/>
      <c r="T370" s="623"/>
      <c r="U370" s="34"/>
      <c r="V370" s="34"/>
      <c r="W370" s="35" t="s">
        <v>69</v>
      </c>
      <c r="X370" s="615">
        <v>2000</v>
      </c>
      <c r="Y370" s="616">
        <f t="shared" si="57"/>
        <v>2010</v>
      </c>
      <c r="Z370" s="36">
        <f>IFERROR(IF(Y370=0,"",ROUNDUP(Y370/H370,0)*0.02175),"")</f>
        <v>2.9144999999999999</v>
      </c>
      <c r="AA370" s="56"/>
      <c r="AB370" s="57"/>
      <c r="AC370" s="421" t="s">
        <v>591</v>
      </c>
      <c r="AG370" s="64"/>
      <c r="AJ370" s="68" t="s">
        <v>107</v>
      </c>
      <c r="AK370" s="68">
        <v>720</v>
      </c>
      <c r="BB370" s="422" t="s">
        <v>1</v>
      </c>
      <c r="BM370" s="64">
        <f t="shared" si="58"/>
        <v>2064</v>
      </c>
      <c r="BN370" s="64">
        <f t="shared" si="59"/>
        <v>2074.3200000000002</v>
      </c>
      <c r="BO370" s="64">
        <f t="shared" si="60"/>
        <v>2.7777777777777777</v>
      </c>
      <c r="BP370" s="64">
        <f t="shared" si="61"/>
        <v>2.7916666666666665</v>
      </c>
    </row>
    <row r="371" spans="1:68" ht="27" customHeight="1" x14ac:dyDescent="0.25">
      <c r="A371" s="54" t="s">
        <v>592</v>
      </c>
      <c r="B371" s="54" t="s">
        <v>593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69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595</v>
      </c>
      <c r="B372" s="54" t="s">
        <v>596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69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585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597</v>
      </c>
      <c r="B373" s="54" t="s">
        <v>598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69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591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37" t="s">
        <v>87</v>
      </c>
      <c r="X374" s="617">
        <f>IFERROR(X367/H367,"0")+IFERROR(X368/H368,"0")+IFERROR(X369/H369,"0")+IFERROR(X370/H370,"0")+IFERROR(X371/H371,"0")+IFERROR(X372/H372,"0")+IFERROR(X373/H373,"0")</f>
        <v>280</v>
      </c>
      <c r="Y374" s="617">
        <f>IFERROR(Y367/H367,"0")+IFERROR(Y368/H368,"0")+IFERROR(Y369/H369,"0")+IFERROR(Y370/H370,"0")+IFERROR(Y371/H371,"0")+IFERROR(Y372/H372,"0")+IFERROR(Y373/H373,"0")</f>
        <v>282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6.1334999999999997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37" t="s">
        <v>69</v>
      </c>
      <c r="X375" s="617">
        <f>IFERROR(SUM(X367:X373),"0")</f>
        <v>4200</v>
      </c>
      <c r="Y375" s="617">
        <f>IFERROR(SUM(Y367:Y373),"0")</f>
        <v>4230</v>
      </c>
      <c r="Z375" s="37"/>
      <c r="AA375" s="618"/>
      <c r="AB375" s="618"/>
      <c r="AC375" s="618"/>
    </row>
    <row r="376" spans="1:68" ht="14.25" customHeight="1" x14ac:dyDescent="0.25">
      <c r="A376" s="639" t="s">
        <v>135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599</v>
      </c>
      <c r="B377" s="54" t="s">
        <v>600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99</v>
      </c>
      <c r="L377" s="32" t="s">
        <v>105</v>
      </c>
      <c r="M377" s="33" t="s">
        <v>100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69</v>
      </c>
      <c r="X377" s="615">
        <v>1500</v>
      </c>
      <c r="Y377" s="616">
        <f>IFERROR(IF(X377="",0,CEILING((X377/$H377),1)*$H377),"")</f>
        <v>1500</v>
      </c>
      <c r="Z377" s="36">
        <f>IFERROR(IF(Y377=0,"",ROUNDUP(Y377/H377,0)*0.02175),"")</f>
        <v>2.1749999999999998</v>
      </c>
      <c r="AA377" s="56"/>
      <c r="AB377" s="57"/>
      <c r="AC377" s="429" t="s">
        <v>601</v>
      </c>
      <c r="AG377" s="64"/>
      <c r="AJ377" s="68" t="s">
        <v>107</v>
      </c>
      <c r="AK377" s="68">
        <v>720</v>
      </c>
      <c r="BB377" s="430" t="s">
        <v>1</v>
      </c>
      <c r="BM377" s="64">
        <f>IFERROR(X377*I377/H377,"0")</f>
        <v>1548</v>
      </c>
      <c r="BN377" s="64">
        <f>IFERROR(Y377*I377/H377,"0")</f>
        <v>1548</v>
      </c>
      <c r="BO377" s="64">
        <f>IFERROR(1/J377*(X377/H377),"0")</f>
        <v>2.083333333333333</v>
      </c>
      <c r="BP377" s="64">
        <f>IFERROR(1/J377*(Y377/H377),"0")</f>
        <v>2.083333333333333</v>
      </c>
    </row>
    <row r="378" spans="1:68" ht="16.5" customHeight="1" x14ac:dyDescent="0.25">
      <c r="A378" s="54" t="s">
        <v>602</v>
      </c>
      <c r="B378" s="54" t="s">
        <v>603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69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601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37" t="s">
        <v>87</v>
      </c>
      <c r="X379" s="617">
        <f>IFERROR(X377/H377,"0")+IFERROR(X378/H378,"0")</f>
        <v>100</v>
      </c>
      <c r="Y379" s="617">
        <f>IFERROR(Y377/H377,"0")+IFERROR(Y378/H378,"0")</f>
        <v>100</v>
      </c>
      <c r="Z379" s="617">
        <f>IFERROR(IF(Z377="",0,Z377),"0")+IFERROR(IF(Z378="",0,Z378),"0")</f>
        <v>2.1749999999999998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37" t="s">
        <v>69</v>
      </c>
      <c r="X380" s="617">
        <f>IFERROR(SUM(X377:X378),"0")</f>
        <v>1500</v>
      </c>
      <c r="Y380" s="617">
        <f>IFERROR(SUM(Y377:Y378),"0")</f>
        <v>1500</v>
      </c>
      <c r="Z380" s="37"/>
      <c r="AA380" s="618"/>
      <c r="AB380" s="618"/>
      <c r="AC380" s="618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604</v>
      </c>
      <c r="B382" s="54" t="s">
        <v>605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69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606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69</v>
      </c>
      <c r="X383" s="615">
        <v>20</v>
      </c>
      <c r="Y383" s="616">
        <f>IFERROR(IF(X383="",0,CEILING((X383/$H383),1)*$H383),"")</f>
        <v>27</v>
      </c>
      <c r="Z383" s="36">
        <f>IFERROR(IF(Y383=0,"",ROUNDUP(Y383/H383,0)*0.01898),"")</f>
        <v>5.6940000000000004E-2</v>
      </c>
      <c r="AA383" s="56"/>
      <c r="AB383" s="57"/>
      <c r="AC383" s="435" t="s">
        <v>609</v>
      </c>
      <c r="AG383" s="64"/>
      <c r="AJ383" s="68"/>
      <c r="AK383" s="68">
        <v>0</v>
      </c>
      <c r="BB383" s="436" t="s">
        <v>1</v>
      </c>
      <c r="BM383" s="64">
        <f>IFERROR(X383*I383/H383,"0")</f>
        <v>21.153333333333332</v>
      </c>
      <c r="BN383" s="64">
        <f>IFERROR(Y383*I383/H383,"0")</f>
        <v>28.556999999999999</v>
      </c>
      <c r="BO383" s="64">
        <f>IFERROR(1/J383*(X383/H383),"0")</f>
        <v>3.4722222222222224E-2</v>
      </c>
      <c r="BP383" s="64">
        <f>IFERROR(1/J383*(Y383/H383),"0")</f>
        <v>4.6875E-2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37" t="s">
        <v>87</v>
      </c>
      <c r="X384" s="617">
        <f>IFERROR(X382/H382,"0")+IFERROR(X383/H383,"0")</f>
        <v>2.2222222222222223</v>
      </c>
      <c r="Y384" s="617">
        <f>IFERROR(Y382/H382,"0")+IFERROR(Y383/H383,"0")</f>
        <v>3</v>
      </c>
      <c r="Z384" s="617">
        <f>IFERROR(IF(Z382="",0,Z382),"0")+IFERROR(IF(Z383="",0,Z383),"0")</f>
        <v>5.6940000000000004E-2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37" t="s">
        <v>69</v>
      </c>
      <c r="X385" s="617">
        <f>IFERROR(SUM(X382:X383),"0")</f>
        <v>20</v>
      </c>
      <c r="Y385" s="617">
        <f>IFERROR(SUM(Y382:Y383),"0")</f>
        <v>27</v>
      </c>
      <c r="Z385" s="37"/>
      <c r="AA385" s="618"/>
      <c r="AB385" s="618"/>
      <c r="AC385" s="618"/>
    </row>
    <row r="386" spans="1:68" ht="14.25" customHeight="1" x14ac:dyDescent="0.25">
      <c r="A386" s="639" t="s">
        <v>172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610</v>
      </c>
      <c r="B387" s="54" t="s">
        <v>611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69</v>
      </c>
      <c r="X387" s="615">
        <v>20</v>
      </c>
      <c r="Y387" s="616">
        <f>IFERROR(IF(X387="",0,CEILING((X387/$H387),1)*$H387),"")</f>
        <v>27</v>
      </c>
      <c r="Z387" s="36">
        <f>IFERROR(IF(Y387=0,"",ROUNDUP(Y387/H387,0)*0.01898),"")</f>
        <v>5.6940000000000004E-2</v>
      </c>
      <c r="AA387" s="56"/>
      <c r="AB387" s="57"/>
      <c r="AC387" s="437" t="s">
        <v>612</v>
      </c>
      <c r="AG387" s="64"/>
      <c r="AJ387" s="68"/>
      <c r="AK387" s="68">
        <v>0</v>
      </c>
      <c r="BB387" s="438" t="s">
        <v>1</v>
      </c>
      <c r="BM387" s="64">
        <f>IFERROR(X387*I387/H387,"0")</f>
        <v>21.153333333333332</v>
      </c>
      <c r="BN387" s="64">
        <f>IFERROR(Y387*I387/H387,"0")</f>
        <v>28.556999999999999</v>
      </c>
      <c r="BO387" s="64">
        <f>IFERROR(1/J387*(X387/H387),"0")</f>
        <v>3.4722222222222224E-2</v>
      </c>
      <c r="BP387" s="64">
        <f>IFERROR(1/J387*(Y387/H387),"0")</f>
        <v>4.6875E-2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37" t="s">
        <v>87</v>
      </c>
      <c r="X388" s="617">
        <f>IFERROR(X387/H387,"0")</f>
        <v>2.2222222222222223</v>
      </c>
      <c r="Y388" s="617">
        <f>IFERROR(Y387/H387,"0")</f>
        <v>3</v>
      </c>
      <c r="Z388" s="617">
        <f>IFERROR(IF(Z387="",0,Z387),"0")</f>
        <v>5.6940000000000004E-2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37" t="s">
        <v>69</v>
      </c>
      <c r="X389" s="617">
        <f>IFERROR(SUM(X387:X387),"0")</f>
        <v>20</v>
      </c>
      <c r="Y389" s="617">
        <f>IFERROR(SUM(Y387:Y387),"0")</f>
        <v>27</v>
      </c>
      <c r="Z389" s="37"/>
      <c r="AA389" s="618"/>
      <c r="AB389" s="618"/>
      <c r="AC389" s="618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27" customHeight="1" x14ac:dyDescent="0.25">
      <c r="A392" s="54" t="s">
        <v>614</v>
      </c>
      <c r="B392" s="54" t="s">
        <v>615</v>
      </c>
      <c r="C392" s="31">
        <v>4301011483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69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616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614</v>
      </c>
      <c r="B393" s="54" t="s">
        <v>617</v>
      </c>
      <c r="C393" s="31">
        <v>4301011873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69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619</v>
      </c>
      <c r="B394" s="54" t="s">
        <v>620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69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621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622</v>
      </c>
      <c r="B395" s="54" t="s">
        <v>623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69</v>
      </c>
      <c r="X395" s="615">
        <v>50</v>
      </c>
      <c r="Y395" s="616">
        <f>IFERROR(IF(X395="",0,CEILING((X395/$H395),1)*$H395),"")</f>
        <v>60</v>
      </c>
      <c r="Z395" s="36">
        <f>IFERROR(IF(Y395=0,"",ROUNDUP(Y395/H395,0)*0.01898),"")</f>
        <v>9.4899999999999998E-2</v>
      </c>
      <c r="AA395" s="56"/>
      <c r="AB395" s="57"/>
      <c r="AC395" s="445" t="s">
        <v>621</v>
      </c>
      <c r="AG395" s="64"/>
      <c r="AJ395" s="68"/>
      <c r="AK395" s="68">
        <v>0</v>
      </c>
      <c r="BB395" s="446" t="s">
        <v>1</v>
      </c>
      <c r="BM395" s="64">
        <f>IFERROR(X395*I395/H395,"0")</f>
        <v>51.8125</v>
      </c>
      <c r="BN395" s="64">
        <f>IFERROR(Y395*I395/H395,"0")</f>
        <v>62.175000000000004</v>
      </c>
      <c r="BO395" s="64">
        <f>IFERROR(1/J395*(X395/H395),"0")</f>
        <v>6.5104166666666671E-2</v>
      </c>
      <c r="BP395" s="64">
        <f>IFERROR(1/J395*(Y395/H395),"0")</f>
        <v>7.8125E-2</v>
      </c>
    </row>
    <row r="396" spans="1:68" ht="37.5" customHeight="1" x14ac:dyDescent="0.25">
      <c r="A396" s="54" t="s">
        <v>624</v>
      </c>
      <c r="B396" s="54" t="s">
        <v>625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69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621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37" t="s">
        <v>87</v>
      </c>
      <c r="X397" s="617">
        <f>IFERROR(X392/H392,"0")+IFERROR(X393/H393,"0")+IFERROR(X394/H394,"0")+IFERROR(X395/H395,"0")+IFERROR(X396/H396,"0")</f>
        <v>4.166666666666667</v>
      </c>
      <c r="Y397" s="617">
        <f>IFERROR(Y392/H392,"0")+IFERROR(Y393/H393,"0")+IFERROR(Y394/H394,"0")+IFERROR(Y395/H395,"0")+IFERROR(Y396/H396,"0")</f>
        <v>5</v>
      </c>
      <c r="Z397" s="617">
        <f>IFERROR(IF(Z392="",0,Z392),"0")+IFERROR(IF(Z393="",0,Z393),"0")+IFERROR(IF(Z394="",0,Z394),"0")+IFERROR(IF(Z395="",0,Z395),"0")+IFERROR(IF(Z396="",0,Z396),"0")</f>
        <v>9.4899999999999998E-2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37" t="s">
        <v>69</v>
      </c>
      <c r="X398" s="617">
        <f>IFERROR(SUM(X392:X396),"0")</f>
        <v>50</v>
      </c>
      <c r="Y398" s="617">
        <f>IFERROR(SUM(Y392:Y396),"0")</f>
        <v>60</v>
      </c>
      <c r="Z398" s="37"/>
      <c r="AA398" s="618"/>
      <c r="AB398" s="618"/>
      <c r="AC398" s="618"/>
    </row>
    <row r="399" spans="1:68" ht="14.25" customHeight="1" x14ac:dyDescent="0.25">
      <c r="A399" s="639" t="s">
        <v>146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626</v>
      </c>
      <c r="B400" s="54" t="s">
        <v>627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69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628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37" t="s">
        <v>87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37" t="s">
        <v>69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629</v>
      </c>
      <c r="B404" s="54" t="s">
        <v>630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69</v>
      </c>
      <c r="X404" s="615">
        <v>20</v>
      </c>
      <c r="Y404" s="616">
        <f>IFERROR(IF(X404="",0,CEILING((X404/$H404),1)*$H404),"")</f>
        <v>27</v>
      </c>
      <c r="Z404" s="36">
        <f>IFERROR(IF(Y404=0,"",ROUNDUP(Y404/H404,0)*0.01898),"")</f>
        <v>5.6940000000000004E-2</v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21.153333333333332</v>
      </c>
      <c r="BN404" s="64">
        <f>IFERROR(Y404*I404/H404,"0")</f>
        <v>28.556999999999999</v>
      </c>
      <c r="BO404" s="64">
        <f>IFERROR(1/J404*(X404/H404),"0")</f>
        <v>3.4722222222222224E-2</v>
      </c>
      <c r="BP404" s="64">
        <f>IFERROR(1/J404*(Y404/H404),"0")</f>
        <v>4.6875E-2</v>
      </c>
    </row>
    <row r="405" spans="1:68" ht="37.5" customHeight="1" x14ac:dyDescent="0.25">
      <c r="A405" s="54" t="s">
        <v>632</v>
      </c>
      <c r="B405" s="54" t="s">
        <v>633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69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69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631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637</v>
      </c>
      <c r="B407" s="54" t="s">
        <v>638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69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639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37" t="s">
        <v>87</v>
      </c>
      <c r="X408" s="617">
        <f>IFERROR(X404/H404,"0")+IFERROR(X405/H405,"0")+IFERROR(X406/H406,"0")+IFERROR(X407/H407,"0")</f>
        <v>2.2222222222222223</v>
      </c>
      <c r="Y408" s="617">
        <f>IFERROR(Y404/H404,"0")+IFERROR(Y405/H405,"0")+IFERROR(Y406/H406,"0")+IFERROR(Y407/H407,"0")</f>
        <v>3</v>
      </c>
      <c r="Z408" s="617">
        <f>IFERROR(IF(Z404="",0,Z404),"0")+IFERROR(IF(Z405="",0,Z405),"0")+IFERROR(IF(Z406="",0,Z406),"0")+IFERROR(IF(Z407="",0,Z407),"0")</f>
        <v>5.6940000000000004E-2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37" t="s">
        <v>69</v>
      </c>
      <c r="X409" s="617">
        <f>IFERROR(SUM(X404:X407),"0")</f>
        <v>20</v>
      </c>
      <c r="Y409" s="617">
        <f>IFERROR(SUM(Y404:Y407),"0")</f>
        <v>27</v>
      </c>
      <c r="Z409" s="37"/>
      <c r="AA409" s="618"/>
      <c r="AB409" s="618"/>
      <c r="AC409" s="618"/>
    </row>
    <row r="410" spans="1:68" ht="14.25" customHeight="1" x14ac:dyDescent="0.25">
      <c r="A410" s="639" t="s">
        <v>172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640</v>
      </c>
      <c r="B411" s="54" t="s">
        <v>641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69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642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37" t="s">
        <v>87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37" t="s">
        <v>69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146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645</v>
      </c>
      <c r="B417" s="54" t="s">
        <v>646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69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647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648</v>
      </c>
      <c r="B418" s="54" t="s">
        <v>649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69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650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648</v>
      </c>
      <c r="B419" s="54" t="s">
        <v>651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69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650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69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654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655</v>
      </c>
      <c r="B421" s="54" t="s">
        <v>656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69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647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69</v>
      </c>
      <c r="X422" s="615">
        <v>87.5</v>
      </c>
      <c r="Y422" s="616">
        <f t="shared" si="62"/>
        <v>88.2</v>
      </c>
      <c r="Z422" s="36">
        <f t="shared" si="67"/>
        <v>0.21084</v>
      </c>
      <c r="AA422" s="56"/>
      <c r="AB422" s="57"/>
      <c r="AC422" s="471" t="s">
        <v>647</v>
      </c>
      <c r="AG422" s="64"/>
      <c r="AJ422" s="68"/>
      <c r="AK422" s="68">
        <v>0</v>
      </c>
      <c r="BB422" s="472" t="s">
        <v>1</v>
      </c>
      <c r="BM422" s="64">
        <f t="shared" si="63"/>
        <v>92.916666666666657</v>
      </c>
      <c r="BN422" s="64">
        <f t="shared" si="64"/>
        <v>93.66</v>
      </c>
      <c r="BO422" s="64">
        <f t="shared" si="65"/>
        <v>0.17806267806267806</v>
      </c>
      <c r="BP422" s="64">
        <f t="shared" si="66"/>
        <v>0.17948717948717952</v>
      </c>
    </row>
    <row r="423" spans="1:68" ht="37.5" customHeight="1" x14ac:dyDescent="0.25">
      <c r="A423" s="54" t="s">
        <v>659</v>
      </c>
      <c r="B423" s="54" t="s">
        <v>660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69</v>
      </c>
      <c r="X423" s="615">
        <v>10.5</v>
      </c>
      <c r="Y423" s="616">
        <f t="shared" si="62"/>
        <v>10.5</v>
      </c>
      <c r="Z423" s="36">
        <f t="shared" si="67"/>
        <v>2.5100000000000001E-2</v>
      </c>
      <c r="AA423" s="56"/>
      <c r="AB423" s="57"/>
      <c r="AC423" s="473" t="s">
        <v>661</v>
      </c>
      <c r="AG423" s="64"/>
      <c r="AJ423" s="68"/>
      <c r="AK423" s="68">
        <v>0</v>
      </c>
      <c r="BB423" s="474" t="s">
        <v>1</v>
      </c>
      <c r="BM423" s="64">
        <f t="shared" si="63"/>
        <v>11.149999999999999</v>
      </c>
      <c r="BN423" s="64">
        <f t="shared" si="64"/>
        <v>11.149999999999999</v>
      </c>
      <c r="BO423" s="64">
        <f t="shared" si="65"/>
        <v>2.1367521367521368E-2</v>
      </c>
      <c r="BP423" s="64">
        <f t="shared" si="66"/>
        <v>2.1367521367521368E-2</v>
      </c>
    </row>
    <row r="424" spans="1:68" ht="27" customHeight="1" x14ac:dyDescent="0.25">
      <c r="A424" s="54" t="s">
        <v>662</v>
      </c>
      <c r="B424" s="54" t="s">
        <v>663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69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664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69</v>
      </c>
      <c r="X425" s="615">
        <v>105</v>
      </c>
      <c r="Y425" s="616">
        <f t="shared" si="62"/>
        <v>105</v>
      </c>
      <c r="Z425" s="36">
        <f t="shared" si="67"/>
        <v>0.251</v>
      </c>
      <c r="AA425" s="56"/>
      <c r="AB425" s="57"/>
      <c r="AC425" s="477" t="s">
        <v>667</v>
      </c>
      <c r="AG425" s="64"/>
      <c r="AJ425" s="68"/>
      <c r="AK425" s="68">
        <v>0</v>
      </c>
      <c r="BB425" s="478" t="s">
        <v>1</v>
      </c>
      <c r="BM425" s="64">
        <f t="shared" si="63"/>
        <v>111.5</v>
      </c>
      <c r="BN425" s="64">
        <f t="shared" si="64"/>
        <v>111.5</v>
      </c>
      <c r="BO425" s="64">
        <f t="shared" si="65"/>
        <v>0.21367521367521369</v>
      </c>
      <c r="BP425" s="64">
        <f t="shared" si="66"/>
        <v>0.21367521367521369</v>
      </c>
    </row>
    <row r="426" spans="1:68" ht="37.5" customHeight="1" x14ac:dyDescent="0.25">
      <c r="A426" s="54" t="s">
        <v>668</v>
      </c>
      <c r="B426" s="54" t="s">
        <v>669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69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664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37" t="s">
        <v>87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96.666666666666657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97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0.48694000000000004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37" t="s">
        <v>69</v>
      </c>
      <c r="X428" s="617">
        <f>IFERROR(SUM(X417:X426),"0")</f>
        <v>203</v>
      </c>
      <c r="Y428" s="617">
        <f>IFERROR(SUM(Y417:Y426),"0")</f>
        <v>203.7</v>
      </c>
      <c r="Z428" s="37"/>
      <c r="AA428" s="618"/>
      <c r="AB428" s="618"/>
      <c r="AC428" s="618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670</v>
      </c>
      <c r="B430" s="54" t="s">
        <v>671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69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672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69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675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37" t="s">
        <v>87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37" t="s">
        <v>69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135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677</v>
      </c>
      <c r="B436" s="54" t="s">
        <v>678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69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69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682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37" t="s">
        <v>87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37" t="s">
        <v>69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146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683</v>
      </c>
      <c r="B441" s="54" t="s">
        <v>684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69</v>
      </c>
      <c r="X441" s="615">
        <v>10</v>
      </c>
      <c r="Y441" s="616">
        <f>IFERROR(IF(X441="",0,CEILING((X441/$H441),1)*$H441),"")</f>
        <v>10.8</v>
      </c>
      <c r="Z441" s="36">
        <f>IFERROR(IF(Y441=0,"",ROUNDUP(Y441/H441,0)*0.00902),"")</f>
        <v>1.804E-2</v>
      </c>
      <c r="AA441" s="56"/>
      <c r="AB441" s="57"/>
      <c r="AC441" s="489" t="s">
        <v>685</v>
      </c>
      <c r="AG441" s="64"/>
      <c r="AJ441" s="68"/>
      <c r="AK441" s="68">
        <v>0</v>
      </c>
      <c r="BB441" s="490" t="s">
        <v>1</v>
      </c>
      <c r="BM441" s="64">
        <f>IFERROR(X441*I441/H441,"0")</f>
        <v>10.388888888888889</v>
      </c>
      <c r="BN441" s="64">
        <f>IFERROR(Y441*I441/H441,"0")</f>
        <v>11.22</v>
      </c>
      <c r="BO441" s="64">
        <f>IFERROR(1/J441*(X441/H441),"0")</f>
        <v>1.4029180695847361E-2</v>
      </c>
      <c r="BP441" s="64">
        <f>IFERROR(1/J441*(Y441/H441),"0")</f>
        <v>1.5151515151515152E-2</v>
      </c>
    </row>
    <row r="442" spans="1:68" ht="27" customHeight="1" x14ac:dyDescent="0.25">
      <c r="A442" s="54" t="s">
        <v>686</v>
      </c>
      <c r="B442" s="54" t="s">
        <v>687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69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688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69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691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69</v>
      </c>
      <c r="X444" s="615">
        <v>10.5</v>
      </c>
      <c r="Y444" s="616">
        <f>IFERROR(IF(X444="",0,CEILING((X444/$H444),1)*$H444),"")</f>
        <v>10.5</v>
      </c>
      <c r="Z444" s="36">
        <f>IFERROR(IF(Y444=0,"",ROUNDUP(Y444/H444,0)*0.00502),"")</f>
        <v>2.5100000000000001E-2</v>
      </c>
      <c r="AA444" s="56"/>
      <c r="AB444" s="57"/>
      <c r="AC444" s="495" t="s">
        <v>691</v>
      </c>
      <c r="AG444" s="64"/>
      <c r="AJ444" s="68"/>
      <c r="AK444" s="68">
        <v>0</v>
      </c>
      <c r="BB444" s="496" t="s">
        <v>1</v>
      </c>
      <c r="BM444" s="64">
        <f>IFERROR(X444*I444/H444,"0")</f>
        <v>11.149999999999999</v>
      </c>
      <c r="BN444" s="64">
        <f>IFERROR(Y444*I444/H444,"0")</f>
        <v>11.149999999999999</v>
      </c>
      <c r="BO444" s="64">
        <f>IFERROR(1/J444*(X444/H444),"0")</f>
        <v>2.1367521367521368E-2</v>
      </c>
      <c r="BP444" s="64">
        <f>IFERROR(1/J444*(Y444/H444),"0")</f>
        <v>2.1367521367521368E-2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37" t="s">
        <v>87</v>
      </c>
      <c r="X445" s="617">
        <f>IFERROR(X441/H441,"0")+IFERROR(X442/H442,"0")+IFERROR(X443/H443,"0")+IFERROR(X444/H444,"0")</f>
        <v>6.8518518518518512</v>
      </c>
      <c r="Y445" s="617">
        <f>IFERROR(Y441/H441,"0")+IFERROR(Y442/H442,"0")+IFERROR(Y443/H443,"0")+IFERROR(Y444/H444,"0")</f>
        <v>7</v>
      </c>
      <c r="Z445" s="617">
        <f>IFERROR(IF(Z441="",0,Z441),"0")+IFERROR(IF(Z442="",0,Z442),"0")+IFERROR(IF(Z443="",0,Z443),"0")+IFERROR(IF(Z444="",0,Z444),"0")</f>
        <v>4.3139999999999998E-2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37" t="s">
        <v>69</v>
      </c>
      <c r="X446" s="617">
        <f>IFERROR(SUM(X441:X444),"0")</f>
        <v>20.5</v>
      </c>
      <c r="Y446" s="617">
        <f>IFERROR(SUM(Y441:Y444),"0")</f>
        <v>21.3</v>
      </c>
      <c r="Z446" s="37"/>
      <c r="AA446" s="618"/>
      <c r="AB446" s="618"/>
      <c r="AC446" s="618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146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695</v>
      </c>
      <c r="B449" s="54" t="s">
        <v>696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69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697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69</v>
      </c>
      <c r="X450" s="615">
        <v>50</v>
      </c>
      <c r="Y450" s="616">
        <f>IFERROR(IF(X450="",0,CEILING((X450/$H450),1)*$H450),"")</f>
        <v>50.4</v>
      </c>
      <c r="Z450" s="36">
        <f>IFERROR(IF(Y450=0,"",ROUNDUP(Y450/H450,0)*0.00651),"")</f>
        <v>0.27342</v>
      </c>
      <c r="AA450" s="56"/>
      <c r="AB450" s="57"/>
      <c r="AC450" s="499" t="s">
        <v>700</v>
      </c>
      <c r="AG450" s="64"/>
      <c r="AJ450" s="68"/>
      <c r="AK450" s="68">
        <v>0</v>
      </c>
      <c r="BB450" s="500" t="s">
        <v>1</v>
      </c>
      <c r="BM450" s="64">
        <f>IFERROR(X450*I450/H450,"0")</f>
        <v>87.5</v>
      </c>
      <c r="BN450" s="64">
        <f>IFERROR(Y450*I450/H450,"0")</f>
        <v>88.2</v>
      </c>
      <c r="BO450" s="64">
        <f>IFERROR(1/J450*(X450/H450),"0")</f>
        <v>0.22893772893772898</v>
      </c>
      <c r="BP450" s="64">
        <f>IFERROR(1/J450*(Y450/H450),"0")</f>
        <v>0.23076923076923078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37" t="s">
        <v>87</v>
      </c>
      <c r="X451" s="617">
        <f>IFERROR(X449/H449,"0")+IFERROR(X450/H450,"0")</f>
        <v>41.666666666666671</v>
      </c>
      <c r="Y451" s="617">
        <f>IFERROR(Y449/H449,"0")+IFERROR(Y450/H450,"0")</f>
        <v>42</v>
      </c>
      <c r="Z451" s="617">
        <f>IFERROR(IF(Z449="",0,Z449),"0")+IFERROR(IF(Z450="",0,Z450),"0")</f>
        <v>0.27342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37" t="s">
        <v>69</v>
      </c>
      <c r="X452" s="617">
        <f>IFERROR(SUM(X449:X450),"0")</f>
        <v>50</v>
      </c>
      <c r="Y452" s="617">
        <f>IFERROR(SUM(Y449:Y450),"0")</f>
        <v>50.4</v>
      </c>
      <c r="Z452" s="37"/>
      <c r="AA452" s="618"/>
      <c r="AB452" s="618"/>
      <c r="AC452" s="618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702</v>
      </c>
      <c r="B455" s="54" t="s">
        <v>703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69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37" t="s">
        <v>87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37" t="s">
        <v>69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172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705</v>
      </c>
      <c r="B459" s="54" t="s">
        <v>706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69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707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37" t="s">
        <v>87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37" t="s">
        <v>69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709</v>
      </c>
      <c r="B465" s="54" t="s">
        <v>710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69</v>
      </c>
      <c r="X465" s="615">
        <v>100</v>
      </c>
      <c r="Y465" s="616">
        <f t="shared" ref="Y465:Y480" si="68">IFERROR(IF(X465="",0,CEILING((X465/$H465),1)*$H465),"")</f>
        <v>100.32000000000001</v>
      </c>
      <c r="Z465" s="36">
        <f t="shared" ref="Z465:Z470" si="69">IFERROR(IF(Y465=0,"",ROUNDUP(Y465/H465,0)*0.01196),"")</f>
        <v>0.22724</v>
      </c>
      <c r="AA465" s="56"/>
      <c r="AB465" s="57"/>
      <c r="AC465" s="505" t="s">
        <v>711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106.81818181818181</v>
      </c>
      <c r="BN465" s="64">
        <f t="shared" ref="BN465:BN480" si="71">IFERROR(Y465*I465/H465,"0")</f>
        <v>107.16</v>
      </c>
      <c r="BO465" s="64">
        <f t="shared" ref="BO465:BO480" si="72">IFERROR(1/J465*(X465/H465),"0")</f>
        <v>0.18210955710955709</v>
      </c>
      <c r="BP465" s="64">
        <f t="shared" ref="BP465:BP480" si="73">IFERROR(1/J465*(Y465/H465),"0")</f>
        <v>0.18269230769230771</v>
      </c>
    </row>
    <row r="466" spans="1:68" ht="27" customHeight="1" x14ac:dyDescent="0.25">
      <c r="A466" s="54" t="s">
        <v>712</v>
      </c>
      <c r="B466" s="54" t="s">
        <v>713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69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714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69</v>
      </c>
      <c r="X467" s="615">
        <v>100</v>
      </c>
      <c r="Y467" s="616">
        <f t="shared" si="68"/>
        <v>100.32000000000001</v>
      </c>
      <c r="Z467" s="36">
        <f t="shared" si="69"/>
        <v>0.22724</v>
      </c>
      <c r="AA467" s="56"/>
      <c r="AB467" s="57"/>
      <c r="AC467" s="509" t="s">
        <v>717</v>
      </c>
      <c r="AG467" s="64"/>
      <c r="AJ467" s="68"/>
      <c r="AK467" s="68">
        <v>0</v>
      </c>
      <c r="BB467" s="510" t="s">
        <v>1</v>
      </c>
      <c r="BM467" s="64">
        <f t="shared" si="70"/>
        <v>106.81818181818181</v>
      </c>
      <c r="BN467" s="64">
        <f t="shared" si="71"/>
        <v>107.16</v>
      </c>
      <c r="BO467" s="64">
        <f t="shared" si="72"/>
        <v>0.18210955710955709</v>
      </c>
      <c r="BP467" s="64">
        <f t="shared" si="73"/>
        <v>0.18269230769230771</v>
      </c>
    </row>
    <row r="468" spans="1:68" ht="16.5" customHeight="1" x14ac:dyDescent="0.25">
      <c r="A468" s="54" t="s">
        <v>718</v>
      </c>
      <c r="B468" s="54" t="s">
        <v>719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69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720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721</v>
      </c>
      <c r="B469" s="54" t="s">
        <v>722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69</v>
      </c>
      <c r="X469" s="615">
        <v>200</v>
      </c>
      <c r="Y469" s="616">
        <f t="shared" si="68"/>
        <v>200.64000000000001</v>
      </c>
      <c r="Z469" s="36">
        <f t="shared" si="69"/>
        <v>0.45448</v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 t="shared" si="70"/>
        <v>213.63636363636363</v>
      </c>
      <c r="BN469" s="64">
        <f t="shared" si="71"/>
        <v>214.32</v>
      </c>
      <c r="BO469" s="64">
        <f t="shared" si="72"/>
        <v>0.36421911421911418</v>
      </c>
      <c r="BP469" s="64">
        <f t="shared" si="73"/>
        <v>0.36538461538461542</v>
      </c>
    </row>
    <row r="470" spans="1:68" ht="16.5" customHeight="1" x14ac:dyDescent="0.25">
      <c r="A470" s="54" t="s">
        <v>724</v>
      </c>
      <c r="B470" s="54" t="s">
        <v>725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69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69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711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4301012035</v>
      </c>
      <c r="D472" s="619">
        <v>4680115880603</v>
      </c>
      <c r="E472" s="620"/>
      <c r="F472" s="614">
        <v>0.6</v>
      </c>
      <c r="G472" s="32">
        <v>8</v>
      </c>
      <c r="H472" s="614">
        <v>4.8</v>
      </c>
      <c r="I472" s="614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22"/>
      <c r="R472" s="622"/>
      <c r="S472" s="622"/>
      <c r="T472" s="623"/>
      <c r="U472" s="34"/>
      <c r="V472" s="34"/>
      <c r="W472" s="35" t="s">
        <v>69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711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729</v>
      </c>
      <c r="B473" s="54" t="s">
        <v>731</v>
      </c>
      <c r="C473" s="31">
        <v>4301011778</v>
      </c>
      <c r="D473" s="619">
        <v>4680115880603</v>
      </c>
      <c r="E473" s="620"/>
      <c r="F473" s="614">
        <v>0.6</v>
      </c>
      <c r="G473" s="32">
        <v>6</v>
      </c>
      <c r="H473" s="614">
        <v>3.6</v>
      </c>
      <c r="I473" s="614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22"/>
      <c r="R473" s="622"/>
      <c r="S473" s="622"/>
      <c r="T473" s="623"/>
      <c r="U473" s="34"/>
      <c r="V473" s="34"/>
      <c r="W473" s="35" t="s">
        <v>69</v>
      </c>
      <c r="X473" s="615">
        <v>108</v>
      </c>
      <c r="Y473" s="616">
        <f t="shared" si="68"/>
        <v>108</v>
      </c>
      <c r="Z473" s="36">
        <f>IFERROR(IF(Y473=0,"",ROUNDUP(Y473/H473,0)*0.00902),"")</f>
        <v>0.27060000000000001</v>
      </c>
      <c r="AA473" s="56"/>
      <c r="AB473" s="57"/>
      <c r="AC473" s="521" t="s">
        <v>711</v>
      </c>
      <c r="AG473" s="64"/>
      <c r="AJ473" s="68"/>
      <c r="AK473" s="68">
        <v>0</v>
      </c>
      <c r="BB473" s="522" t="s">
        <v>1</v>
      </c>
      <c r="BM473" s="64">
        <f t="shared" si="70"/>
        <v>114.3</v>
      </c>
      <c r="BN473" s="64">
        <f t="shared" si="71"/>
        <v>114.3</v>
      </c>
      <c r="BO473" s="64">
        <f t="shared" si="72"/>
        <v>0.22727272727272729</v>
      </c>
      <c r="BP473" s="64">
        <f t="shared" si="73"/>
        <v>0.22727272727272729</v>
      </c>
    </row>
    <row r="474" spans="1:68" ht="27" customHeight="1" x14ac:dyDescent="0.25">
      <c r="A474" s="54" t="s">
        <v>732</v>
      </c>
      <c r="B474" s="54" t="s">
        <v>733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69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69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717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69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720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69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723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740</v>
      </c>
      <c r="B478" s="54" t="s">
        <v>741</v>
      </c>
      <c r="C478" s="31">
        <v>4301012034</v>
      </c>
      <c r="D478" s="619">
        <v>4607091389982</v>
      </c>
      <c r="E478" s="620"/>
      <c r="F478" s="614">
        <v>0.6</v>
      </c>
      <c r="G478" s="32">
        <v>8</v>
      </c>
      <c r="H478" s="614">
        <v>4.8</v>
      </c>
      <c r="I478" s="614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69</v>
      </c>
      <c r="X478" s="615">
        <v>0</v>
      </c>
      <c r="Y478" s="616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723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740</v>
      </c>
      <c r="B479" s="54" t="s">
        <v>742</v>
      </c>
      <c r="C479" s="31">
        <v>4301011784</v>
      </c>
      <c r="D479" s="619">
        <v>4607091389982</v>
      </c>
      <c r="E479" s="620"/>
      <c r="F479" s="614">
        <v>0.6</v>
      </c>
      <c r="G479" s="32">
        <v>6</v>
      </c>
      <c r="H479" s="614">
        <v>3.6</v>
      </c>
      <c r="I479" s="614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69</v>
      </c>
      <c r="X479" s="615">
        <v>156</v>
      </c>
      <c r="Y479" s="616">
        <f t="shared" si="68"/>
        <v>158.4</v>
      </c>
      <c r="Z479" s="36">
        <f>IFERROR(IF(Y479=0,"",ROUNDUP(Y479/H479,0)*0.00902),"")</f>
        <v>0.39688000000000001</v>
      </c>
      <c r="AA479" s="56"/>
      <c r="AB479" s="57"/>
      <c r="AC479" s="533" t="s">
        <v>723</v>
      </c>
      <c r="AG479" s="64"/>
      <c r="AJ479" s="68"/>
      <c r="AK479" s="68">
        <v>0</v>
      </c>
      <c r="BB479" s="534" t="s">
        <v>1</v>
      </c>
      <c r="BM479" s="64">
        <f t="shared" si="70"/>
        <v>165.1</v>
      </c>
      <c r="BN479" s="64">
        <f t="shared" si="71"/>
        <v>167.64000000000001</v>
      </c>
      <c r="BO479" s="64">
        <f t="shared" si="72"/>
        <v>0.32828282828282829</v>
      </c>
      <c r="BP479" s="64">
        <f t="shared" si="73"/>
        <v>0.33333333333333337</v>
      </c>
    </row>
    <row r="480" spans="1:68" ht="27" customHeight="1" x14ac:dyDescent="0.25">
      <c r="A480" s="54" t="s">
        <v>743</v>
      </c>
      <c r="B480" s="54" t="s">
        <v>744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69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726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37" t="s">
        <v>87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149.09090909090909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150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1.5764399999999998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37" t="s">
        <v>69</v>
      </c>
      <c r="X482" s="617">
        <f>IFERROR(SUM(X465:X480),"0")</f>
        <v>664</v>
      </c>
      <c r="Y482" s="617">
        <f>IFERROR(SUM(Y465:Y480),"0")</f>
        <v>667.68000000000006</v>
      </c>
      <c r="Z482" s="37"/>
      <c r="AA482" s="618"/>
      <c r="AB482" s="618"/>
      <c r="AC482" s="618"/>
    </row>
    <row r="483" spans="1:68" ht="14.25" customHeight="1" x14ac:dyDescent="0.25">
      <c r="A483" s="639" t="s">
        <v>135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745</v>
      </c>
      <c r="B484" s="54" t="s">
        <v>746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69</v>
      </c>
      <c r="X484" s="615">
        <v>150</v>
      </c>
      <c r="Y484" s="616">
        <f>IFERROR(IF(X484="",0,CEILING((X484/$H484),1)*$H484),"")</f>
        <v>153.12</v>
      </c>
      <c r="Z484" s="36">
        <f>IFERROR(IF(Y484=0,"",ROUNDUP(Y484/H484,0)*0.01196),"")</f>
        <v>0.34683999999999998</v>
      </c>
      <c r="AA484" s="56"/>
      <c r="AB484" s="57"/>
      <c r="AC484" s="537" t="s">
        <v>747</v>
      </c>
      <c r="AG484" s="64"/>
      <c r="AJ484" s="68"/>
      <c r="AK484" s="68">
        <v>0</v>
      </c>
      <c r="BB484" s="538" t="s">
        <v>1</v>
      </c>
      <c r="BM484" s="64">
        <f>IFERROR(X484*I484/H484,"0")</f>
        <v>160.22727272727272</v>
      </c>
      <c r="BN484" s="64">
        <f>IFERROR(Y484*I484/H484,"0")</f>
        <v>163.56</v>
      </c>
      <c r="BO484" s="64">
        <f>IFERROR(1/J484*(X484/H484),"0")</f>
        <v>0.27316433566433568</v>
      </c>
      <c r="BP484" s="64">
        <f>IFERROR(1/J484*(Y484/H484),"0")</f>
        <v>0.27884615384615385</v>
      </c>
    </row>
    <row r="485" spans="1:68" ht="16.5" customHeight="1" x14ac:dyDescent="0.25">
      <c r="A485" s="54" t="s">
        <v>748</v>
      </c>
      <c r="B485" s="54" t="s">
        <v>749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69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750</v>
      </c>
      <c r="B486" s="54" t="s">
        <v>751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69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747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37" t="s">
        <v>87</v>
      </c>
      <c r="X487" s="617">
        <f>IFERROR(X484/H484,"0")+IFERROR(X485/H485,"0")+IFERROR(X486/H486,"0")</f>
        <v>28.409090909090907</v>
      </c>
      <c r="Y487" s="617">
        <f>IFERROR(Y484/H484,"0")+IFERROR(Y485/H485,"0")+IFERROR(Y486/H486,"0")</f>
        <v>29</v>
      </c>
      <c r="Z487" s="617">
        <f>IFERROR(IF(Z484="",0,Z484),"0")+IFERROR(IF(Z485="",0,Z485),"0")+IFERROR(IF(Z486="",0,Z486),"0")</f>
        <v>0.34683999999999998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37" t="s">
        <v>69</v>
      </c>
      <c r="X488" s="617">
        <f>IFERROR(SUM(X484:X486),"0")</f>
        <v>150</v>
      </c>
      <c r="Y488" s="617">
        <f>IFERROR(SUM(Y484:Y486),"0")</f>
        <v>153.12</v>
      </c>
      <c r="Z488" s="37"/>
      <c r="AA488" s="618"/>
      <c r="AB488" s="618"/>
      <c r="AC488" s="618"/>
    </row>
    <row r="489" spans="1:68" ht="14.25" customHeight="1" x14ac:dyDescent="0.25">
      <c r="A489" s="639" t="s">
        <v>146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752</v>
      </c>
      <c r="B490" s="54" t="s">
        <v>753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69</v>
      </c>
      <c r="X490" s="615">
        <v>50</v>
      </c>
      <c r="Y490" s="616">
        <f t="shared" ref="Y490:Y498" si="74">IFERROR(IF(X490="",0,CEILING((X490/$H490),1)*$H490),"")</f>
        <v>52.800000000000004</v>
      </c>
      <c r="Z490" s="36">
        <f>IFERROR(IF(Y490=0,"",ROUNDUP(Y490/H490,0)*0.01196),"")</f>
        <v>0.1196</v>
      </c>
      <c r="AA490" s="56"/>
      <c r="AB490" s="57"/>
      <c r="AC490" s="543" t="s">
        <v>754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53.409090909090907</v>
      </c>
      <c r="BN490" s="64">
        <f t="shared" ref="BN490:BN498" si="76">IFERROR(Y490*I490/H490,"0")</f>
        <v>56.400000000000006</v>
      </c>
      <c r="BO490" s="64">
        <f t="shared" ref="BO490:BO498" si="77">IFERROR(1/J490*(X490/H490),"0")</f>
        <v>9.1054778554778545E-2</v>
      </c>
      <c r="BP490" s="64">
        <f t="shared" ref="BP490:BP498" si="78">IFERROR(1/J490*(Y490/H490),"0")</f>
        <v>9.6153846153846159E-2</v>
      </c>
    </row>
    <row r="491" spans="1:68" ht="27" customHeight="1" x14ac:dyDescent="0.25">
      <c r="A491" s="54" t="s">
        <v>755</v>
      </c>
      <c r="B491" s="54" t="s">
        <v>756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69</v>
      </c>
      <c r="X491" s="615">
        <v>50</v>
      </c>
      <c r="Y491" s="616">
        <f t="shared" si="74"/>
        <v>52.800000000000004</v>
      </c>
      <c r="Z491" s="36">
        <f>IFERROR(IF(Y491=0,"",ROUNDUP(Y491/H491,0)*0.01196),"")</f>
        <v>0.1196</v>
      </c>
      <c r="AA491" s="56"/>
      <c r="AB491" s="57"/>
      <c r="AC491" s="545" t="s">
        <v>757</v>
      </c>
      <c r="AG491" s="64"/>
      <c r="AJ491" s="68"/>
      <c r="AK491" s="68">
        <v>0</v>
      </c>
      <c r="BB491" s="546" t="s">
        <v>1</v>
      </c>
      <c r="BM491" s="64">
        <f t="shared" si="75"/>
        <v>53.409090909090907</v>
      </c>
      <c r="BN491" s="64">
        <f t="shared" si="76"/>
        <v>56.400000000000006</v>
      </c>
      <c r="BO491" s="64">
        <f t="shared" si="77"/>
        <v>9.1054778554778545E-2</v>
      </c>
      <c r="BP491" s="64">
        <f t="shared" si="78"/>
        <v>9.6153846153846159E-2</v>
      </c>
    </row>
    <row r="492" spans="1:68" ht="27" customHeight="1" x14ac:dyDescent="0.25">
      <c r="A492" s="54" t="s">
        <v>758</v>
      </c>
      <c r="B492" s="54" t="s">
        <v>759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69</v>
      </c>
      <c r="X492" s="615">
        <v>120</v>
      </c>
      <c r="Y492" s="616">
        <f t="shared" si="74"/>
        <v>121.44000000000001</v>
      </c>
      <c r="Z492" s="36">
        <f>IFERROR(IF(Y492=0,"",ROUNDUP(Y492/H492,0)*0.01196),"")</f>
        <v>0.27507999999999999</v>
      </c>
      <c r="AA492" s="56"/>
      <c r="AB492" s="57"/>
      <c r="AC492" s="547" t="s">
        <v>760</v>
      </c>
      <c r="AG492" s="64"/>
      <c r="AJ492" s="68"/>
      <c r="AK492" s="68">
        <v>0</v>
      </c>
      <c r="BB492" s="548" t="s">
        <v>1</v>
      </c>
      <c r="BM492" s="64">
        <f t="shared" si="75"/>
        <v>128.18181818181816</v>
      </c>
      <c r="BN492" s="64">
        <f t="shared" si="76"/>
        <v>129.72</v>
      </c>
      <c r="BO492" s="64">
        <f t="shared" si="77"/>
        <v>0.21853146853146854</v>
      </c>
      <c r="BP492" s="64">
        <f t="shared" si="78"/>
        <v>0.22115384615384617</v>
      </c>
    </row>
    <row r="493" spans="1:68" ht="27" customHeight="1" x14ac:dyDescent="0.25">
      <c r="A493" s="54" t="s">
        <v>761</v>
      </c>
      <c r="B493" s="54" t="s">
        <v>762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69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754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763</v>
      </c>
      <c r="B494" s="54" t="s">
        <v>764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69</v>
      </c>
      <c r="X494" s="615">
        <v>48</v>
      </c>
      <c r="Y494" s="616">
        <f t="shared" si="74"/>
        <v>48</v>
      </c>
      <c r="Z494" s="36">
        <f>IFERROR(IF(Y494=0,"",ROUNDUP(Y494/H494,0)*0.00902),"")</f>
        <v>9.0200000000000002E-2</v>
      </c>
      <c r="AA494" s="56"/>
      <c r="AB494" s="57"/>
      <c r="AC494" s="551" t="s">
        <v>754</v>
      </c>
      <c r="AG494" s="64"/>
      <c r="AJ494" s="68"/>
      <c r="AK494" s="68">
        <v>0</v>
      </c>
      <c r="BB494" s="552" t="s">
        <v>1</v>
      </c>
      <c r="BM494" s="64">
        <f t="shared" si="75"/>
        <v>69.3</v>
      </c>
      <c r="BN494" s="64">
        <f t="shared" si="76"/>
        <v>69.3</v>
      </c>
      <c r="BO494" s="64">
        <f t="shared" si="77"/>
        <v>7.575757575757576E-2</v>
      </c>
      <c r="BP494" s="64">
        <f t="shared" si="78"/>
        <v>7.575757575757576E-2</v>
      </c>
    </row>
    <row r="495" spans="1:68" ht="27" customHeight="1" x14ac:dyDescent="0.25">
      <c r="A495" s="54" t="s">
        <v>763</v>
      </c>
      <c r="B495" s="54" t="s">
        <v>765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69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754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766</v>
      </c>
      <c r="B496" s="54" t="s">
        <v>767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69</v>
      </c>
      <c r="X496" s="615">
        <v>18</v>
      </c>
      <c r="Y496" s="616">
        <f t="shared" si="74"/>
        <v>19.2</v>
      </c>
      <c r="Z496" s="36">
        <f>IFERROR(IF(Y496=0,"",ROUNDUP(Y496/H496,0)*0.00902),"")</f>
        <v>3.6080000000000001E-2</v>
      </c>
      <c r="AA496" s="56"/>
      <c r="AB496" s="57"/>
      <c r="AC496" s="555" t="s">
        <v>757</v>
      </c>
      <c r="AG496" s="64"/>
      <c r="AJ496" s="68"/>
      <c r="AK496" s="68">
        <v>0</v>
      </c>
      <c r="BB496" s="556" t="s">
        <v>1</v>
      </c>
      <c r="BM496" s="64">
        <f t="shared" si="75"/>
        <v>25.087500000000002</v>
      </c>
      <c r="BN496" s="64">
        <f t="shared" si="76"/>
        <v>26.76</v>
      </c>
      <c r="BO496" s="64">
        <f t="shared" si="77"/>
        <v>2.8409090909090912E-2</v>
      </c>
      <c r="BP496" s="64">
        <f t="shared" si="78"/>
        <v>3.0303030303030304E-2</v>
      </c>
    </row>
    <row r="497" spans="1:68" ht="27" customHeight="1" x14ac:dyDescent="0.25">
      <c r="A497" s="54" t="s">
        <v>768</v>
      </c>
      <c r="B497" s="54" t="s">
        <v>769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69</v>
      </c>
      <c r="X497" s="615">
        <v>36</v>
      </c>
      <c r="Y497" s="616">
        <f t="shared" si="74"/>
        <v>38.4</v>
      </c>
      <c r="Z497" s="36">
        <f>IFERROR(IF(Y497=0,"",ROUNDUP(Y497/H497,0)*0.00902),"")</f>
        <v>7.2160000000000002E-2</v>
      </c>
      <c r="AA497" s="56"/>
      <c r="AB497" s="57"/>
      <c r="AC497" s="557" t="s">
        <v>760</v>
      </c>
      <c r="AG497" s="64"/>
      <c r="AJ497" s="68"/>
      <c r="AK497" s="68">
        <v>0</v>
      </c>
      <c r="BB497" s="558" t="s">
        <v>1</v>
      </c>
      <c r="BM497" s="64">
        <f t="shared" si="75"/>
        <v>50.175000000000004</v>
      </c>
      <c r="BN497" s="64">
        <f t="shared" si="76"/>
        <v>53.52</v>
      </c>
      <c r="BO497" s="64">
        <f t="shared" si="77"/>
        <v>5.6818181818181823E-2</v>
      </c>
      <c r="BP497" s="64">
        <f t="shared" si="78"/>
        <v>6.0606060606060608E-2</v>
      </c>
    </row>
    <row r="498" spans="1:68" ht="27" customHeight="1" x14ac:dyDescent="0.25">
      <c r="A498" s="54" t="s">
        <v>768</v>
      </c>
      <c r="B498" s="54" t="s">
        <v>770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69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760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37" t="s">
        <v>87</v>
      </c>
      <c r="X499" s="617">
        <f>IFERROR(X490/H490,"0")+IFERROR(X491/H491,"0")+IFERROR(X492/H492,"0")+IFERROR(X493/H493,"0")+IFERROR(X494/H494,"0")+IFERROR(X495/H495,"0")+IFERROR(X496/H496,"0")+IFERROR(X497/H497,"0")+IFERROR(X498/H498,"0")</f>
        <v>62.916666666666664</v>
      </c>
      <c r="Y499" s="617">
        <f>IFERROR(Y490/H490,"0")+IFERROR(Y491/H491,"0")+IFERROR(Y492/H492,"0")+IFERROR(Y493/H493,"0")+IFERROR(Y494/H494,"0")+IFERROR(Y495/H495,"0")+IFERROR(Y496/H496,"0")+IFERROR(Y497/H497,"0")+IFERROR(Y498/H498,"0")</f>
        <v>65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0.71271999999999991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37" t="s">
        <v>69</v>
      </c>
      <c r="X500" s="617">
        <f>IFERROR(SUM(X490:X498),"0")</f>
        <v>322</v>
      </c>
      <c r="Y500" s="617">
        <f>IFERROR(SUM(Y490:Y498),"0")</f>
        <v>332.64</v>
      </c>
      <c r="Z500" s="37"/>
      <c r="AA500" s="618"/>
      <c r="AB500" s="618"/>
      <c r="AC500" s="618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771</v>
      </c>
      <c r="B502" s="54" t="s">
        <v>772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69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773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774</v>
      </c>
      <c r="B503" s="54" t="s">
        <v>775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69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776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777</v>
      </c>
      <c r="B504" s="54" t="s">
        <v>778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69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779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37" t="s">
        <v>87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37" t="s">
        <v>69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172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780</v>
      </c>
      <c r="B508" s="54" t="s">
        <v>781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69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782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783</v>
      </c>
      <c r="B509" s="54" t="s">
        <v>784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69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37" t="s">
        <v>87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37" t="s">
        <v>69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786</v>
      </c>
      <c r="B515" s="54" t="s">
        <v>787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41" t="s">
        <v>788</v>
      </c>
      <c r="Q515" s="622"/>
      <c r="R515" s="622"/>
      <c r="S515" s="622"/>
      <c r="T515" s="623"/>
      <c r="U515" s="34"/>
      <c r="V515" s="34"/>
      <c r="W515" s="35" t="s">
        <v>69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789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790</v>
      </c>
      <c r="B516" s="54" t="s">
        <v>791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08" t="s">
        <v>792</v>
      </c>
      <c r="Q516" s="622"/>
      <c r="R516" s="622"/>
      <c r="S516" s="622"/>
      <c r="T516" s="623"/>
      <c r="U516" s="34"/>
      <c r="V516" s="34"/>
      <c r="W516" s="35" t="s">
        <v>69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793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794</v>
      </c>
      <c r="B517" s="54" t="s">
        <v>795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38" t="s">
        <v>796</v>
      </c>
      <c r="Q517" s="622"/>
      <c r="R517" s="622"/>
      <c r="S517" s="622"/>
      <c r="T517" s="623"/>
      <c r="U517" s="34"/>
      <c r="V517" s="34"/>
      <c r="W517" s="35" t="s">
        <v>69</v>
      </c>
      <c r="X517" s="615">
        <v>10</v>
      </c>
      <c r="Y517" s="616">
        <f>IFERROR(IF(X517="",0,CEILING((X517/$H517),1)*$H517),"")</f>
        <v>12</v>
      </c>
      <c r="Z517" s="36">
        <f>IFERROR(IF(Y517=0,"",ROUNDUP(Y517/H517,0)*0.01898),"")</f>
        <v>1.898E-2</v>
      </c>
      <c r="AA517" s="56"/>
      <c r="AB517" s="57"/>
      <c r="AC517" s="575" t="s">
        <v>797</v>
      </c>
      <c r="AG517" s="64"/>
      <c r="AJ517" s="68"/>
      <c r="AK517" s="68">
        <v>0</v>
      </c>
      <c r="BB517" s="576" t="s">
        <v>1</v>
      </c>
      <c r="BM517" s="64">
        <f>IFERROR(X517*I517/H517,"0")</f>
        <v>10.362500000000001</v>
      </c>
      <c r="BN517" s="64">
        <f>IFERROR(Y517*I517/H517,"0")</f>
        <v>12.435</v>
      </c>
      <c r="BO517" s="64">
        <f>IFERROR(1/J517*(X517/H517),"0")</f>
        <v>1.3020833333333334E-2</v>
      </c>
      <c r="BP517" s="64">
        <f>IFERROR(1/J517*(Y517/H517),"0")</f>
        <v>1.5625E-2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37" t="s">
        <v>87</v>
      </c>
      <c r="X518" s="617">
        <f>IFERROR(X515/H515,"0")+IFERROR(X516/H516,"0")+IFERROR(X517/H517,"0")</f>
        <v>0.83333333333333337</v>
      </c>
      <c r="Y518" s="617">
        <f>IFERROR(Y515/H515,"0")+IFERROR(Y516/H516,"0")+IFERROR(Y517/H517,"0")</f>
        <v>1</v>
      </c>
      <c r="Z518" s="617">
        <f>IFERROR(IF(Z515="",0,Z515),"0")+IFERROR(IF(Z516="",0,Z516),"0")+IFERROR(IF(Z517="",0,Z517),"0")</f>
        <v>1.898E-2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37" t="s">
        <v>69</v>
      </c>
      <c r="X519" s="617">
        <f>IFERROR(SUM(X515:X517),"0")</f>
        <v>10</v>
      </c>
      <c r="Y519" s="617">
        <f>IFERROR(SUM(Y515:Y517),"0")</f>
        <v>12</v>
      </c>
      <c r="Z519" s="37"/>
      <c r="AA519" s="618"/>
      <c r="AB519" s="618"/>
      <c r="AC519" s="618"/>
    </row>
    <row r="520" spans="1:68" ht="14.25" customHeight="1" x14ac:dyDescent="0.25">
      <c r="A520" s="639" t="s">
        <v>135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798</v>
      </c>
      <c r="B521" s="54" t="s">
        <v>799</v>
      </c>
      <c r="C521" s="31">
        <v>4301020269</v>
      </c>
      <c r="D521" s="619">
        <v>4640242180519</v>
      </c>
      <c r="E521" s="620"/>
      <c r="F521" s="614">
        <v>1.35</v>
      </c>
      <c r="G521" s="32">
        <v>8</v>
      </c>
      <c r="H521" s="614">
        <v>10.8</v>
      </c>
      <c r="I521" s="614">
        <v>11.234999999999999</v>
      </c>
      <c r="J521" s="32">
        <v>64</v>
      </c>
      <c r="K521" s="32" t="s">
        <v>99</v>
      </c>
      <c r="L521" s="32"/>
      <c r="M521" s="33" t="s">
        <v>106</v>
      </c>
      <c r="N521" s="33"/>
      <c r="O521" s="32">
        <v>50</v>
      </c>
      <c r="P521" s="682" t="s">
        <v>800</v>
      </c>
      <c r="Q521" s="622"/>
      <c r="R521" s="622"/>
      <c r="S521" s="622"/>
      <c r="T521" s="623"/>
      <c r="U521" s="34"/>
      <c r="V521" s="34"/>
      <c r="W521" s="35" t="s">
        <v>69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801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798</v>
      </c>
      <c r="B522" s="54" t="s">
        <v>802</v>
      </c>
      <c r="C522" s="31">
        <v>4301020400</v>
      </c>
      <c r="D522" s="619">
        <v>4640242180519</v>
      </c>
      <c r="E522" s="620"/>
      <c r="F522" s="614">
        <v>1.5</v>
      </c>
      <c r="G522" s="32">
        <v>8</v>
      </c>
      <c r="H522" s="614">
        <v>12</v>
      </c>
      <c r="I522" s="614">
        <v>12.435</v>
      </c>
      <c r="J522" s="32">
        <v>64</v>
      </c>
      <c r="K522" s="32" t="s">
        <v>99</v>
      </c>
      <c r="L522" s="32"/>
      <c r="M522" s="33" t="s">
        <v>100</v>
      </c>
      <c r="N522" s="33"/>
      <c r="O522" s="32">
        <v>50</v>
      </c>
      <c r="P522" s="696" t="s">
        <v>803</v>
      </c>
      <c r="Q522" s="622"/>
      <c r="R522" s="622"/>
      <c r="S522" s="622"/>
      <c r="T522" s="623"/>
      <c r="U522" s="34"/>
      <c r="V522" s="34"/>
      <c r="W522" s="35" t="s">
        <v>69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804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805</v>
      </c>
      <c r="B523" s="54" t="s">
        <v>806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99</v>
      </c>
      <c r="L523" s="32"/>
      <c r="M523" s="33" t="s">
        <v>100</v>
      </c>
      <c r="N523" s="33"/>
      <c r="O523" s="32">
        <v>50</v>
      </c>
      <c r="P523" s="740" t="s">
        <v>807</v>
      </c>
      <c r="Q523" s="622"/>
      <c r="R523" s="622"/>
      <c r="S523" s="622"/>
      <c r="T523" s="623"/>
      <c r="U523" s="34"/>
      <c r="V523" s="34"/>
      <c r="W523" s="35" t="s">
        <v>69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801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808</v>
      </c>
      <c r="B524" s="54" t="s">
        <v>809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104</v>
      </c>
      <c r="L524" s="32"/>
      <c r="M524" s="33" t="s">
        <v>100</v>
      </c>
      <c r="N524" s="33"/>
      <c r="O524" s="32">
        <v>50</v>
      </c>
      <c r="P524" s="779" t="s">
        <v>810</v>
      </c>
      <c r="Q524" s="622"/>
      <c r="R524" s="622"/>
      <c r="S524" s="622"/>
      <c r="T524" s="623"/>
      <c r="U524" s="34"/>
      <c r="V524" s="34"/>
      <c r="W524" s="35" t="s">
        <v>69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811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37" t="s">
        <v>87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37" t="s">
        <v>69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146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812</v>
      </c>
      <c r="B528" s="54" t="s">
        <v>813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104</v>
      </c>
      <c r="L528" s="32"/>
      <c r="M528" s="33" t="s">
        <v>68</v>
      </c>
      <c r="N528" s="33"/>
      <c r="O528" s="32">
        <v>40</v>
      </c>
      <c r="P528" s="957" t="s">
        <v>814</v>
      </c>
      <c r="Q528" s="622"/>
      <c r="R528" s="622"/>
      <c r="S528" s="622"/>
      <c r="T528" s="623"/>
      <c r="U528" s="34"/>
      <c r="V528" s="34"/>
      <c r="W528" s="35" t="s">
        <v>69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815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816</v>
      </c>
      <c r="B529" s="54" t="s">
        <v>817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104</v>
      </c>
      <c r="L529" s="32"/>
      <c r="M529" s="33" t="s">
        <v>68</v>
      </c>
      <c r="N529" s="33"/>
      <c r="O529" s="32">
        <v>40</v>
      </c>
      <c r="P529" s="770" t="s">
        <v>818</v>
      </c>
      <c r="Q529" s="622"/>
      <c r="R529" s="622"/>
      <c r="S529" s="622"/>
      <c r="T529" s="623"/>
      <c r="U529" s="34"/>
      <c r="V529" s="34"/>
      <c r="W529" s="35" t="s">
        <v>69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819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37" t="s">
        <v>87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37" t="s">
        <v>69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820</v>
      </c>
      <c r="B533" s="54" t="s">
        <v>821</v>
      </c>
      <c r="C533" s="31">
        <v>4301051887</v>
      </c>
      <c r="D533" s="619">
        <v>4640242180533</v>
      </c>
      <c r="E533" s="620"/>
      <c r="F533" s="614">
        <v>1.3</v>
      </c>
      <c r="G533" s="32">
        <v>6</v>
      </c>
      <c r="H533" s="614">
        <v>7.8</v>
      </c>
      <c r="I533" s="614">
        <v>8.3190000000000008</v>
      </c>
      <c r="J533" s="32">
        <v>64</v>
      </c>
      <c r="K533" s="32" t="s">
        <v>99</v>
      </c>
      <c r="L533" s="32"/>
      <c r="M533" s="33" t="s">
        <v>106</v>
      </c>
      <c r="N533" s="33"/>
      <c r="O533" s="32">
        <v>45</v>
      </c>
      <c r="P533" s="831" t="s">
        <v>822</v>
      </c>
      <c r="Q533" s="622"/>
      <c r="R533" s="622"/>
      <c r="S533" s="622"/>
      <c r="T533" s="623"/>
      <c r="U533" s="34"/>
      <c r="V533" s="34"/>
      <c r="W533" s="35" t="s">
        <v>69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823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820</v>
      </c>
      <c r="B534" s="54" t="s">
        <v>824</v>
      </c>
      <c r="C534" s="31">
        <v>4301052046</v>
      </c>
      <c r="D534" s="619">
        <v>4640242180533</v>
      </c>
      <c r="E534" s="620"/>
      <c r="F534" s="614">
        <v>1.5</v>
      </c>
      <c r="G534" s="32">
        <v>6</v>
      </c>
      <c r="H534" s="614">
        <v>9</v>
      </c>
      <c r="I534" s="614">
        <v>9.5190000000000001</v>
      </c>
      <c r="J534" s="32">
        <v>64</v>
      </c>
      <c r="K534" s="32" t="s">
        <v>99</v>
      </c>
      <c r="L534" s="32"/>
      <c r="M534" s="33" t="s">
        <v>130</v>
      </c>
      <c r="N534" s="33"/>
      <c r="O534" s="32">
        <v>45</v>
      </c>
      <c r="P534" s="971" t="s">
        <v>822</v>
      </c>
      <c r="Q534" s="622"/>
      <c r="R534" s="622"/>
      <c r="S534" s="622"/>
      <c r="T534" s="623"/>
      <c r="U534" s="34"/>
      <c r="V534" s="34"/>
      <c r="W534" s="35" t="s">
        <v>69</v>
      </c>
      <c r="X534" s="615">
        <v>1000</v>
      </c>
      <c r="Y534" s="616">
        <f>IFERROR(IF(X534="",0,CEILING((X534/$H534),1)*$H534),"")</f>
        <v>1008</v>
      </c>
      <c r="Z534" s="36">
        <f>IFERROR(IF(Y534=0,"",ROUNDUP(Y534/H534,0)*0.01898),"")</f>
        <v>2.1257600000000001</v>
      </c>
      <c r="AA534" s="56"/>
      <c r="AB534" s="57"/>
      <c r="AC534" s="591" t="s">
        <v>823</v>
      </c>
      <c r="AG534" s="64"/>
      <c r="AJ534" s="68"/>
      <c r="AK534" s="68">
        <v>0</v>
      </c>
      <c r="BB534" s="592" t="s">
        <v>1</v>
      </c>
      <c r="BM534" s="64">
        <f>IFERROR(X534*I534/H534,"0")</f>
        <v>1057.6666666666667</v>
      </c>
      <c r="BN534" s="64">
        <f>IFERROR(Y534*I534/H534,"0")</f>
        <v>1066.1279999999999</v>
      </c>
      <c r="BO534" s="64">
        <f>IFERROR(1/J534*(X534/H534),"0")</f>
        <v>1.7361111111111112</v>
      </c>
      <c r="BP534" s="64">
        <f>IFERROR(1/J534*(Y534/H534),"0")</f>
        <v>1.75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37" t="s">
        <v>87</v>
      </c>
      <c r="X535" s="617">
        <f>IFERROR(X533/H533,"0")+IFERROR(X534/H534,"0")</f>
        <v>111.11111111111111</v>
      </c>
      <c r="Y535" s="617">
        <f>IFERROR(Y533/H533,"0")+IFERROR(Y534/H534,"0")</f>
        <v>112</v>
      </c>
      <c r="Z535" s="617">
        <f>IFERROR(IF(Z533="",0,Z533),"0")+IFERROR(IF(Z534="",0,Z534),"0")</f>
        <v>2.1257600000000001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37" t="s">
        <v>69</v>
      </c>
      <c r="X536" s="617">
        <f>IFERROR(SUM(X533:X534),"0")</f>
        <v>1000</v>
      </c>
      <c r="Y536" s="617">
        <f>IFERROR(SUM(Y533:Y534),"0")</f>
        <v>1008</v>
      </c>
      <c r="Z536" s="37"/>
      <c r="AA536" s="618"/>
      <c r="AB536" s="618"/>
      <c r="AC536" s="618"/>
    </row>
    <row r="537" spans="1:68" ht="14.25" customHeight="1" x14ac:dyDescent="0.25">
      <c r="A537" s="639" t="s">
        <v>172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825</v>
      </c>
      <c r="B538" s="54" t="s">
        <v>826</v>
      </c>
      <c r="C538" s="31">
        <v>4301060496</v>
      </c>
      <c r="D538" s="619">
        <v>4640242180120</v>
      </c>
      <c r="E538" s="620"/>
      <c r="F538" s="614">
        <v>1.5</v>
      </c>
      <c r="G538" s="32">
        <v>6</v>
      </c>
      <c r="H538" s="614">
        <v>9</v>
      </c>
      <c r="I538" s="614">
        <v>9.4350000000000005</v>
      </c>
      <c r="J538" s="32">
        <v>64</v>
      </c>
      <c r="K538" s="32" t="s">
        <v>99</v>
      </c>
      <c r="L538" s="32"/>
      <c r="M538" s="33" t="s">
        <v>130</v>
      </c>
      <c r="N538" s="33"/>
      <c r="O538" s="32">
        <v>40</v>
      </c>
      <c r="P538" s="820" t="s">
        <v>827</v>
      </c>
      <c r="Q538" s="622"/>
      <c r="R538" s="622"/>
      <c r="S538" s="622"/>
      <c r="T538" s="623"/>
      <c r="U538" s="34"/>
      <c r="V538" s="34"/>
      <c r="W538" s="35" t="s">
        <v>69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828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825</v>
      </c>
      <c r="B539" s="54" t="s">
        <v>829</v>
      </c>
      <c r="C539" s="31">
        <v>4301060485</v>
      </c>
      <c r="D539" s="619">
        <v>4640242180120</v>
      </c>
      <c r="E539" s="620"/>
      <c r="F539" s="614">
        <v>1.3</v>
      </c>
      <c r="G539" s="32">
        <v>6</v>
      </c>
      <c r="H539" s="614">
        <v>7.8</v>
      </c>
      <c r="I539" s="614">
        <v>8.2349999999999994</v>
      </c>
      <c r="J539" s="32">
        <v>64</v>
      </c>
      <c r="K539" s="32" t="s">
        <v>99</v>
      </c>
      <c r="L539" s="32"/>
      <c r="M539" s="33" t="s">
        <v>106</v>
      </c>
      <c r="N539" s="33"/>
      <c r="O539" s="32">
        <v>40</v>
      </c>
      <c r="P539" s="701" t="s">
        <v>830</v>
      </c>
      <c r="Q539" s="622"/>
      <c r="R539" s="622"/>
      <c r="S539" s="622"/>
      <c r="T539" s="623"/>
      <c r="U539" s="34"/>
      <c r="V539" s="34"/>
      <c r="W539" s="35" t="s">
        <v>69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828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831</v>
      </c>
      <c r="B540" s="54" t="s">
        <v>832</v>
      </c>
      <c r="C540" s="31">
        <v>4301060498</v>
      </c>
      <c r="D540" s="619">
        <v>4640242180137</v>
      </c>
      <c r="E540" s="620"/>
      <c r="F540" s="614">
        <v>1.5</v>
      </c>
      <c r="G540" s="32">
        <v>6</v>
      </c>
      <c r="H540" s="614">
        <v>9</v>
      </c>
      <c r="I540" s="614">
        <v>9.4350000000000005</v>
      </c>
      <c r="J540" s="32">
        <v>64</v>
      </c>
      <c r="K540" s="32" t="s">
        <v>99</v>
      </c>
      <c r="L540" s="32"/>
      <c r="M540" s="33" t="s">
        <v>130</v>
      </c>
      <c r="N540" s="33"/>
      <c r="O540" s="32">
        <v>40</v>
      </c>
      <c r="P540" s="826" t="s">
        <v>833</v>
      </c>
      <c r="Q540" s="622"/>
      <c r="R540" s="622"/>
      <c r="S540" s="622"/>
      <c r="T540" s="623"/>
      <c r="U540" s="34"/>
      <c r="V540" s="34"/>
      <c r="W540" s="35" t="s">
        <v>69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834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831</v>
      </c>
      <c r="B541" s="54" t="s">
        <v>835</v>
      </c>
      <c r="C541" s="31">
        <v>4301060486</v>
      </c>
      <c r="D541" s="619">
        <v>4640242180137</v>
      </c>
      <c r="E541" s="620"/>
      <c r="F541" s="614">
        <v>1.3</v>
      </c>
      <c r="G541" s="32">
        <v>6</v>
      </c>
      <c r="H541" s="614">
        <v>7.8</v>
      </c>
      <c r="I541" s="614">
        <v>8.2349999999999994</v>
      </c>
      <c r="J541" s="32">
        <v>64</v>
      </c>
      <c r="K541" s="32" t="s">
        <v>99</v>
      </c>
      <c r="L541" s="32"/>
      <c r="M541" s="33" t="s">
        <v>106</v>
      </c>
      <c r="N541" s="33"/>
      <c r="O541" s="32">
        <v>40</v>
      </c>
      <c r="P541" s="864" t="s">
        <v>836</v>
      </c>
      <c r="Q541" s="622"/>
      <c r="R541" s="622"/>
      <c r="S541" s="622"/>
      <c r="T541" s="623"/>
      <c r="U541" s="34"/>
      <c r="V541" s="34"/>
      <c r="W541" s="35" t="s">
        <v>69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834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37" t="s">
        <v>87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37" t="s">
        <v>69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838</v>
      </c>
      <c r="B546" s="54" t="s">
        <v>839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99</v>
      </c>
      <c r="L546" s="32"/>
      <c r="M546" s="33" t="s">
        <v>100</v>
      </c>
      <c r="N546" s="33"/>
      <c r="O546" s="32">
        <v>55</v>
      </c>
      <c r="P546" s="737" t="s">
        <v>840</v>
      </c>
      <c r="Q546" s="622"/>
      <c r="R546" s="622"/>
      <c r="S546" s="622"/>
      <c r="T546" s="623"/>
      <c r="U546" s="34"/>
      <c r="V546" s="34"/>
      <c r="W546" s="35" t="s">
        <v>69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841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37" t="s">
        <v>87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37" t="s">
        <v>69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135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842</v>
      </c>
      <c r="B550" s="54" t="s">
        <v>843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99</v>
      </c>
      <c r="L550" s="32"/>
      <c r="M550" s="33" t="s">
        <v>100</v>
      </c>
      <c r="N550" s="33"/>
      <c r="O550" s="32">
        <v>50</v>
      </c>
      <c r="P550" s="690" t="s">
        <v>844</v>
      </c>
      <c r="Q550" s="622"/>
      <c r="R550" s="622"/>
      <c r="S550" s="622"/>
      <c r="T550" s="623"/>
      <c r="U550" s="34"/>
      <c r="V550" s="34"/>
      <c r="W550" s="35" t="s">
        <v>69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845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37" t="s">
        <v>87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37" t="s">
        <v>69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146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846</v>
      </c>
      <c r="B554" s="54" t="s">
        <v>847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104</v>
      </c>
      <c r="L554" s="32"/>
      <c r="M554" s="33" t="s">
        <v>68</v>
      </c>
      <c r="N554" s="33"/>
      <c r="O554" s="32">
        <v>40</v>
      </c>
      <c r="P554" s="862" t="s">
        <v>848</v>
      </c>
      <c r="Q554" s="622"/>
      <c r="R554" s="622"/>
      <c r="S554" s="622"/>
      <c r="T554" s="623"/>
      <c r="U554" s="34"/>
      <c r="V554" s="34"/>
      <c r="W554" s="35" t="s">
        <v>69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849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37" t="s">
        <v>87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37" t="s">
        <v>69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37" t="s">
        <v>69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17365.599999999999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17554.400000000001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37" t="s">
        <v>69</v>
      </c>
      <c r="X558" s="617">
        <f>IFERROR(SUM(BM22:BM554),"0")</f>
        <v>18434.455455243988</v>
      </c>
      <c r="Y558" s="617">
        <f>IFERROR(SUM(BN22:BN554),"0")</f>
        <v>18634.692000000003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37" t="s">
        <v>853</v>
      </c>
      <c r="X559" s="38">
        <f>ROUNDUP(SUM(BO22:BO554),0)</f>
        <v>31</v>
      </c>
      <c r="Y559" s="38">
        <f>ROUNDUP(SUM(BP22:BP554),0)</f>
        <v>32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37" t="s">
        <v>69</v>
      </c>
      <c r="X560" s="617">
        <f>GrossWeightTotal+PalletQtyTotal*25</f>
        <v>19209.455455243988</v>
      </c>
      <c r="Y560" s="617">
        <f>GrossWeightTotalR+PalletQtyTotalR*25</f>
        <v>19434.692000000003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37" t="s">
        <v>853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3618.7495789650957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3648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39" t="s">
        <v>857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35.985039999999998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858</v>
      </c>
      <c r="B564" s="612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272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612" t="s">
        <v>708</v>
      </c>
      <c r="AC564" s="644" t="s">
        <v>785</v>
      </c>
      <c r="AD564" s="646"/>
      <c r="AF564" s="613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179</v>
      </c>
      <c r="F565" s="644" t="s">
        <v>206</v>
      </c>
      <c r="G565" s="644" t="s">
        <v>245</v>
      </c>
      <c r="H565" s="644" t="s">
        <v>94</v>
      </c>
      <c r="I565" s="644" t="s">
        <v>273</v>
      </c>
      <c r="J565" s="644" t="s">
        <v>317</v>
      </c>
      <c r="K565" s="644" t="s">
        <v>378</v>
      </c>
      <c r="L565" s="644" t="s">
        <v>424</v>
      </c>
      <c r="M565" s="644" t="s">
        <v>442</v>
      </c>
      <c r="N565" s="613"/>
      <c r="O565" s="644" t="s">
        <v>455</v>
      </c>
      <c r="P565" s="644" t="s">
        <v>467</v>
      </c>
      <c r="Q565" s="644" t="s">
        <v>474</v>
      </c>
      <c r="R565" s="644" t="s">
        <v>478</v>
      </c>
      <c r="S565" s="644" t="s">
        <v>484</v>
      </c>
      <c r="T565" s="644" t="s">
        <v>489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860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525.20000000000005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877.2</v>
      </c>
      <c r="E567" s="46">
        <f>IFERROR(Y86*1,"0")+IFERROR(Y87*1,"0")+IFERROR(Y88*1,"0")+IFERROR(Y92*1,"0")+IFERROR(Y93*1,"0")+IFERROR(Y94*1,"0")+IFERROR(Y95*1,"0")+IFERROR(Y96*1,"0")+IFERROR(Y97*1,"0")+IFERROR(Y98*1,"0")+IFERROR(Y99*1,"0")</f>
        <v>1338.3000000000002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1919.52</v>
      </c>
      <c r="G567" s="46">
        <f>IFERROR(Y133*1,"0")+IFERROR(Y134*1,"0")+IFERROR(Y138*1,"0")+IFERROR(Y139*1,"0")+IFERROR(Y143*1,"0")+IFERROR(Y144*1,"0")</f>
        <v>217.36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529.20000000000005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1729.1999999999998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181.28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441.6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140.70000000000002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464.4</v>
      </c>
      <c r="U567" s="46">
        <f>IFERROR(Y355*1,"0")+IFERROR(Y359*1,"0")+IFERROR(Y360*1,"0")+IFERROR(Y361*1,"0")</f>
        <v>870.6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5784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87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203.7</v>
      </c>
      <c r="Y567" s="46">
        <f>IFERROR(Y436*1,"0")+IFERROR(Y437*1,"0")+IFERROR(Y441*1,"0")+IFERROR(Y442*1,"0")+IFERROR(Y443*1,"0")+IFERROR(Y444*1,"0")</f>
        <v>21.3</v>
      </c>
      <c r="Z567" s="46">
        <f>IFERROR(Y449*1,"0")+IFERROR(Y450*1,"0")</f>
        <v>50.4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1153.44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1020</v>
      </c>
      <c r="AD567" s="46">
        <f>IFERROR(Y546*1,"0")+IFERROR(Y550*1,"0")+IFERROR(Y554*1,"0")</f>
        <v>0</v>
      </c>
      <c r="AF567" s="613"/>
    </row>
  </sheetData>
  <sheetProtection algorithmName="SHA-512" hashValue="aT7JfgaV0JRO1VXv+hyOHgzWg5keqbMv4gM1nqsc8VFx3pKU+NvqbCiPjCVRD/4d+3e8uuebB5gI/JAA4bOnDw==" saltValue="sEpPZrq2eNok3gKDf4pm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80 X367:X368 X370 X377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52"/>
    </row>
    <row r="3" spans="2:8" x14ac:dyDescent="0.2">
      <c r="B3" s="47" t="s">
        <v>862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863</v>
      </c>
      <c r="D6" s="47" t="s">
        <v>864</v>
      </c>
      <c r="E6" s="47"/>
    </row>
    <row r="8" spans="2:8" x14ac:dyDescent="0.2">
      <c r="B8" s="47" t="s">
        <v>19</v>
      </c>
      <c r="C8" s="47" t="s">
        <v>863</v>
      </c>
      <c r="D8" s="47"/>
      <c r="E8" s="47"/>
    </row>
    <row r="10" spans="2:8" x14ac:dyDescent="0.2">
      <c r="B10" s="47" t="s">
        <v>865</v>
      </c>
      <c r="C10" s="47"/>
      <c r="D10" s="47"/>
      <c r="E10" s="47"/>
    </row>
    <row r="11" spans="2:8" x14ac:dyDescent="0.2">
      <c r="B11" s="47" t="s">
        <v>866</v>
      </c>
      <c r="C11" s="47"/>
      <c r="D11" s="47"/>
      <c r="E11" s="47"/>
    </row>
    <row r="12" spans="2:8" x14ac:dyDescent="0.2">
      <c r="B12" s="47" t="s">
        <v>867</v>
      </c>
      <c r="C12" s="47"/>
      <c r="D12" s="47"/>
      <c r="E12" s="47"/>
    </row>
    <row r="13" spans="2:8" x14ac:dyDescent="0.2">
      <c r="B13" s="47" t="s">
        <v>868</v>
      </c>
      <c r="C13" s="47"/>
      <c r="D13" s="47"/>
      <c r="E13" s="47"/>
    </row>
    <row r="14" spans="2:8" x14ac:dyDescent="0.2">
      <c r="B14" s="47" t="s">
        <v>869</v>
      </c>
      <c r="C14" s="47"/>
      <c r="D14" s="47"/>
      <c r="E14" s="47"/>
    </row>
    <row r="15" spans="2:8" x14ac:dyDescent="0.2">
      <c r="B15" s="47" t="s">
        <v>870</v>
      </c>
      <c r="C15" s="47"/>
      <c r="D15" s="47"/>
      <c r="E15" s="47"/>
    </row>
    <row r="16" spans="2:8" x14ac:dyDescent="0.2">
      <c r="B16" s="47" t="s">
        <v>871</v>
      </c>
      <c r="C16" s="47"/>
      <c r="D16" s="47"/>
      <c r="E16" s="47"/>
    </row>
    <row r="17" spans="2:5" x14ac:dyDescent="0.2">
      <c r="B17" s="47" t="s">
        <v>872</v>
      </c>
      <c r="C17" s="47"/>
      <c r="D17" s="47"/>
      <c r="E17" s="47"/>
    </row>
    <row r="18" spans="2:5" x14ac:dyDescent="0.2">
      <c r="B18" s="47" t="s">
        <v>873</v>
      </c>
      <c r="C18" s="47"/>
      <c r="D18" s="47"/>
      <c r="E18" s="47"/>
    </row>
    <row r="19" spans="2:5" x14ac:dyDescent="0.2">
      <c r="B19" s="47" t="s">
        <v>874</v>
      </c>
      <c r="C19" s="47"/>
      <c r="D19" s="47"/>
      <c r="E19" s="47"/>
    </row>
    <row r="20" spans="2:5" x14ac:dyDescent="0.2">
      <c r="B20" s="47" t="s">
        <v>875</v>
      </c>
      <c r="C20" s="47"/>
      <c r="D20" s="47"/>
      <c r="E20" s="47"/>
    </row>
  </sheetData>
  <sheetProtection algorithmName="SHA-512" hashValue="rl5pivxqMUEiS2EU19X9NOMkdM6gayHTCT6kso4+fSpWj92zWWElJu2Ag4d/1kpfg0bH9yPE4CGo4Hi4VnqPVw==" saltValue="WZQRalcxJ+v25GyFadzS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2025-05-08T10:41:14Z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