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6C42C8FB-E702-45F4-8EE8-3F05D795B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заказа'!$X$365:$X$365</definedName>
    <definedName name="GrossWeightTotalR">'Бланк заказа'!$Y$365:$Y$365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заказа'!$X$366:$X$366</definedName>
    <definedName name="PalletQtyTotalR">'Бланк заказа'!$Y$366:$Y$366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заказа'!$B$339:$B$339</definedName>
    <definedName name="ProductId15">'Бланк заказа'!$B$51:$B$51</definedName>
    <definedName name="ProductId150">'Бланк заказа'!$B$340:$B$340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заказа'!$B$354:$B$354</definedName>
    <definedName name="ProductId159">'Бланк заказа'!$B$355:$B$355</definedName>
    <definedName name="ProductId16">'Бланк заказа'!$B$52:$B$52</definedName>
    <definedName name="ProductId160">'Бланк заказа'!$B$361:$B$361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заказа'!$X$339:$X$339</definedName>
    <definedName name="SalesQty15">'Бланк заказа'!$X$51:$X$51</definedName>
    <definedName name="SalesQty150">'Бланк заказа'!$X$340:$X$340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заказа'!$X$354:$X$354</definedName>
    <definedName name="SalesQty159">'Бланк заказа'!$X$355:$X$355</definedName>
    <definedName name="SalesQty16">'Бланк заказа'!$X$52:$X$52</definedName>
    <definedName name="SalesQty160">'Бланк заказа'!$X$361:$X$361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заказа'!$Y$339:$Y$339</definedName>
    <definedName name="SalesRoundBox15">'Бланк заказа'!$Y$51:$Y$51</definedName>
    <definedName name="SalesRoundBox150">'Бланк заказа'!$Y$340:$Y$340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заказа'!$Y$354:$Y$354</definedName>
    <definedName name="SalesRoundBox159">'Бланк заказа'!$Y$355:$Y$355</definedName>
    <definedName name="SalesRoundBox16">'Бланк заказа'!$Y$52:$Y$52</definedName>
    <definedName name="SalesRoundBox160">'Бланк заказа'!$Y$361:$Y$361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заказа'!$W$339:$W$339</definedName>
    <definedName name="UnitOfMeasure15">'Бланк заказа'!$W$51:$W$51</definedName>
    <definedName name="UnitOfMeasure150">'Бланк заказа'!$W$340:$W$340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заказа'!$W$354:$W$354</definedName>
    <definedName name="UnitOfMeasure159">'Бланк заказа'!$W$355:$W$355</definedName>
    <definedName name="UnitOfMeasure16">'Бланк заказа'!$W$52:$W$52</definedName>
    <definedName name="UnitOfMeasure160">'Бланк заказа'!$W$361:$W$361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3" i="1" l="1"/>
  <c r="X362" i="1"/>
  <c r="BO361" i="1"/>
  <c r="BM361" i="1"/>
  <c r="Y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Y341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299" i="1"/>
  <c r="X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Y294" i="1" s="1"/>
  <c r="P292" i="1"/>
  <c r="X290" i="1"/>
  <c r="X289" i="1"/>
  <c r="BO288" i="1"/>
  <c r="BM288" i="1"/>
  <c r="Y288" i="1"/>
  <c r="Y289" i="1" s="1"/>
  <c r="P288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Y268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S374" i="1" s="1"/>
  <c r="P257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Y247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41" i="1" s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7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19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Y201" i="1"/>
  <c r="X201" i="1"/>
  <c r="BP200" i="1"/>
  <c r="BO200" i="1"/>
  <c r="BN200" i="1"/>
  <c r="BM200" i="1"/>
  <c r="Z200" i="1"/>
  <c r="Z201" i="1" s="1"/>
  <c r="Y200" i="1"/>
  <c r="P374" i="1" s="1"/>
  <c r="P200" i="1"/>
  <c r="X197" i="1"/>
  <c r="Y196" i="1"/>
  <c r="X196" i="1"/>
  <c r="BP195" i="1"/>
  <c r="BO195" i="1"/>
  <c r="BN195" i="1"/>
  <c r="BM195" i="1"/>
  <c r="Z195" i="1"/>
  <c r="Z196" i="1" s="1"/>
  <c r="Y195" i="1"/>
  <c r="O374" i="1" s="1"/>
  <c r="P195" i="1"/>
  <c r="X192" i="1"/>
  <c r="Y191" i="1"/>
  <c r="X191" i="1"/>
  <c r="BP190" i="1"/>
  <c r="BO190" i="1"/>
  <c r="BN190" i="1"/>
  <c r="BM190" i="1"/>
  <c r="Z190" i="1"/>
  <c r="Z191" i="1" s="1"/>
  <c r="Y190" i="1"/>
  <c r="M374" i="1" s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X159" i="1"/>
  <c r="X158" i="1"/>
  <c r="BO157" i="1"/>
  <c r="BM157" i="1"/>
  <c r="Y157" i="1"/>
  <c r="P157" i="1"/>
  <c r="BP156" i="1"/>
  <c r="BO156" i="1"/>
  <c r="BN156" i="1"/>
  <c r="BM156" i="1"/>
  <c r="Z156" i="1"/>
  <c r="Y156" i="1"/>
  <c r="P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9" i="1" s="1"/>
  <c r="P151" i="1"/>
  <c r="BP150" i="1"/>
  <c r="BO150" i="1"/>
  <c r="BN150" i="1"/>
  <c r="BM150" i="1"/>
  <c r="Z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Y125" i="1" s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H374" i="1" s="1"/>
  <c r="P111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G374" i="1" s="1"/>
  <c r="P99" i="1"/>
  <c r="X96" i="1"/>
  <c r="X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D374" i="1" s="1"/>
  <c r="P40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74" i="1" s="1"/>
  <c r="P33" i="1"/>
  <c r="X29" i="1"/>
  <c r="X28" i="1"/>
  <c r="BO27" i="1"/>
  <c r="BM27" i="1"/>
  <c r="Y27" i="1"/>
  <c r="Y28" i="1" s="1"/>
  <c r="P27" i="1"/>
  <c r="X25" i="1"/>
  <c r="X364" i="1" s="1"/>
  <c r="X24" i="1"/>
  <c r="X368" i="1" s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5" i="1"/>
  <c r="Y29" i="1"/>
  <c r="Y37" i="1"/>
  <c r="Y46" i="1"/>
  <c r="Y54" i="1"/>
  <c r="BP69" i="1"/>
  <c r="BN69" i="1"/>
  <c r="Z69" i="1"/>
  <c r="Z71" i="1" s="1"/>
  <c r="BP78" i="1"/>
  <c r="BN78" i="1"/>
  <c r="Z78" i="1"/>
  <c r="Y80" i="1"/>
  <c r="Y85" i="1"/>
  <c r="BP82" i="1"/>
  <c r="BN82" i="1"/>
  <c r="Z82" i="1"/>
  <c r="Z85" i="1" s="1"/>
  <c r="BP90" i="1"/>
  <c r="BN90" i="1"/>
  <c r="Z90" i="1"/>
  <c r="Y92" i="1"/>
  <c r="Y95" i="1"/>
  <c r="BP94" i="1"/>
  <c r="BN94" i="1"/>
  <c r="Z94" i="1"/>
  <c r="Z95" i="1" s="1"/>
  <c r="Y96" i="1"/>
  <c r="H9" i="1"/>
  <c r="B374" i="1"/>
  <c r="X365" i="1"/>
  <c r="X367" i="1" s="1"/>
  <c r="X366" i="1"/>
  <c r="Z23" i="1"/>
  <c r="Z24" i="1" s="1"/>
  <c r="BN23" i="1"/>
  <c r="Y24" i="1"/>
  <c r="Z27" i="1"/>
  <c r="Z28" i="1" s="1"/>
  <c r="BN27" i="1"/>
  <c r="Y365" i="1" s="1"/>
  <c r="Y367" i="1" s="1"/>
  <c r="BP27" i="1"/>
  <c r="Y366" i="1" s="1"/>
  <c r="Z33" i="1"/>
  <c r="Z36" i="1" s="1"/>
  <c r="BN33" i="1"/>
  <c r="BP33" i="1"/>
  <c r="Z35" i="1"/>
  <c r="BN35" i="1"/>
  <c r="Y36" i="1"/>
  <c r="Z40" i="1"/>
  <c r="Z46" i="1" s="1"/>
  <c r="BN40" i="1"/>
  <c r="BP40" i="1"/>
  <c r="Z42" i="1"/>
  <c r="BN42" i="1"/>
  <c r="Z44" i="1"/>
  <c r="BN44" i="1"/>
  <c r="Y47" i="1"/>
  <c r="Z50" i="1"/>
  <c r="Z53" i="1" s="1"/>
  <c r="BN50" i="1"/>
  <c r="Z52" i="1"/>
  <c r="BN52" i="1"/>
  <c r="Z56" i="1"/>
  <c r="Z58" i="1" s="1"/>
  <c r="BN56" i="1"/>
  <c r="BP56" i="1"/>
  <c r="BP57" i="1"/>
  <c r="BN57" i="1"/>
  <c r="Z57" i="1"/>
  <c r="Y59" i="1"/>
  <c r="E374" i="1"/>
  <c r="Y65" i="1"/>
  <c r="BP62" i="1"/>
  <c r="BN62" i="1"/>
  <c r="Z62" i="1"/>
  <c r="Z64" i="1" s="1"/>
  <c r="Y72" i="1"/>
  <c r="Y71" i="1"/>
  <c r="BP76" i="1"/>
  <c r="BN76" i="1"/>
  <c r="Z76" i="1"/>
  <c r="Z79" i="1" s="1"/>
  <c r="BP84" i="1"/>
  <c r="BN84" i="1"/>
  <c r="Z84" i="1"/>
  <c r="Y86" i="1"/>
  <c r="Y91" i="1"/>
  <c r="BP88" i="1"/>
  <c r="BN88" i="1"/>
  <c r="Z88" i="1"/>
  <c r="Z91" i="1" s="1"/>
  <c r="F374" i="1"/>
  <c r="Y79" i="1"/>
  <c r="Z99" i="1"/>
  <c r="Z100" i="1" s="1"/>
  <c r="BN99" i="1"/>
  <c r="BP99" i="1"/>
  <c r="Y100" i="1"/>
  <c r="Z103" i="1"/>
  <c r="Z106" i="1" s="1"/>
  <c r="BN103" i="1"/>
  <c r="BP103" i="1"/>
  <c r="Z105" i="1"/>
  <c r="BN105" i="1"/>
  <c r="Y106" i="1"/>
  <c r="Z111" i="1"/>
  <c r="Z119" i="1" s="1"/>
  <c r="BN111" i="1"/>
  <c r="BP111" i="1"/>
  <c r="Z113" i="1"/>
  <c r="BN113" i="1"/>
  <c r="Z115" i="1"/>
  <c r="BN115" i="1"/>
  <c r="Z117" i="1"/>
  <c r="BN117" i="1"/>
  <c r="Y120" i="1"/>
  <c r="Z123" i="1"/>
  <c r="Z125" i="1" s="1"/>
  <c r="BN123" i="1"/>
  <c r="BP123" i="1"/>
  <c r="Y129" i="1"/>
  <c r="BP128" i="1"/>
  <c r="BN128" i="1"/>
  <c r="Z128" i="1"/>
  <c r="Z129" i="1" s="1"/>
  <c r="Y130" i="1"/>
  <c r="I374" i="1"/>
  <c r="Y136" i="1"/>
  <c r="BP133" i="1"/>
  <c r="BN133" i="1"/>
  <c r="Z133" i="1"/>
  <c r="Z135" i="1" s="1"/>
  <c r="Y140" i="1"/>
  <c r="BP145" i="1"/>
  <c r="BN145" i="1"/>
  <c r="Z145" i="1"/>
  <c r="Y158" i="1"/>
  <c r="BP153" i="1"/>
  <c r="BN153" i="1"/>
  <c r="Z153" i="1"/>
  <c r="BP157" i="1"/>
  <c r="BN157" i="1"/>
  <c r="Z157" i="1"/>
  <c r="Y162" i="1"/>
  <c r="BP161" i="1"/>
  <c r="BN161" i="1"/>
  <c r="Z161" i="1"/>
  <c r="Z162" i="1" s="1"/>
  <c r="Y163" i="1"/>
  <c r="J374" i="1"/>
  <c r="Y173" i="1"/>
  <c r="BP166" i="1"/>
  <c r="BN166" i="1"/>
  <c r="Z166" i="1"/>
  <c r="BP170" i="1"/>
  <c r="BN170" i="1"/>
  <c r="Z170" i="1"/>
  <c r="BP179" i="1"/>
  <c r="BN179" i="1"/>
  <c r="Z179" i="1"/>
  <c r="Y211" i="1"/>
  <c r="BP208" i="1"/>
  <c r="BN208" i="1"/>
  <c r="Z208" i="1"/>
  <c r="Z219" i="1"/>
  <c r="Z341" i="1"/>
  <c r="Y101" i="1"/>
  <c r="Y119" i="1"/>
  <c r="BP139" i="1"/>
  <c r="BN139" i="1"/>
  <c r="Z139" i="1"/>
  <c r="Z140" i="1" s="1"/>
  <c r="Y141" i="1"/>
  <c r="Y148" i="1"/>
  <c r="BP143" i="1"/>
  <c r="BN143" i="1"/>
  <c r="Z143" i="1"/>
  <c r="Z147" i="1" s="1"/>
  <c r="Y147" i="1"/>
  <c r="BP151" i="1"/>
  <c r="BN151" i="1"/>
  <c r="Z151" i="1"/>
  <c r="Z158" i="1" s="1"/>
  <c r="BP155" i="1"/>
  <c r="BN155" i="1"/>
  <c r="Z155" i="1"/>
  <c r="BP168" i="1"/>
  <c r="BN168" i="1"/>
  <c r="Z168" i="1"/>
  <c r="Y172" i="1"/>
  <c r="Z181" i="1"/>
  <c r="BP177" i="1"/>
  <c r="BN177" i="1"/>
  <c r="Z177" i="1"/>
  <c r="Y181" i="1"/>
  <c r="BP206" i="1"/>
  <c r="BN206" i="1"/>
  <c r="Z206" i="1"/>
  <c r="Z210" i="1" s="1"/>
  <c r="Y210" i="1"/>
  <c r="Z240" i="1"/>
  <c r="Z285" i="1"/>
  <c r="Y220" i="1"/>
  <c r="Y228" i="1"/>
  <c r="Y234" i="1"/>
  <c r="Y240" i="1"/>
  <c r="Y246" i="1"/>
  <c r="Y253" i="1"/>
  <c r="Y263" i="1"/>
  <c r="Y269" i="1"/>
  <c r="Y273" i="1"/>
  <c r="Y286" i="1"/>
  <c r="Y290" i="1"/>
  <c r="Y295" i="1"/>
  <c r="Y298" i="1"/>
  <c r="BP297" i="1"/>
  <c r="BN297" i="1"/>
  <c r="Z297" i="1"/>
  <c r="Z298" i="1" s="1"/>
  <c r="Y299" i="1"/>
  <c r="Y308" i="1"/>
  <c r="BP303" i="1"/>
  <c r="BN303" i="1"/>
  <c r="Z303" i="1"/>
  <c r="Y307" i="1"/>
  <c r="BP311" i="1"/>
  <c r="BN311" i="1"/>
  <c r="Z311" i="1"/>
  <c r="Z312" i="1" s="1"/>
  <c r="Y313" i="1"/>
  <c r="V374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37" i="1"/>
  <c r="BP326" i="1"/>
  <c r="BN326" i="1"/>
  <c r="Z326" i="1"/>
  <c r="BP330" i="1"/>
  <c r="BN330" i="1"/>
  <c r="Z330" i="1"/>
  <c r="BP334" i="1"/>
  <c r="BN334" i="1"/>
  <c r="Z334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L374" i="1"/>
  <c r="Q374" i="1"/>
  <c r="U374" i="1"/>
  <c r="K374" i="1"/>
  <c r="Y182" i="1"/>
  <c r="Y192" i="1"/>
  <c r="Y197" i="1"/>
  <c r="Y202" i="1"/>
  <c r="Z214" i="1"/>
  <c r="BN214" i="1"/>
  <c r="Z216" i="1"/>
  <c r="BN216" i="1"/>
  <c r="Z218" i="1"/>
  <c r="BN218" i="1"/>
  <c r="Z222" i="1"/>
  <c r="BN222" i="1"/>
  <c r="BP222" i="1"/>
  <c r="Z224" i="1"/>
  <c r="BN224" i="1"/>
  <c r="Z226" i="1"/>
  <c r="BN226" i="1"/>
  <c r="Z230" i="1"/>
  <c r="Z233" i="1" s="1"/>
  <c r="BN230" i="1"/>
  <c r="BP230" i="1"/>
  <c r="Z232" i="1"/>
  <c r="BN232" i="1"/>
  <c r="Z238" i="1"/>
  <c r="BN238" i="1"/>
  <c r="Z244" i="1"/>
  <c r="Z246" i="1" s="1"/>
  <c r="BN244" i="1"/>
  <c r="R374" i="1"/>
  <c r="Z251" i="1"/>
  <c r="Z252" i="1" s="1"/>
  <c r="BN251" i="1"/>
  <c r="Y252" i="1"/>
  <c r="Z257" i="1"/>
  <c r="BN257" i="1"/>
  <c r="BP257" i="1"/>
  <c r="Z259" i="1"/>
  <c r="BN259" i="1"/>
  <c r="Z261" i="1"/>
  <c r="BN261" i="1"/>
  <c r="Y264" i="1"/>
  <c r="Z267" i="1"/>
  <c r="Z268" i="1" s="1"/>
  <c r="BN267" i="1"/>
  <c r="Z271" i="1"/>
  <c r="Z273" i="1" s="1"/>
  <c r="BN271" i="1"/>
  <c r="BP271" i="1"/>
  <c r="T374" i="1"/>
  <c r="Z282" i="1"/>
  <c r="BN282" i="1"/>
  <c r="Z284" i="1"/>
  <c r="BN284" i="1"/>
  <c r="Y285" i="1"/>
  <c r="Z288" i="1"/>
  <c r="Z289" i="1" s="1"/>
  <c r="BN288" i="1"/>
  <c r="BP288" i="1"/>
  <c r="Z292" i="1"/>
  <c r="Z294" i="1" s="1"/>
  <c r="BN292" i="1"/>
  <c r="BP292" i="1"/>
  <c r="BP305" i="1"/>
  <c r="BN305" i="1"/>
  <c r="Z305" i="1"/>
  <c r="Y312" i="1"/>
  <c r="BP328" i="1"/>
  <c r="BN328" i="1"/>
  <c r="Z328" i="1"/>
  <c r="BP332" i="1"/>
  <c r="BN332" i="1"/>
  <c r="Z332" i="1"/>
  <c r="Y336" i="1"/>
  <c r="BP340" i="1"/>
  <c r="BN340" i="1"/>
  <c r="Z340" i="1"/>
  <c r="Y342" i="1"/>
  <c r="Y351" i="1"/>
  <c r="BP344" i="1"/>
  <c r="BN344" i="1"/>
  <c r="Z344" i="1"/>
  <c r="Z351" i="1" s="1"/>
  <c r="BP348" i="1"/>
  <c r="BN348" i="1"/>
  <c r="Z348" i="1"/>
  <c r="Y356" i="1"/>
  <c r="X374" i="1"/>
  <c r="Y362" i="1"/>
  <c r="BP361" i="1"/>
  <c r="BN361" i="1"/>
  <c r="Z361" i="1"/>
  <c r="Z362" i="1" s="1"/>
  <c r="Y363" i="1"/>
  <c r="W374" i="1"/>
  <c r="Y368" i="1" l="1"/>
  <c r="Y364" i="1"/>
  <c r="Z263" i="1"/>
  <c r="Z227" i="1"/>
  <c r="Z336" i="1"/>
  <c r="Z307" i="1"/>
  <c r="Z172" i="1"/>
  <c r="Z369" i="1" s="1"/>
</calcChain>
</file>

<file path=xl/sharedStrings.xml><?xml version="1.0" encoding="utf-8"?>
<sst xmlns="http://schemas.openxmlformats.org/spreadsheetml/2006/main" count="1542" uniqueCount="567">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</sst>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2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0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4"/>
  <sheetViews>
    <sheetView showGridLines="0" tabSelected="1" topLeftCell="A347" zoomScaleNormal="100" zoomScaleSheetLayoutView="100" workbookViewId="0">
      <selection activeCell="AA370" sqref="AA370"/>
    </sheetView>
  </sheetViews>
  <sheetFormatPr defaultColWidth="9.140625" defaultRowHeight="12.75" x14ac:dyDescent="0.2"/>
  <cols>
    <col min="1" max="1" width="9.140625" style="3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1" customWidth="1"/>
    <col min="19" max="19" width="6.140625" style="3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1" customWidth="1"/>
    <col min="25" max="25" width="11" style="391" customWidth="1"/>
    <col min="26" max="26" width="10" style="391" customWidth="1"/>
    <col min="27" max="27" width="11.5703125" style="391" customWidth="1"/>
    <col min="28" max="28" width="10.42578125" style="391" customWidth="1"/>
    <col min="29" max="29" width="30" style="39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1" customWidth="1"/>
    <col min="34" max="34" width="9.140625" style="391" customWidth="1"/>
    <col min="35" max="16384" width="9.140625" style="391"/>
  </cols>
  <sheetData>
    <row r="1" spans="1:32" s="23" customFormat="1" ht="45" customHeight="1" x14ac:dyDescent="0.2">
      <c r="A1" s="42"/>
      <c r="B1" s="42"/>
      <c r="C1" s="42"/>
      <c r="D1" s="601" t="s">
        <v>0</v>
      </c>
      <c r="E1" s="578"/>
      <c r="F1" s="578"/>
      <c r="G1" s="12" t="s">
        <v>1</v>
      </c>
      <c r="H1" s="601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632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4"/>
      <c r="R2" s="404"/>
      <c r="S2" s="404"/>
      <c r="T2" s="404"/>
      <c r="U2" s="404"/>
      <c r="V2" s="404"/>
      <c r="W2" s="404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4"/>
      <c r="Q3" s="404"/>
      <c r="R3" s="404"/>
      <c r="S3" s="404"/>
      <c r="T3" s="404"/>
      <c r="U3" s="404"/>
      <c r="V3" s="404"/>
      <c r="W3" s="404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70" t="s">
        <v>8</v>
      </c>
      <c r="B5" s="457"/>
      <c r="C5" s="428"/>
      <c r="D5" s="479"/>
      <c r="E5" s="481"/>
      <c r="F5" s="455" t="s">
        <v>9</v>
      </c>
      <c r="G5" s="428"/>
      <c r="H5" s="479"/>
      <c r="I5" s="480"/>
      <c r="J5" s="480"/>
      <c r="K5" s="480"/>
      <c r="L5" s="480"/>
      <c r="M5" s="481"/>
      <c r="N5" s="59"/>
      <c r="P5" s="25" t="s">
        <v>10</v>
      </c>
      <c r="Q5" s="445">
        <v>45875</v>
      </c>
      <c r="R5" s="446"/>
      <c r="T5" s="540" t="s">
        <v>11</v>
      </c>
      <c r="U5" s="541"/>
      <c r="V5" s="543" t="s">
        <v>12</v>
      </c>
      <c r="W5" s="446"/>
      <c r="AB5" s="52"/>
      <c r="AC5" s="52"/>
      <c r="AD5" s="52"/>
      <c r="AE5" s="52"/>
    </row>
    <row r="6" spans="1:32" s="23" customFormat="1" ht="24" customHeight="1" x14ac:dyDescent="0.2">
      <c r="A6" s="570" t="s">
        <v>13</v>
      </c>
      <c r="B6" s="457"/>
      <c r="C6" s="428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46"/>
      <c r="N6" s="60"/>
      <c r="P6" s="25" t="s">
        <v>15</v>
      </c>
      <c r="Q6" s="447" t="str">
        <f>IF(Q5=0," ",CHOOSE(WEEKDAY(Q5,2),"Понедельник","Вторник","Среда","Четверг","Пятница","Суббота","Воскресенье"))</f>
        <v>Среда</v>
      </c>
      <c r="R6" s="406"/>
      <c r="T6" s="549" t="s">
        <v>16</v>
      </c>
      <c r="U6" s="541"/>
      <c r="V6" s="491" t="s">
        <v>17</v>
      </c>
      <c r="W6" s="492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638" t="str">
        <f>IFERROR(VLOOKUP(DeliveryAddress,Table,3,0),1)</f>
        <v>1</v>
      </c>
      <c r="E7" s="639"/>
      <c r="F7" s="639"/>
      <c r="G7" s="639"/>
      <c r="H7" s="639"/>
      <c r="I7" s="639"/>
      <c r="J7" s="639"/>
      <c r="K7" s="639"/>
      <c r="L7" s="639"/>
      <c r="M7" s="545"/>
      <c r="N7" s="61"/>
      <c r="P7" s="25"/>
      <c r="Q7" s="43"/>
      <c r="R7" s="43"/>
      <c r="T7" s="404"/>
      <c r="U7" s="541"/>
      <c r="V7" s="493"/>
      <c r="W7" s="494"/>
      <c r="AB7" s="52"/>
      <c r="AC7" s="52"/>
      <c r="AD7" s="52"/>
      <c r="AE7" s="52"/>
    </row>
    <row r="8" spans="1:32" s="23" customFormat="1" ht="25.5" customHeight="1" x14ac:dyDescent="0.2">
      <c r="A8" s="448" t="s">
        <v>18</v>
      </c>
      <c r="B8" s="408"/>
      <c r="C8" s="409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2"/>
      <c r="P8" s="25" t="s">
        <v>20</v>
      </c>
      <c r="Q8" s="544">
        <v>0.41666666666666669</v>
      </c>
      <c r="R8" s="545"/>
      <c r="T8" s="404"/>
      <c r="U8" s="541"/>
      <c r="V8" s="493"/>
      <c r="W8" s="494"/>
      <c r="AB8" s="52"/>
      <c r="AC8" s="52"/>
      <c r="AD8" s="52"/>
      <c r="AE8" s="52"/>
    </row>
    <row r="9" spans="1:32" s="23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/>
      <c r="C9" s="404"/>
      <c r="D9" s="469"/>
      <c r="E9" s="470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95"/>
      <c r="P9" s="27" t="s">
        <v>21</v>
      </c>
      <c r="Q9" s="609"/>
      <c r="R9" s="424"/>
      <c r="T9" s="404"/>
      <c r="U9" s="541"/>
      <c r="V9" s="495"/>
      <c r="W9" s="496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/>
      <c r="C10" s="404"/>
      <c r="D10" s="469"/>
      <c r="E10" s="470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/>
      <c r="H10" s="506" t="str">
        <f>IFERROR(VLOOKUP($D$10,Proxy,2,FALSE),"")</f>
        <v/>
      </c>
      <c r="I10" s="404"/>
      <c r="J10" s="404"/>
      <c r="K10" s="404"/>
      <c r="L10" s="404"/>
      <c r="M10" s="404"/>
      <c r="N10" s="394"/>
      <c r="P10" s="27" t="s">
        <v>22</v>
      </c>
      <c r="Q10" s="550"/>
      <c r="R10" s="551"/>
      <c r="U10" s="25" t="s">
        <v>23</v>
      </c>
      <c r="V10" s="624" t="s">
        <v>24</v>
      </c>
      <c r="W10" s="492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82"/>
      <c r="R11" s="446"/>
      <c r="U11" s="25" t="s">
        <v>27</v>
      </c>
      <c r="V11" s="423" t="s">
        <v>28</v>
      </c>
      <c r="W11" s="424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54" t="s">
        <v>29</v>
      </c>
      <c r="B12" s="457"/>
      <c r="C12" s="457"/>
      <c r="D12" s="457"/>
      <c r="E12" s="457"/>
      <c r="F12" s="457"/>
      <c r="G12" s="457"/>
      <c r="H12" s="457"/>
      <c r="I12" s="457"/>
      <c r="J12" s="457"/>
      <c r="K12" s="457"/>
      <c r="L12" s="457"/>
      <c r="M12" s="428"/>
      <c r="N12" s="63"/>
      <c r="P12" s="25" t="s">
        <v>30</v>
      </c>
      <c r="Q12" s="544"/>
      <c r="R12" s="545"/>
      <c r="S12" s="24"/>
      <c r="U12" s="25" t="s">
        <v>31</v>
      </c>
      <c r="V12" s="423" t="s">
        <v>32</v>
      </c>
      <c r="W12" s="424"/>
      <c r="AB12" s="52"/>
      <c r="AC12" s="52"/>
      <c r="AD12" s="52"/>
      <c r="AE12" s="52"/>
    </row>
    <row r="13" spans="1:32" s="23" customFormat="1" ht="23.25" customHeight="1" x14ac:dyDescent="0.2">
      <c r="A13" s="554" t="s">
        <v>33</v>
      </c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7"/>
      <c r="M13" s="428"/>
      <c r="N13" s="63"/>
      <c r="O13" s="27"/>
      <c r="P13" s="27" t="s">
        <v>34</v>
      </c>
      <c r="Q13" s="423"/>
      <c r="R13" s="424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54" t="s">
        <v>35</v>
      </c>
      <c r="B14" s="457"/>
      <c r="C14" s="457"/>
      <c r="D14" s="457"/>
      <c r="E14" s="457"/>
      <c r="F14" s="457"/>
      <c r="G14" s="457"/>
      <c r="H14" s="457"/>
      <c r="I14" s="457"/>
      <c r="J14" s="457"/>
      <c r="K14" s="457"/>
      <c r="L14" s="457"/>
      <c r="M14" s="428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89" t="s">
        <v>36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28"/>
      <c r="N15" s="64"/>
      <c r="P15" s="577" t="s">
        <v>37</v>
      </c>
      <c r="Q15" s="578"/>
      <c r="R15" s="578"/>
      <c r="S15" s="578"/>
      <c r="T15" s="57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9"/>
      <c r="Q16" s="579"/>
      <c r="R16" s="579"/>
      <c r="S16" s="579"/>
      <c r="T16" s="5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0" t="s">
        <v>38</v>
      </c>
      <c r="B17" s="410" t="s">
        <v>39</v>
      </c>
      <c r="C17" s="572" t="s">
        <v>40</v>
      </c>
      <c r="D17" s="410" t="s">
        <v>41</v>
      </c>
      <c r="E17" s="411"/>
      <c r="F17" s="410" t="s">
        <v>42</v>
      </c>
      <c r="G17" s="410" t="s">
        <v>43</v>
      </c>
      <c r="H17" s="410" t="s">
        <v>44</v>
      </c>
      <c r="I17" s="410" t="s">
        <v>45</v>
      </c>
      <c r="J17" s="410" t="s">
        <v>46</v>
      </c>
      <c r="K17" s="410" t="s">
        <v>47</v>
      </c>
      <c r="L17" s="410" t="s">
        <v>48</v>
      </c>
      <c r="M17" s="410" t="s">
        <v>49</v>
      </c>
      <c r="N17" s="410" t="s">
        <v>50</v>
      </c>
      <c r="O17" s="410" t="s">
        <v>51</v>
      </c>
      <c r="P17" s="410" t="s">
        <v>52</v>
      </c>
      <c r="Q17" s="604"/>
      <c r="R17" s="604"/>
      <c r="S17" s="604"/>
      <c r="T17" s="411"/>
      <c r="U17" s="427" t="s">
        <v>53</v>
      </c>
      <c r="V17" s="428"/>
      <c r="W17" s="410" t="s">
        <v>54</v>
      </c>
      <c r="X17" s="410" t="s">
        <v>55</v>
      </c>
      <c r="Y17" s="429" t="s">
        <v>56</v>
      </c>
      <c r="Z17" s="504" t="s">
        <v>57</v>
      </c>
      <c r="AA17" s="449" t="s">
        <v>58</v>
      </c>
      <c r="AB17" s="449" t="s">
        <v>59</v>
      </c>
      <c r="AC17" s="449" t="s">
        <v>60</v>
      </c>
      <c r="AD17" s="449" t="s">
        <v>61</v>
      </c>
      <c r="AE17" s="450"/>
      <c r="AF17" s="451"/>
      <c r="AG17" s="67"/>
      <c r="BD17" s="66" t="s">
        <v>62</v>
      </c>
    </row>
    <row r="18" spans="1:68" ht="14.25" customHeight="1" x14ac:dyDescent="0.2">
      <c r="A18" s="415"/>
      <c r="B18" s="415"/>
      <c r="C18" s="415"/>
      <c r="D18" s="412"/>
      <c r="E18" s="413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2"/>
      <c r="Q18" s="605"/>
      <c r="R18" s="605"/>
      <c r="S18" s="605"/>
      <c r="T18" s="413"/>
      <c r="U18" s="68" t="s">
        <v>63</v>
      </c>
      <c r="V18" s="68" t="s">
        <v>64</v>
      </c>
      <c r="W18" s="415"/>
      <c r="X18" s="415"/>
      <c r="Y18" s="430"/>
      <c r="Z18" s="505"/>
      <c r="AA18" s="507"/>
      <c r="AB18" s="507"/>
      <c r="AC18" s="507"/>
      <c r="AD18" s="452"/>
      <c r="AE18" s="453"/>
      <c r="AF18" s="454"/>
      <c r="AG18" s="67"/>
      <c r="BD18" s="66"/>
    </row>
    <row r="19" spans="1:68" ht="27.75" customHeight="1" x14ac:dyDescent="0.2">
      <c r="A19" s="425" t="s">
        <v>65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9"/>
      <c r="AB19" s="49"/>
      <c r="AC19" s="49"/>
    </row>
    <row r="20" spans="1:68" ht="16.5" customHeight="1" x14ac:dyDescent="0.25">
      <c r="A20" s="414" t="s">
        <v>65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392"/>
      <c r="AB20" s="392"/>
      <c r="AC20" s="392"/>
    </row>
    <row r="21" spans="1:68" ht="14.25" customHeight="1" x14ac:dyDescent="0.25">
      <c r="A21" s="403" t="s">
        <v>66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393"/>
      <c r="AB21" s="393"/>
      <c r="AC21" s="39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5">
        <v>4680115886230</v>
      </c>
      <c r="E22" s="406"/>
      <c r="F22" s="396">
        <v>0.3</v>
      </c>
      <c r="G22" s="33">
        <v>6</v>
      </c>
      <c r="H22" s="396">
        <v>1.8</v>
      </c>
      <c r="I22" s="39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0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17"/>
      <c r="R22" s="417"/>
      <c r="S22" s="417"/>
      <c r="T22" s="418"/>
      <c r="U22" s="35"/>
      <c r="V22" s="35"/>
      <c r="W22" s="36" t="s">
        <v>71</v>
      </c>
      <c r="X22" s="397">
        <v>0</v>
      </c>
      <c r="Y22" s="39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5">
        <v>4680115886247</v>
      </c>
      <c r="E23" s="406"/>
      <c r="F23" s="396">
        <v>0.3</v>
      </c>
      <c r="G23" s="33">
        <v>6</v>
      </c>
      <c r="H23" s="396">
        <v>1.8</v>
      </c>
      <c r="I23" s="39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8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17"/>
      <c r="R23" s="417"/>
      <c r="S23" s="417"/>
      <c r="T23" s="418"/>
      <c r="U23" s="35"/>
      <c r="V23" s="35"/>
      <c r="W23" s="36" t="s">
        <v>71</v>
      </c>
      <c r="X23" s="397">
        <v>0</v>
      </c>
      <c r="Y23" s="39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9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20"/>
      <c r="P24" s="407" t="s">
        <v>76</v>
      </c>
      <c r="Q24" s="408"/>
      <c r="R24" s="408"/>
      <c r="S24" s="408"/>
      <c r="T24" s="408"/>
      <c r="U24" s="408"/>
      <c r="V24" s="409"/>
      <c r="W24" s="38" t="s">
        <v>77</v>
      </c>
      <c r="X24" s="399">
        <f>IFERROR(X22/H22,"0")+IFERROR(X23/H23,"0")</f>
        <v>0</v>
      </c>
      <c r="Y24" s="399">
        <f>IFERROR(Y22/H22,"0")+IFERROR(Y23/H23,"0")</f>
        <v>0</v>
      </c>
      <c r="Z24" s="399">
        <f>IFERROR(IF(Z22="",0,Z22),"0")+IFERROR(IF(Z23="",0,Z23),"0")</f>
        <v>0</v>
      </c>
      <c r="AA24" s="400"/>
      <c r="AB24" s="400"/>
      <c r="AC24" s="400"/>
    </row>
    <row r="25" spans="1:68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20"/>
      <c r="P25" s="407" t="s">
        <v>76</v>
      </c>
      <c r="Q25" s="408"/>
      <c r="R25" s="408"/>
      <c r="S25" s="408"/>
      <c r="T25" s="408"/>
      <c r="U25" s="408"/>
      <c r="V25" s="409"/>
      <c r="W25" s="38" t="s">
        <v>71</v>
      </c>
      <c r="X25" s="399">
        <f>IFERROR(SUM(X22:X23),"0")</f>
        <v>0</v>
      </c>
      <c r="Y25" s="399">
        <f>IFERROR(SUM(Y22:Y23),"0")</f>
        <v>0</v>
      </c>
      <c r="Z25" s="38"/>
      <c r="AA25" s="400"/>
      <c r="AB25" s="400"/>
      <c r="AC25" s="400"/>
    </row>
    <row r="26" spans="1:68" ht="14.25" customHeight="1" x14ac:dyDescent="0.25">
      <c r="A26" s="403" t="s">
        <v>78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393"/>
      <c r="AB26" s="393"/>
      <c r="AC26" s="39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5">
        <v>4607091388503</v>
      </c>
      <c r="E27" s="406"/>
      <c r="F27" s="396">
        <v>0.05</v>
      </c>
      <c r="G27" s="33">
        <v>12</v>
      </c>
      <c r="H27" s="396">
        <v>0.6</v>
      </c>
      <c r="I27" s="39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17"/>
      <c r="R27" s="417"/>
      <c r="S27" s="417"/>
      <c r="T27" s="418"/>
      <c r="U27" s="35"/>
      <c r="V27" s="35"/>
      <c r="W27" s="36" t="s">
        <v>71</v>
      </c>
      <c r="X27" s="397">
        <v>0</v>
      </c>
      <c r="Y27" s="39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9"/>
      <c r="B28" s="404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20"/>
      <c r="P28" s="407" t="s">
        <v>76</v>
      </c>
      <c r="Q28" s="408"/>
      <c r="R28" s="408"/>
      <c r="S28" s="408"/>
      <c r="T28" s="408"/>
      <c r="U28" s="408"/>
      <c r="V28" s="409"/>
      <c r="W28" s="38" t="s">
        <v>77</v>
      </c>
      <c r="X28" s="399">
        <f>IFERROR(X27/H27,"0")</f>
        <v>0</v>
      </c>
      <c r="Y28" s="399">
        <f>IFERROR(Y27/H27,"0")</f>
        <v>0</v>
      </c>
      <c r="Z28" s="399">
        <f>IFERROR(IF(Z27="",0,Z27),"0")</f>
        <v>0</v>
      </c>
      <c r="AA28" s="400"/>
      <c r="AB28" s="400"/>
      <c r="AC28" s="400"/>
    </row>
    <row r="29" spans="1:68" x14ac:dyDescent="0.2">
      <c r="A29" s="404"/>
      <c r="B29" s="404"/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20"/>
      <c r="P29" s="407" t="s">
        <v>76</v>
      </c>
      <c r="Q29" s="408"/>
      <c r="R29" s="408"/>
      <c r="S29" s="408"/>
      <c r="T29" s="408"/>
      <c r="U29" s="408"/>
      <c r="V29" s="409"/>
      <c r="W29" s="38" t="s">
        <v>71</v>
      </c>
      <c r="X29" s="399">
        <f>IFERROR(SUM(X27:X27),"0")</f>
        <v>0</v>
      </c>
      <c r="Y29" s="399">
        <f>IFERROR(SUM(Y27:Y27),"0")</f>
        <v>0</v>
      </c>
      <c r="Z29" s="38"/>
      <c r="AA29" s="400"/>
      <c r="AB29" s="400"/>
      <c r="AC29" s="400"/>
    </row>
    <row r="30" spans="1:68" ht="27.75" customHeight="1" x14ac:dyDescent="0.2">
      <c r="A30" s="425" t="s">
        <v>84</v>
      </c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A30" s="49"/>
      <c r="AB30" s="49"/>
      <c r="AC30" s="49"/>
    </row>
    <row r="31" spans="1:68" ht="16.5" customHeight="1" x14ac:dyDescent="0.25">
      <c r="A31" s="414" t="s">
        <v>85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392"/>
      <c r="AB31" s="392"/>
      <c r="AC31" s="392"/>
    </row>
    <row r="32" spans="1:68" ht="14.25" customHeight="1" x14ac:dyDescent="0.25">
      <c r="A32" s="403" t="s">
        <v>86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393"/>
      <c r="AB32" s="393"/>
      <c r="AC32" s="39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5">
        <v>4607091385670</v>
      </c>
      <c r="E33" s="406"/>
      <c r="F33" s="396">
        <v>1.35</v>
      </c>
      <c r="G33" s="33">
        <v>8</v>
      </c>
      <c r="H33" s="396">
        <v>10.8</v>
      </c>
      <c r="I33" s="39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4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17"/>
      <c r="R33" s="417"/>
      <c r="S33" s="417"/>
      <c r="T33" s="418"/>
      <c r="U33" s="35"/>
      <c r="V33" s="35"/>
      <c r="W33" s="36" t="s">
        <v>71</v>
      </c>
      <c r="X33" s="397">
        <v>0</v>
      </c>
      <c r="Y33" s="39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5">
        <v>4607091385687</v>
      </c>
      <c r="E34" s="406"/>
      <c r="F34" s="396">
        <v>0.4</v>
      </c>
      <c r="G34" s="33">
        <v>10</v>
      </c>
      <c r="H34" s="396">
        <v>4</v>
      </c>
      <c r="I34" s="39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17"/>
      <c r="R34" s="417"/>
      <c r="S34" s="417"/>
      <c r="T34" s="418"/>
      <c r="U34" s="35"/>
      <c r="V34" s="35"/>
      <c r="W34" s="36" t="s">
        <v>71</v>
      </c>
      <c r="X34" s="397">
        <v>100</v>
      </c>
      <c r="Y34" s="398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5">
        <v>4680115882539</v>
      </c>
      <c r="E35" s="406"/>
      <c r="F35" s="396">
        <v>0.37</v>
      </c>
      <c r="G35" s="33">
        <v>10</v>
      </c>
      <c r="H35" s="396">
        <v>3.7</v>
      </c>
      <c r="I35" s="39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4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17"/>
      <c r="R35" s="417"/>
      <c r="S35" s="417"/>
      <c r="T35" s="418"/>
      <c r="U35" s="35"/>
      <c r="V35" s="35"/>
      <c r="W35" s="36" t="s">
        <v>71</v>
      </c>
      <c r="X35" s="397">
        <v>0</v>
      </c>
      <c r="Y35" s="39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9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20"/>
      <c r="P36" s="407" t="s">
        <v>76</v>
      </c>
      <c r="Q36" s="408"/>
      <c r="R36" s="408"/>
      <c r="S36" s="408"/>
      <c r="T36" s="408"/>
      <c r="U36" s="408"/>
      <c r="V36" s="409"/>
      <c r="W36" s="38" t="s">
        <v>77</v>
      </c>
      <c r="X36" s="399">
        <f>IFERROR(X33/H33,"0")+IFERROR(X34/H34,"0")+IFERROR(X35/H35,"0")</f>
        <v>25</v>
      </c>
      <c r="Y36" s="399">
        <f>IFERROR(Y33/H33,"0")+IFERROR(Y34/H34,"0")+IFERROR(Y35/H35,"0")</f>
        <v>25</v>
      </c>
      <c r="Z36" s="399">
        <f>IFERROR(IF(Z33="",0,Z33),"0")+IFERROR(IF(Z34="",0,Z34),"0")+IFERROR(IF(Z35="",0,Z35),"0")</f>
        <v>0.22550000000000001</v>
      </c>
      <c r="AA36" s="400"/>
      <c r="AB36" s="400"/>
      <c r="AC36" s="400"/>
    </row>
    <row r="37" spans="1:68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20"/>
      <c r="P37" s="407" t="s">
        <v>76</v>
      </c>
      <c r="Q37" s="408"/>
      <c r="R37" s="408"/>
      <c r="S37" s="408"/>
      <c r="T37" s="408"/>
      <c r="U37" s="408"/>
      <c r="V37" s="409"/>
      <c r="W37" s="38" t="s">
        <v>71</v>
      </c>
      <c r="X37" s="399">
        <f>IFERROR(SUM(X33:X35),"0")</f>
        <v>100</v>
      </c>
      <c r="Y37" s="399">
        <f>IFERROR(SUM(Y33:Y35),"0")</f>
        <v>100</v>
      </c>
      <c r="Z37" s="38"/>
      <c r="AA37" s="400"/>
      <c r="AB37" s="400"/>
      <c r="AC37" s="400"/>
    </row>
    <row r="38" spans="1:68" ht="16.5" customHeight="1" x14ac:dyDescent="0.25">
      <c r="A38" s="414" t="s">
        <v>98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404"/>
      <c r="AA38" s="392"/>
      <c r="AB38" s="392"/>
      <c r="AC38" s="392"/>
    </row>
    <row r="39" spans="1:68" ht="14.25" customHeight="1" x14ac:dyDescent="0.25">
      <c r="A39" s="403" t="s">
        <v>86</v>
      </c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393"/>
      <c r="AB39" s="393"/>
      <c r="AC39" s="39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5">
        <v>4680115885882</v>
      </c>
      <c r="E40" s="406"/>
      <c r="F40" s="396">
        <v>1.4</v>
      </c>
      <c r="G40" s="33">
        <v>8</v>
      </c>
      <c r="H40" s="396">
        <v>11.2</v>
      </c>
      <c r="I40" s="39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17"/>
      <c r="R40" s="417"/>
      <c r="S40" s="417"/>
      <c r="T40" s="418"/>
      <c r="U40" s="35"/>
      <c r="V40" s="35"/>
      <c r="W40" s="36" t="s">
        <v>71</v>
      </c>
      <c r="X40" s="397">
        <v>0</v>
      </c>
      <c r="Y40" s="39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5">
        <v>4680115881426</v>
      </c>
      <c r="E41" s="406"/>
      <c r="F41" s="396">
        <v>1.35</v>
      </c>
      <c r="G41" s="33">
        <v>8</v>
      </c>
      <c r="H41" s="396">
        <v>10.8</v>
      </c>
      <c r="I41" s="39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17"/>
      <c r="R41" s="417"/>
      <c r="S41" s="417"/>
      <c r="T41" s="418"/>
      <c r="U41" s="35"/>
      <c r="V41" s="35"/>
      <c r="W41" s="36" t="s">
        <v>71</v>
      </c>
      <c r="X41" s="397">
        <v>100</v>
      </c>
      <c r="Y41" s="398">
        <f t="shared" si="0"/>
        <v>108</v>
      </c>
      <c r="Z41" s="37">
        <f>IFERROR(IF(Y41=0,"",ROUNDUP(Y41/H41,0)*0.01898),"")</f>
        <v>0.1898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104.02777777777777</v>
      </c>
      <c r="BN41" s="65">
        <f t="shared" si="2"/>
        <v>112.34999999999998</v>
      </c>
      <c r="BO41" s="65">
        <f t="shared" si="3"/>
        <v>0.14467592592592593</v>
      </c>
      <c r="BP41" s="65">
        <f t="shared" si="4"/>
        <v>0.15625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5">
        <v>4680115880283</v>
      </c>
      <c r="E42" s="406"/>
      <c r="F42" s="396">
        <v>0.6</v>
      </c>
      <c r="G42" s="33">
        <v>8</v>
      </c>
      <c r="H42" s="396">
        <v>4.8</v>
      </c>
      <c r="I42" s="39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6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17"/>
      <c r="R42" s="417"/>
      <c r="S42" s="417"/>
      <c r="T42" s="418"/>
      <c r="U42" s="35"/>
      <c r="V42" s="35"/>
      <c r="W42" s="36" t="s">
        <v>71</v>
      </c>
      <c r="X42" s="397">
        <v>0</v>
      </c>
      <c r="Y42" s="39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5">
        <v>4680115881525</v>
      </c>
      <c r="E43" s="406"/>
      <c r="F43" s="396">
        <v>0.4</v>
      </c>
      <c r="G43" s="33">
        <v>10</v>
      </c>
      <c r="H43" s="396">
        <v>4</v>
      </c>
      <c r="I43" s="39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17"/>
      <c r="R43" s="417"/>
      <c r="S43" s="417"/>
      <c r="T43" s="418"/>
      <c r="U43" s="35"/>
      <c r="V43" s="35"/>
      <c r="W43" s="36" t="s">
        <v>71</v>
      </c>
      <c r="X43" s="397">
        <v>0</v>
      </c>
      <c r="Y43" s="39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5">
        <v>4680115885899</v>
      </c>
      <c r="E44" s="406"/>
      <c r="F44" s="396">
        <v>0.35</v>
      </c>
      <c r="G44" s="33">
        <v>6</v>
      </c>
      <c r="H44" s="396">
        <v>2.1</v>
      </c>
      <c r="I44" s="39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6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17"/>
      <c r="R44" s="417"/>
      <c r="S44" s="417"/>
      <c r="T44" s="418"/>
      <c r="U44" s="35"/>
      <c r="V44" s="35"/>
      <c r="W44" s="36" t="s">
        <v>71</v>
      </c>
      <c r="X44" s="397">
        <v>0</v>
      </c>
      <c r="Y44" s="39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5">
        <v>4680115881419</v>
      </c>
      <c r="E45" s="406"/>
      <c r="F45" s="396">
        <v>0.45</v>
      </c>
      <c r="G45" s="33">
        <v>10</v>
      </c>
      <c r="H45" s="396">
        <v>4.5</v>
      </c>
      <c r="I45" s="39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17"/>
      <c r="R45" s="417"/>
      <c r="S45" s="417"/>
      <c r="T45" s="418"/>
      <c r="U45" s="35"/>
      <c r="V45" s="35"/>
      <c r="W45" s="36" t="s">
        <v>71</v>
      </c>
      <c r="X45" s="397">
        <v>150</v>
      </c>
      <c r="Y45" s="398">
        <f t="shared" si="0"/>
        <v>153</v>
      </c>
      <c r="Z45" s="37">
        <f>IFERROR(IF(Y45=0,"",ROUNDUP(Y45/H45,0)*0.00902),"")</f>
        <v>0.30668000000000001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157</v>
      </c>
      <c r="BN45" s="65">
        <f t="shared" si="2"/>
        <v>160.13999999999999</v>
      </c>
      <c r="BO45" s="65">
        <f t="shared" si="3"/>
        <v>0.25252525252525254</v>
      </c>
      <c r="BP45" s="65">
        <f t="shared" si="4"/>
        <v>0.25757575757575757</v>
      </c>
    </row>
    <row r="46" spans="1:68" x14ac:dyDescent="0.2">
      <c r="A46" s="419"/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20"/>
      <c r="P46" s="407" t="s">
        <v>76</v>
      </c>
      <c r="Q46" s="408"/>
      <c r="R46" s="408"/>
      <c r="S46" s="408"/>
      <c r="T46" s="408"/>
      <c r="U46" s="408"/>
      <c r="V46" s="409"/>
      <c r="W46" s="38" t="s">
        <v>77</v>
      </c>
      <c r="X46" s="399">
        <f>IFERROR(X40/H40,"0")+IFERROR(X41/H41,"0")+IFERROR(X42/H42,"0")+IFERROR(X43/H43,"0")+IFERROR(X44/H44,"0")+IFERROR(X45/H45,"0")</f>
        <v>42.592592592592595</v>
      </c>
      <c r="Y46" s="399">
        <f>IFERROR(Y40/H40,"0")+IFERROR(Y41/H41,"0")+IFERROR(Y42/H42,"0")+IFERROR(Y43/H43,"0")+IFERROR(Y44/H44,"0")+IFERROR(Y45/H45,"0")</f>
        <v>44</v>
      </c>
      <c r="Z46" s="399">
        <f>IFERROR(IF(Z40="",0,Z40),"0")+IFERROR(IF(Z41="",0,Z41),"0")+IFERROR(IF(Z42="",0,Z42),"0")+IFERROR(IF(Z43="",0,Z43),"0")+IFERROR(IF(Z44="",0,Z44),"0")+IFERROR(IF(Z45="",0,Z45),"0")</f>
        <v>0.49648000000000003</v>
      </c>
      <c r="AA46" s="400"/>
      <c r="AB46" s="400"/>
      <c r="AC46" s="400"/>
    </row>
    <row r="47" spans="1:68" x14ac:dyDescent="0.2">
      <c r="A47" s="404"/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20"/>
      <c r="P47" s="407" t="s">
        <v>76</v>
      </c>
      <c r="Q47" s="408"/>
      <c r="R47" s="408"/>
      <c r="S47" s="408"/>
      <c r="T47" s="408"/>
      <c r="U47" s="408"/>
      <c r="V47" s="409"/>
      <c r="W47" s="38" t="s">
        <v>71</v>
      </c>
      <c r="X47" s="399">
        <f>IFERROR(SUM(X40:X45),"0")</f>
        <v>250</v>
      </c>
      <c r="Y47" s="399">
        <f>IFERROR(SUM(Y40:Y45),"0")</f>
        <v>261</v>
      </c>
      <c r="Z47" s="38"/>
      <c r="AA47" s="400"/>
      <c r="AB47" s="400"/>
      <c r="AC47" s="400"/>
    </row>
    <row r="48" spans="1:68" ht="14.25" customHeight="1" x14ac:dyDescent="0.25">
      <c r="A48" s="403" t="s">
        <v>117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404"/>
      <c r="AA48" s="393"/>
      <c r="AB48" s="393"/>
      <c r="AC48" s="39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5">
        <v>4680115881440</v>
      </c>
      <c r="E49" s="406"/>
      <c r="F49" s="396">
        <v>1.35</v>
      </c>
      <c r="G49" s="33">
        <v>8</v>
      </c>
      <c r="H49" s="396">
        <v>10.8</v>
      </c>
      <c r="I49" s="39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4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17"/>
      <c r="R49" s="417"/>
      <c r="S49" s="417"/>
      <c r="T49" s="418"/>
      <c r="U49" s="35"/>
      <c r="V49" s="35"/>
      <c r="W49" s="36" t="s">
        <v>71</v>
      </c>
      <c r="X49" s="397">
        <v>0</v>
      </c>
      <c r="Y49" s="39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05">
        <v>4680115882751</v>
      </c>
      <c r="E50" s="406"/>
      <c r="F50" s="396">
        <v>0.45</v>
      </c>
      <c r="G50" s="33">
        <v>10</v>
      </c>
      <c r="H50" s="396">
        <v>4.5</v>
      </c>
      <c r="I50" s="39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6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17"/>
      <c r="R50" s="417"/>
      <c r="S50" s="417"/>
      <c r="T50" s="418"/>
      <c r="U50" s="35"/>
      <c r="V50" s="35"/>
      <c r="W50" s="36" t="s">
        <v>71</v>
      </c>
      <c r="X50" s="397">
        <v>0</v>
      </c>
      <c r="Y50" s="39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05">
        <v>4680115885950</v>
      </c>
      <c r="E51" s="406"/>
      <c r="F51" s="396">
        <v>0.37</v>
      </c>
      <c r="G51" s="33">
        <v>6</v>
      </c>
      <c r="H51" s="396">
        <v>2.2200000000000002</v>
      </c>
      <c r="I51" s="39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17"/>
      <c r="R51" s="417"/>
      <c r="S51" s="417"/>
      <c r="T51" s="418"/>
      <c r="U51" s="35"/>
      <c r="V51" s="35"/>
      <c r="W51" s="36" t="s">
        <v>71</v>
      </c>
      <c r="X51" s="397">
        <v>0</v>
      </c>
      <c r="Y51" s="39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05">
        <v>4680115881433</v>
      </c>
      <c r="E52" s="406"/>
      <c r="F52" s="396">
        <v>0.45</v>
      </c>
      <c r="G52" s="33">
        <v>6</v>
      </c>
      <c r="H52" s="396">
        <v>2.7</v>
      </c>
      <c r="I52" s="39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6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17"/>
      <c r="R52" s="417"/>
      <c r="S52" s="417"/>
      <c r="T52" s="418"/>
      <c r="U52" s="35"/>
      <c r="V52" s="35"/>
      <c r="W52" s="36" t="s">
        <v>71</v>
      </c>
      <c r="X52" s="397">
        <v>0</v>
      </c>
      <c r="Y52" s="39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9"/>
      <c r="B53" s="404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20"/>
      <c r="P53" s="407" t="s">
        <v>76</v>
      </c>
      <c r="Q53" s="408"/>
      <c r="R53" s="408"/>
      <c r="S53" s="408"/>
      <c r="T53" s="408"/>
      <c r="U53" s="408"/>
      <c r="V53" s="409"/>
      <c r="W53" s="38" t="s">
        <v>77</v>
      </c>
      <c r="X53" s="399">
        <f>IFERROR(X49/H49,"0")+IFERROR(X50/H50,"0")+IFERROR(X51/H51,"0")+IFERROR(X52/H52,"0")</f>
        <v>0</v>
      </c>
      <c r="Y53" s="399">
        <f>IFERROR(Y49/H49,"0")+IFERROR(Y50/H50,"0")+IFERROR(Y51/H51,"0")+IFERROR(Y52/H52,"0")</f>
        <v>0</v>
      </c>
      <c r="Z53" s="399">
        <f>IFERROR(IF(Z49="",0,Z49),"0")+IFERROR(IF(Z50="",0,Z50),"0")+IFERROR(IF(Z51="",0,Z51),"0")+IFERROR(IF(Z52="",0,Z52),"0")</f>
        <v>0</v>
      </c>
      <c r="AA53" s="400"/>
      <c r="AB53" s="400"/>
      <c r="AC53" s="400"/>
    </row>
    <row r="54" spans="1:68" x14ac:dyDescent="0.2">
      <c r="A54" s="404"/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20"/>
      <c r="P54" s="407" t="s">
        <v>76</v>
      </c>
      <c r="Q54" s="408"/>
      <c r="R54" s="408"/>
      <c r="S54" s="408"/>
      <c r="T54" s="408"/>
      <c r="U54" s="408"/>
      <c r="V54" s="409"/>
      <c r="W54" s="38" t="s">
        <v>71</v>
      </c>
      <c r="X54" s="399">
        <f>IFERROR(SUM(X49:X52),"0")</f>
        <v>0</v>
      </c>
      <c r="Y54" s="399">
        <f>IFERROR(SUM(Y49:Y52),"0")</f>
        <v>0</v>
      </c>
      <c r="Z54" s="38"/>
      <c r="AA54" s="400"/>
      <c r="AB54" s="400"/>
      <c r="AC54" s="400"/>
    </row>
    <row r="55" spans="1:68" ht="14.25" customHeight="1" x14ac:dyDescent="0.25">
      <c r="A55" s="403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393"/>
      <c r="AB55" s="393"/>
      <c r="AC55" s="39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05">
        <v>4680115881532</v>
      </c>
      <c r="E56" s="406"/>
      <c r="F56" s="396">
        <v>1.3</v>
      </c>
      <c r="G56" s="33">
        <v>6</v>
      </c>
      <c r="H56" s="396">
        <v>7.8</v>
      </c>
      <c r="I56" s="39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6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17"/>
      <c r="R56" s="417"/>
      <c r="S56" s="417"/>
      <c r="T56" s="418"/>
      <c r="U56" s="35"/>
      <c r="V56" s="35"/>
      <c r="W56" s="36" t="s">
        <v>71</v>
      </c>
      <c r="X56" s="397">
        <v>0</v>
      </c>
      <c r="Y56" s="39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05">
        <v>4680115881464</v>
      </c>
      <c r="E57" s="406"/>
      <c r="F57" s="396">
        <v>0.4</v>
      </c>
      <c r="G57" s="33">
        <v>6</v>
      </c>
      <c r="H57" s="396">
        <v>2.4</v>
      </c>
      <c r="I57" s="39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4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17"/>
      <c r="R57" s="417"/>
      <c r="S57" s="417"/>
      <c r="T57" s="418"/>
      <c r="U57" s="35"/>
      <c r="V57" s="35"/>
      <c r="W57" s="36" t="s">
        <v>71</v>
      </c>
      <c r="X57" s="397">
        <v>0</v>
      </c>
      <c r="Y57" s="39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9"/>
      <c r="B58" s="404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20"/>
      <c r="P58" s="407" t="s">
        <v>76</v>
      </c>
      <c r="Q58" s="408"/>
      <c r="R58" s="408"/>
      <c r="S58" s="408"/>
      <c r="T58" s="408"/>
      <c r="U58" s="408"/>
      <c r="V58" s="409"/>
      <c r="W58" s="38" t="s">
        <v>77</v>
      </c>
      <c r="X58" s="399">
        <f>IFERROR(X56/H56,"0")+IFERROR(X57/H57,"0")</f>
        <v>0</v>
      </c>
      <c r="Y58" s="399">
        <f>IFERROR(Y56/H56,"0")+IFERROR(Y57/H57,"0")</f>
        <v>0</v>
      </c>
      <c r="Z58" s="399">
        <f>IFERROR(IF(Z56="",0,Z56),"0")+IFERROR(IF(Z57="",0,Z57),"0")</f>
        <v>0</v>
      </c>
      <c r="AA58" s="400"/>
      <c r="AB58" s="400"/>
      <c r="AC58" s="400"/>
    </row>
    <row r="59" spans="1:68" x14ac:dyDescent="0.2">
      <c r="A59" s="404"/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20"/>
      <c r="P59" s="407" t="s">
        <v>76</v>
      </c>
      <c r="Q59" s="408"/>
      <c r="R59" s="408"/>
      <c r="S59" s="408"/>
      <c r="T59" s="408"/>
      <c r="U59" s="408"/>
      <c r="V59" s="409"/>
      <c r="W59" s="38" t="s">
        <v>71</v>
      </c>
      <c r="X59" s="399">
        <f>IFERROR(SUM(X56:X57),"0")</f>
        <v>0</v>
      </c>
      <c r="Y59" s="399">
        <f>IFERROR(SUM(Y56:Y57),"0")</f>
        <v>0</v>
      </c>
      <c r="Z59" s="38"/>
      <c r="AA59" s="400"/>
      <c r="AB59" s="400"/>
      <c r="AC59" s="400"/>
    </row>
    <row r="60" spans="1:68" ht="16.5" customHeight="1" x14ac:dyDescent="0.25">
      <c r="A60" s="414" t="s">
        <v>135</v>
      </c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392"/>
      <c r="AB60" s="392"/>
      <c r="AC60" s="392"/>
    </row>
    <row r="61" spans="1:68" ht="14.25" customHeight="1" x14ac:dyDescent="0.25">
      <c r="A61" s="403" t="s">
        <v>86</v>
      </c>
      <c r="B61" s="404"/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393"/>
      <c r="AB61" s="393"/>
      <c r="AC61" s="39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05">
        <v>4680115881327</v>
      </c>
      <c r="E62" s="406"/>
      <c r="F62" s="396">
        <v>1.35</v>
      </c>
      <c r="G62" s="33">
        <v>8</v>
      </c>
      <c r="H62" s="396">
        <v>10.8</v>
      </c>
      <c r="I62" s="39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4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17"/>
      <c r="R62" s="417"/>
      <c r="S62" s="417"/>
      <c r="T62" s="418"/>
      <c r="U62" s="35"/>
      <c r="V62" s="35"/>
      <c r="W62" s="36" t="s">
        <v>71</v>
      </c>
      <c r="X62" s="397">
        <v>100</v>
      </c>
      <c r="Y62" s="398">
        <f>IFERROR(IF(X62="",0,CEILING((X62/$H62),1)*$H62),"")</f>
        <v>108</v>
      </c>
      <c r="Z62" s="37">
        <f>IFERROR(IF(Y62=0,"",ROUNDUP(Y62/H62,0)*0.01898),"")</f>
        <v>0.1898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104.02777777777777</v>
      </c>
      <c r="BN62" s="65">
        <f>IFERROR(Y62*I62/H62,"0")</f>
        <v>112.34999999999998</v>
      </c>
      <c r="BO62" s="65">
        <f>IFERROR(1/J62*(X62/H62),"0")</f>
        <v>0.14467592592592593</v>
      </c>
      <c r="BP62" s="65">
        <f>IFERROR(1/J62*(Y62/H62),"0")</f>
        <v>0.15625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05">
        <v>4680115881518</v>
      </c>
      <c r="E63" s="406"/>
      <c r="F63" s="396">
        <v>0.4</v>
      </c>
      <c r="G63" s="33">
        <v>10</v>
      </c>
      <c r="H63" s="396">
        <v>4</v>
      </c>
      <c r="I63" s="39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6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17"/>
      <c r="R63" s="417"/>
      <c r="S63" s="417"/>
      <c r="T63" s="418"/>
      <c r="U63" s="35"/>
      <c r="V63" s="35"/>
      <c r="W63" s="36" t="s">
        <v>71</v>
      </c>
      <c r="X63" s="397">
        <v>0</v>
      </c>
      <c r="Y63" s="39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9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20"/>
      <c r="P64" s="407" t="s">
        <v>76</v>
      </c>
      <c r="Q64" s="408"/>
      <c r="R64" s="408"/>
      <c r="S64" s="408"/>
      <c r="T64" s="408"/>
      <c r="U64" s="408"/>
      <c r="V64" s="409"/>
      <c r="W64" s="38" t="s">
        <v>77</v>
      </c>
      <c r="X64" s="399">
        <f>IFERROR(X62/H62,"0")+IFERROR(X63/H63,"0")</f>
        <v>9.2592592592592595</v>
      </c>
      <c r="Y64" s="399">
        <f>IFERROR(Y62/H62,"0")+IFERROR(Y63/H63,"0")</f>
        <v>10</v>
      </c>
      <c r="Z64" s="399">
        <f>IFERROR(IF(Z62="",0,Z62),"0")+IFERROR(IF(Z63="",0,Z63),"0")</f>
        <v>0.1898</v>
      </c>
      <c r="AA64" s="400"/>
      <c r="AB64" s="400"/>
      <c r="AC64" s="400"/>
    </row>
    <row r="65" spans="1:68" x14ac:dyDescent="0.2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20"/>
      <c r="P65" s="407" t="s">
        <v>76</v>
      </c>
      <c r="Q65" s="408"/>
      <c r="R65" s="408"/>
      <c r="S65" s="408"/>
      <c r="T65" s="408"/>
      <c r="U65" s="408"/>
      <c r="V65" s="409"/>
      <c r="W65" s="38" t="s">
        <v>71</v>
      </c>
      <c r="X65" s="399">
        <f>IFERROR(SUM(X62:X63),"0")</f>
        <v>100</v>
      </c>
      <c r="Y65" s="399">
        <f>IFERROR(SUM(Y62:Y63),"0")</f>
        <v>108</v>
      </c>
      <c r="Z65" s="38"/>
      <c r="AA65" s="400"/>
      <c r="AB65" s="400"/>
      <c r="AC65" s="400"/>
    </row>
    <row r="66" spans="1:68" ht="14.25" customHeight="1" x14ac:dyDescent="0.25">
      <c r="A66" s="403" t="s">
        <v>66</v>
      </c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393"/>
      <c r="AB66" s="393"/>
      <c r="AC66" s="393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05">
        <v>4607091386967</v>
      </c>
      <c r="E67" s="406"/>
      <c r="F67" s="396">
        <v>1.35</v>
      </c>
      <c r="G67" s="33">
        <v>6</v>
      </c>
      <c r="H67" s="396">
        <v>8.1</v>
      </c>
      <c r="I67" s="396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4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17"/>
      <c r="R67" s="417"/>
      <c r="S67" s="417"/>
      <c r="T67" s="418"/>
      <c r="U67" s="35"/>
      <c r="V67" s="35"/>
      <c r="W67" s="36" t="s">
        <v>71</v>
      </c>
      <c r="X67" s="397">
        <v>200</v>
      </c>
      <c r="Y67" s="398">
        <f>IFERROR(IF(X67="",0,CEILING((X67/$H67),1)*$H67),"")</f>
        <v>202.5</v>
      </c>
      <c r="Z67" s="37">
        <f>IFERROR(IF(Y67=0,"",ROUNDUP(Y67/H67,0)*0.01898),"")</f>
        <v>0.47450000000000003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212.81481481481481</v>
      </c>
      <c r="BN67" s="65">
        <f>IFERROR(Y67*I67/H67,"0")</f>
        <v>215.47499999999999</v>
      </c>
      <c r="BO67" s="65">
        <f>IFERROR(1/J67*(X67/H67),"0")</f>
        <v>0.38580246913580246</v>
      </c>
      <c r="BP67" s="65">
        <f>IFERROR(1/J67*(Y67/H67),"0")</f>
        <v>0.390625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05">
        <v>4607091386967</v>
      </c>
      <c r="E68" s="406"/>
      <c r="F68" s="396">
        <v>1.35</v>
      </c>
      <c r="G68" s="33">
        <v>6</v>
      </c>
      <c r="H68" s="396">
        <v>8.1</v>
      </c>
      <c r="I68" s="396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67" t="s">
        <v>145</v>
      </c>
      <c r="Q68" s="417"/>
      <c r="R68" s="417"/>
      <c r="S68" s="417"/>
      <c r="T68" s="418"/>
      <c r="U68" s="35"/>
      <c r="V68" s="35"/>
      <c r="W68" s="36" t="s">
        <v>71</v>
      </c>
      <c r="X68" s="397">
        <v>0</v>
      </c>
      <c r="Y68" s="398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05">
        <v>4607091385731</v>
      </c>
      <c r="E69" s="406"/>
      <c r="F69" s="396">
        <v>0.45</v>
      </c>
      <c r="G69" s="33">
        <v>6</v>
      </c>
      <c r="H69" s="396">
        <v>2.7</v>
      </c>
      <c r="I69" s="396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4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17"/>
      <c r="R69" s="417"/>
      <c r="S69" s="417"/>
      <c r="T69" s="418"/>
      <c r="U69" s="35"/>
      <c r="V69" s="35"/>
      <c r="W69" s="36" t="s">
        <v>71</v>
      </c>
      <c r="X69" s="397">
        <v>0</v>
      </c>
      <c r="Y69" s="39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05">
        <v>4680115880894</v>
      </c>
      <c r="E70" s="406"/>
      <c r="F70" s="396">
        <v>0.33</v>
      </c>
      <c r="G70" s="33">
        <v>6</v>
      </c>
      <c r="H70" s="396">
        <v>1.98</v>
      </c>
      <c r="I70" s="396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4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17"/>
      <c r="R70" s="417"/>
      <c r="S70" s="417"/>
      <c r="T70" s="418"/>
      <c r="U70" s="35"/>
      <c r="V70" s="35"/>
      <c r="W70" s="36" t="s">
        <v>71</v>
      </c>
      <c r="X70" s="397">
        <v>0</v>
      </c>
      <c r="Y70" s="398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9"/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20"/>
      <c r="P71" s="407" t="s">
        <v>76</v>
      </c>
      <c r="Q71" s="408"/>
      <c r="R71" s="408"/>
      <c r="S71" s="408"/>
      <c r="T71" s="408"/>
      <c r="U71" s="408"/>
      <c r="V71" s="409"/>
      <c r="W71" s="38" t="s">
        <v>77</v>
      </c>
      <c r="X71" s="399">
        <f>IFERROR(X67/H67,"0")+IFERROR(X68/H68,"0")+IFERROR(X69/H69,"0")+IFERROR(X70/H70,"0")</f>
        <v>24.691358024691358</v>
      </c>
      <c r="Y71" s="399">
        <f>IFERROR(Y67/H67,"0")+IFERROR(Y68/H68,"0")+IFERROR(Y69/H69,"0")+IFERROR(Y70/H70,"0")</f>
        <v>25</v>
      </c>
      <c r="Z71" s="399">
        <f>IFERROR(IF(Z67="",0,Z67),"0")+IFERROR(IF(Z68="",0,Z68),"0")+IFERROR(IF(Z69="",0,Z69),"0")+IFERROR(IF(Z70="",0,Z70),"0")</f>
        <v>0.47450000000000003</v>
      </c>
      <c r="AA71" s="400"/>
      <c r="AB71" s="400"/>
      <c r="AC71" s="400"/>
    </row>
    <row r="72" spans="1:68" x14ac:dyDescent="0.2">
      <c r="A72" s="404"/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20"/>
      <c r="P72" s="407" t="s">
        <v>76</v>
      </c>
      <c r="Q72" s="408"/>
      <c r="R72" s="408"/>
      <c r="S72" s="408"/>
      <c r="T72" s="408"/>
      <c r="U72" s="408"/>
      <c r="V72" s="409"/>
      <c r="W72" s="38" t="s">
        <v>71</v>
      </c>
      <c r="X72" s="399">
        <f>IFERROR(SUM(X67:X70),"0")</f>
        <v>200</v>
      </c>
      <c r="Y72" s="399">
        <f>IFERROR(SUM(Y67:Y70),"0")</f>
        <v>202.5</v>
      </c>
      <c r="Z72" s="38"/>
      <c r="AA72" s="400"/>
      <c r="AB72" s="400"/>
      <c r="AC72" s="400"/>
    </row>
    <row r="73" spans="1:68" ht="16.5" customHeight="1" x14ac:dyDescent="0.25">
      <c r="A73" s="414" t="s">
        <v>151</v>
      </c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392"/>
      <c r="AB73" s="392"/>
      <c r="AC73" s="392"/>
    </row>
    <row r="74" spans="1:68" ht="14.25" customHeight="1" x14ac:dyDescent="0.25">
      <c r="A74" s="403" t="s">
        <v>86</v>
      </c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393"/>
      <c r="AB74" s="393"/>
      <c r="AC74" s="393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05">
        <v>4680115882133</v>
      </c>
      <c r="E75" s="406"/>
      <c r="F75" s="396">
        <v>1.35</v>
      </c>
      <c r="G75" s="33">
        <v>8</v>
      </c>
      <c r="H75" s="396">
        <v>10.8</v>
      </c>
      <c r="I75" s="396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4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17"/>
      <c r="R75" s="417"/>
      <c r="S75" s="417"/>
      <c r="T75" s="418"/>
      <c r="U75" s="35"/>
      <c r="V75" s="35"/>
      <c r="W75" s="36" t="s">
        <v>71</v>
      </c>
      <c r="X75" s="397">
        <v>0</v>
      </c>
      <c r="Y75" s="398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05">
        <v>4680115880269</v>
      </c>
      <c r="E76" s="406"/>
      <c r="F76" s="396">
        <v>0.375</v>
      </c>
      <c r="G76" s="33">
        <v>10</v>
      </c>
      <c r="H76" s="396">
        <v>3.75</v>
      </c>
      <c r="I76" s="396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17"/>
      <c r="R76" s="417"/>
      <c r="S76" s="417"/>
      <c r="T76" s="418"/>
      <c r="U76" s="35"/>
      <c r="V76" s="35"/>
      <c r="W76" s="36" t="s">
        <v>71</v>
      </c>
      <c r="X76" s="397">
        <v>0</v>
      </c>
      <c r="Y76" s="398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05">
        <v>4680115880429</v>
      </c>
      <c r="E77" s="406"/>
      <c r="F77" s="396">
        <v>0.45</v>
      </c>
      <c r="G77" s="33">
        <v>10</v>
      </c>
      <c r="H77" s="396">
        <v>4.5</v>
      </c>
      <c r="I77" s="39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6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17"/>
      <c r="R77" s="417"/>
      <c r="S77" s="417"/>
      <c r="T77" s="418"/>
      <c r="U77" s="35"/>
      <c r="V77" s="35"/>
      <c r="W77" s="36" t="s">
        <v>71</v>
      </c>
      <c r="X77" s="397">
        <v>200</v>
      </c>
      <c r="Y77" s="398">
        <f>IFERROR(IF(X77="",0,CEILING((X77/$H77),1)*$H77),"")</f>
        <v>202.5</v>
      </c>
      <c r="Z77" s="37">
        <f>IFERROR(IF(Y77=0,"",ROUNDUP(Y77/H77,0)*0.00902),"")</f>
        <v>0.40590000000000004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209.33333333333334</v>
      </c>
      <c r="BN77" s="65">
        <f>IFERROR(Y77*I77/H77,"0")</f>
        <v>211.95</v>
      </c>
      <c r="BO77" s="65">
        <f>IFERROR(1/J77*(X77/H77),"0")</f>
        <v>0.33670033670033672</v>
      </c>
      <c r="BP77" s="65">
        <f>IFERROR(1/J77*(Y77/H77),"0")</f>
        <v>0.34090909090909094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05">
        <v>4680115881457</v>
      </c>
      <c r="E78" s="406"/>
      <c r="F78" s="396">
        <v>0.75</v>
      </c>
      <c r="G78" s="33">
        <v>6</v>
      </c>
      <c r="H78" s="396">
        <v>4.5</v>
      </c>
      <c r="I78" s="396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6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17"/>
      <c r="R78" s="417"/>
      <c r="S78" s="417"/>
      <c r="T78" s="418"/>
      <c r="U78" s="35"/>
      <c r="V78" s="35"/>
      <c r="W78" s="36" t="s">
        <v>71</v>
      </c>
      <c r="X78" s="397">
        <v>0</v>
      </c>
      <c r="Y78" s="398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9"/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20"/>
      <c r="P79" s="407" t="s">
        <v>76</v>
      </c>
      <c r="Q79" s="408"/>
      <c r="R79" s="408"/>
      <c r="S79" s="408"/>
      <c r="T79" s="408"/>
      <c r="U79" s="408"/>
      <c r="V79" s="409"/>
      <c r="W79" s="38" t="s">
        <v>77</v>
      </c>
      <c r="X79" s="399">
        <f>IFERROR(X75/H75,"0")+IFERROR(X76/H76,"0")+IFERROR(X77/H77,"0")+IFERROR(X78/H78,"0")</f>
        <v>44.444444444444443</v>
      </c>
      <c r="Y79" s="399">
        <f>IFERROR(Y75/H75,"0")+IFERROR(Y76/H76,"0")+IFERROR(Y77/H77,"0")+IFERROR(Y78/H78,"0")</f>
        <v>45</v>
      </c>
      <c r="Z79" s="399">
        <f>IFERROR(IF(Z75="",0,Z75),"0")+IFERROR(IF(Z76="",0,Z76),"0")+IFERROR(IF(Z77="",0,Z77),"0")+IFERROR(IF(Z78="",0,Z78),"0")</f>
        <v>0.40590000000000004</v>
      </c>
      <c r="AA79" s="400"/>
      <c r="AB79" s="400"/>
      <c r="AC79" s="400"/>
    </row>
    <row r="80" spans="1:68" x14ac:dyDescent="0.2">
      <c r="A80" s="404"/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20"/>
      <c r="P80" s="407" t="s">
        <v>76</v>
      </c>
      <c r="Q80" s="408"/>
      <c r="R80" s="408"/>
      <c r="S80" s="408"/>
      <c r="T80" s="408"/>
      <c r="U80" s="408"/>
      <c r="V80" s="409"/>
      <c r="W80" s="38" t="s">
        <v>71</v>
      </c>
      <c r="X80" s="399">
        <f>IFERROR(SUM(X75:X78),"0")</f>
        <v>200</v>
      </c>
      <c r="Y80" s="399">
        <f>IFERROR(SUM(Y75:Y78),"0")</f>
        <v>202.5</v>
      </c>
      <c r="Z80" s="38"/>
      <c r="AA80" s="400"/>
      <c r="AB80" s="400"/>
      <c r="AC80" s="400"/>
    </row>
    <row r="81" spans="1:68" ht="14.25" customHeight="1" x14ac:dyDescent="0.25">
      <c r="A81" s="403" t="s">
        <v>117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393"/>
      <c r="AB81" s="393"/>
      <c r="AC81" s="393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05">
        <v>4680115881488</v>
      </c>
      <c r="E82" s="406"/>
      <c r="F82" s="396">
        <v>1.35</v>
      </c>
      <c r="G82" s="33">
        <v>8</v>
      </c>
      <c r="H82" s="396">
        <v>10.8</v>
      </c>
      <c r="I82" s="396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4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17"/>
      <c r="R82" s="417"/>
      <c r="S82" s="417"/>
      <c r="T82" s="418"/>
      <c r="U82" s="35"/>
      <c r="V82" s="35"/>
      <c r="W82" s="36" t="s">
        <v>71</v>
      </c>
      <c r="X82" s="397">
        <v>0</v>
      </c>
      <c r="Y82" s="39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05">
        <v>4680115882775</v>
      </c>
      <c r="E83" s="406"/>
      <c r="F83" s="396">
        <v>0.3</v>
      </c>
      <c r="G83" s="33">
        <v>8</v>
      </c>
      <c r="H83" s="396">
        <v>2.4</v>
      </c>
      <c r="I83" s="396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4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17"/>
      <c r="R83" s="417"/>
      <c r="S83" s="417"/>
      <c r="T83" s="418"/>
      <c r="U83" s="35"/>
      <c r="V83" s="35"/>
      <c r="W83" s="36" t="s">
        <v>71</v>
      </c>
      <c r="X83" s="397">
        <v>0</v>
      </c>
      <c r="Y83" s="398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05">
        <v>4680115880658</v>
      </c>
      <c r="E84" s="406"/>
      <c r="F84" s="396">
        <v>0.4</v>
      </c>
      <c r="G84" s="33">
        <v>6</v>
      </c>
      <c r="H84" s="396">
        <v>2.4</v>
      </c>
      <c r="I84" s="396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4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17"/>
      <c r="R84" s="417"/>
      <c r="S84" s="417"/>
      <c r="T84" s="418"/>
      <c r="U84" s="35"/>
      <c r="V84" s="35"/>
      <c r="W84" s="36" t="s">
        <v>71</v>
      </c>
      <c r="X84" s="397">
        <v>0</v>
      </c>
      <c r="Y84" s="398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9"/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20"/>
      <c r="P85" s="407" t="s">
        <v>76</v>
      </c>
      <c r="Q85" s="408"/>
      <c r="R85" s="408"/>
      <c r="S85" s="408"/>
      <c r="T85" s="408"/>
      <c r="U85" s="408"/>
      <c r="V85" s="409"/>
      <c r="W85" s="38" t="s">
        <v>77</v>
      </c>
      <c r="X85" s="399">
        <f>IFERROR(X82/H82,"0")+IFERROR(X83/H83,"0")+IFERROR(X84/H84,"0")</f>
        <v>0</v>
      </c>
      <c r="Y85" s="399">
        <f>IFERROR(Y82/H82,"0")+IFERROR(Y83/H83,"0")+IFERROR(Y84/H84,"0")</f>
        <v>0</v>
      </c>
      <c r="Z85" s="399">
        <f>IFERROR(IF(Z82="",0,Z82),"0")+IFERROR(IF(Z83="",0,Z83),"0")+IFERROR(IF(Z84="",0,Z84),"0")</f>
        <v>0</v>
      </c>
      <c r="AA85" s="400"/>
      <c r="AB85" s="400"/>
      <c r="AC85" s="400"/>
    </row>
    <row r="86" spans="1:68" x14ac:dyDescent="0.2">
      <c r="A86" s="404"/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20"/>
      <c r="P86" s="407" t="s">
        <v>76</v>
      </c>
      <c r="Q86" s="408"/>
      <c r="R86" s="408"/>
      <c r="S86" s="408"/>
      <c r="T86" s="408"/>
      <c r="U86" s="408"/>
      <c r="V86" s="409"/>
      <c r="W86" s="38" t="s">
        <v>71</v>
      </c>
      <c r="X86" s="399">
        <f>IFERROR(SUM(X82:X84),"0")</f>
        <v>0</v>
      </c>
      <c r="Y86" s="399">
        <f>IFERROR(SUM(Y82:Y84),"0")</f>
        <v>0</v>
      </c>
      <c r="Z86" s="38"/>
      <c r="AA86" s="400"/>
      <c r="AB86" s="400"/>
      <c r="AC86" s="400"/>
    </row>
    <row r="87" spans="1:68" ht="14.25" customHeight="1" x14ac:dyDescent="0.25">
      <c r="A87" s="403" t="s">
        <v>66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393"/>
      <c r="AB87" s="393"/>
      <c r="AC87" s="393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05">
        <v>4607091385168</v>
      </c>
      <c r="E88" s="406"/>
      <c r="F88" s="396">
        <v>1.35</v>
      </c>
      <c r="G88" s="33">
        <v>6</v>
      </c>
      <c r="H88" s="396">
        <v>8.1</v>
      </c>
      <c r="I88" s="396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17"/>
      <c r="R88" s="417"/>
      <c r="S88" s="417"/>
      <c r="T88" s="418"/>
      <c r="U88" s="35"/>
      <c r="V88" s="35"/>
      <c r="W88" s="36" t="s">
        <v>71</v>
      </c>
      <c r="X88" s="397">
        <v>500</v>
      </c>
      <c r="Y88" s="398">
        <f>IFERROR(IF(X88="",0,CEILING((X88/$H88),1)*$H88),"")</f>
        <v>502.2</v>
      </c>
      <c r="Z88" s="37">
        <f>IFERROR(IF(Y88=0,"",ROUNDUP(Y88/H88,0)*0.01898),"")</f>
        <v>1.17676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531.66666666666674</v>
      </c>
      <c r="BN88" s="65">
        <f>IFERROR(Y88*I88/H88,"0")</f>
        <v>534.00599999999997</v>
      </c>
      <c r="BO88" s="65">
        <f>IFERROR(1/J88*(X88/H88),"0")</f>
        <v>0.96450617283950624</v>
      </c>
      <c r="BP88" s="65">
        <f>IFERROR(1/J88*(Y88/H88),"0")</f>
        <v>0.96875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05">
        <v>4607091383256</v>
      </c>
      <c r="E89" s="406"/>
      <c r="F89" s="396">
        <v>0.33</v>
      </c>
      <c r="G89" s="33">
        <v>6</v>
      </c>
      <c r="H89" s="396">
        <v>1.98</v>
      </c>
      <c r="I89" s="396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17"/>
      <c r="R89" s="417"/>
      <c r="S89" s="417"/>
      <c r="T89" s="418"/>
      <c r="U89" s="35"/>
      <c r="V89" s="35"/>
      <c r="W89" s="36" t="s">
        <v>71</v>
      </c>
      <c r="X89" s="397">
        <v>0</v>
      </c>
      <c r="Y89" s="398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05">
        <v>4607091385748</v>
      </c>
      <c r="E90" s="406"/>
      <c r="F90" s="396">
        <v>0.45</v>
      </c>
      <c r="G90" s="33">
        <v>6</v>
      </c>
      <c r="H90" s="396">
        <v>2.7</v>
      </c>
      <c r="I90" s="396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17"/>
      <c r="R90" s="417"/>
      <c r="S90" s="417"/>
      <c r="T90" s="418"/>
      <c r="U90" s="35"/>
      <c r="V90" s="35"/>
      <c r="W90" s="36" t="s">
        <v>71</v>
      </c>
      <c r="X90" s="397">
        <v>100</v>
      </c>
      <c r="Y90" s="398">
        <f>IFERROR(IF(X90="",0,CEILING((X90/$H90),1)*$H90),"")</f>
        <v>102.60000000000001</v>
      </c>
      <c r="Z90" s="37">
        <f>IFERROR(IF(Y90=0,"",ROUNDUP(Y90/H90,0)*0.00651),"")</f>
        <v>0.24738000000000002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109.33333333333333</v>
      </c>
      <c r="BN90" s="65">
        <f>IFERROR(Y90*I90/H90,"0")</f>
        <v>112.176</v>
      </c>
      <c r="BO90" s="65">
        <f>IFERROR(1/J90*(X90/H90),"0")</f>
        <v>0.20350020350020351</v>
      </c>
      <c r="BP90" s="65">
        <f>IFERROR(1/J90*(Y90/H90),"0")</f>
        <v>0.2087912087912088</v>
      </c>
    </row>
    <row r="91" spans="1:68" x14ac:dyDescent="0.2">
      <c r="A91" s="419"/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20"/>
      <c r="P91" s="407" t="s">
        <v>76</v>
      </c>
      <c r="Q91" s="408"/>
      <c r="R91" s="408"/>
      <c r="S91" s="408"/>
      <c r="T91" s="408"/>
      <c r="U91" s="408"/>
      <c r="V91" s="409"/>
      <c r="W91" s="38" t="s">
        <v>77</v>
      </c>
      <c r="X91" s="399">
        <f>IFERROR(X88/H88,"0")+IFERROR(X89/H89,"0")+IFERROR(X90/H90,"0")</f>
        <v>98.765432098765444</v>
      </c>
      <c r="Y91" s="399">
        <f>IFERROR(Y88/H88,"0")+IFERROR(Y89/H89,"0")+IFERROR(Y90/H90,"0")</f>
        <v>100</v>
      </c>
      <c r="Z91" s="399">
        <f>IFERROR(IF(Z88="",0,Z88),"0")+IFERROR(IF(Z89="",0,Z89),"0")+IFERROR(IF(Z90="",0,Z90),"0")</f>
        <v>1.42414</v>
      </c>
      <c r="AA91" s="400"/>
      <c r="AB91" s="400"/>
      <c r="AC91" s="400"/>
    </row>
    <row r="92" spans="1:68" x14ac:dyDescent="0.2">
      <c r="A92" s="404"/>
      <c r="B92" s="404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20"/>
      <c r="P92" s="407" t="s">
        <v>76</v>
      </c>
      <c r="Q92" s="408"/>
      <c r="R92" s="408"/>
      <c r="S92" s="408"/>
      <c r="T92" s="408"/>
      <c r="U92" s="408"/>
      <c r="V92" s="409"/>
      <c r="W92" s="38" t="s">
        <v>71</v>
      </c>
      <c r="X92" s="399">
        <f>IFERROR(SUM(X88:X90),"0")</f>
        <v>600</v>
      </c>
      <c r="Y92" s="399">
        <f>IFERROR(SUM(Y88:Y90),"0")</f>
        <v>604.79999999999995</v>
      </c>
      <c r="Z92" s="38"/>
      <c r="AA92" s="400"/>
      <c r="AB92" s="400"/>
      <c r="AC92" s="400"/>
    </row>
    <row r="93" spans="1:68" ht="14.25" customHeight="1" x14ac:dyDescent="0.25">
      <c r="A93" s="403" t="s">
        <v>128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393"/>
      <c r="AB93" s="393"/>
      <c r="AC93" s="393"/>
    </row>
    <row r="94" spans="1:68" ht="16.5" customHeight="1" x14ac:dyDescent="0.25">
      <c r="A94" s="55" t="s">
        <v>176</v>
      </c>
      <c r="B94" s="55" t="s">
        <v>177</v>
      </c>
      <c r="C94" s="32">
        <v>4301060317</v>
      </c>
      <c r="D94" s="405">
        <v>4680115880238</v>
      </c>
      <c r="E94" s="406"/>
      <c r="F94" s="396">
        <v>0.33</v>
      </c>
      <c r="G94" s="33">
        <v>6</v>
      </c>
      <c r="H94" s="396">
        <v>1.98</v>
      </c>
      <c r="I94" s="396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6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17"/>
      <c r="R94" s="417"/>
      <c r="S94" s="417"/>
      <c r="T94" s="418"/>
      <c r="U94" s="35"/>
      <c r="V94" s="35"/>
      <c r="W94" s="36" t="s">
        <v>71</v>
      </c>
      <c r="X94" s="397">
        <v>0</v>
      </c>
      <c r="Y94" s="398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9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420"/>
      <c r="P95" s="407" t="s">
        <v>76</v>
      </c>
      <c r="Q95" s="408"/>
      <c r="R95" s="408"/>
      <c r="S95" s="408"/>
      <c r="T95" s="408"/>
      <c r="U95" s="408"/>
      <c r="V95" s="409"/>
      <c r="W95" s="38" t="s">
        <v>77</v>
      </c>
      <c r="X95" s="399">
        <f>IFERROR(X94/H94,"0")</f>
        <v>0</v>
      </c>
      <c r="Y95" s="399">
        <f>IFERROR(Y94/H94,"0")</f>
        <v>0</v>
      </c>
      <c r="Z95" s="399">
        <f>IFERROR(IF(Z94="",0,Z94),"0")</f>
        <v>0</v>
      </c>
      <c r="AA95" s="400"/>
      <c r="AB95" s="400"/>
      <c r="AC95" s="400"/>
    </row>
    <row r="96" spans="1:68" x14ac:dyDescent="0.2">
      <c r="A96" s="404"/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20"/>
      <c r="P96" s="407" t="s">
        <v>76</v>
      </c>
      <c r="Q96" s="408"/>
      <c r="R96" s="408"/>
      <c r="S96" s="408"/>
      <c r="T96" s="408"/>
      <c r="U96" s="408"/>
      <c r="V96" s="409"/>
      <c r="W96" s="38" t="s">
        <v>71</v>
      </c>
      <c r="X96" s="399">
        <f>IFERROR(SUM(X94:X94),"0")</f>
        <v>0</v>
      </c>
      <c r="Y96" s="399">
        <f>IFERROR(SUM(Y94:Y94),"0")</f>
        <v>0</v>
      </c>
      <c r="Z96" s="38"/>
      <c r="AA96" s="400"/>
      <c r="AB96" s="400"/>
      <c r="AC96" s="400"/>
    </row>
    <row r="97" spans="1:68" ht="16.5" customHeight="1" x14ac:dyDescent="0.25">
      <c r="A97" s="414" t="s">
        <v>84</v>
      </c>
      <c r="B97" s="404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M97" s="404"/>
      <c r="N97" s="404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392"/>
      <c r="AB97" s="392"/>
      <c r="AC97" s="392"/>
    </row>
    <row r="98" spans="1:68" ht="14.25" customHeight="1" x14ac:dyDescent="0.25">
      <c r="A98" s="403" t="s">
        <v>86</v>
      </c>
      <c r="B98" s="404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393"/>
      <c r="AB98" s="393"/>
      <c r="AC98" s="393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05">
        <v>4607091384604</v>
      </c>
      <c r="E99" s="406"/>
      <c r="F99" s="396">
        <v>0.4</v>
      </c>
      <c r="G99" s="33">
        <v>10</v>
      </c>
      <c r="H99" s="396">
        <v>4</v>
      </c>
      <c r="I99" s="396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6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17"/>
      <c r="R99" s="417"/>
      <c r="S99" s="417"/>
      <c r="T99" s="418"/>
      <c r="U99" s="35"/>
      <c r="V99" s="35"/>
      <c r="W99" s="36" t="s">
        <v>71</v>
      </c>
      <c r="X99" s="397">
        <v>0</v>
      </c>
      <c r="Y99" s="398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9"/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20"/>
      <c r="P100" s="407" t="s">
        <v>76</v>
      </c>
      <c r="Q100" s="408"/>
      <c r="R100" s="408"/>
      <c r="S100" s="408"/>
      <c r="T100" s="408"/>
      <c r="U100" s="408"/>
      <c r="V100" s="409"/>
      <c r="W100" s="38" t="s">
        <v>77</v>
      </c>
      <c r="X100" s="399">
        <f>IFERROR(X99/H99,"0")</f>
        <v>0</v>
      </c>
      <c r="Y100" s="399">
        <f>IFERROR(Y99/H99,"0")</f>
        <v>0</v>
      </c>
      <c r="Z100" s="399">
        <f>IFERROR(IF(Z99="",0,Z99),"0")</f>
        <v>0</v>
      </c>
      <c r="AA100" s="400"/>
      <c r="AB100" s="400"/>
      <c r="AC100" s="400"/>
    </row>
    <row r="101" spans="1:68" x14ac:dyDescent="0.2">
      <c r="A101" s="404"/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20"/>
      <c r="P101" s="407" t="s">
        <v>76</v>
      </c>
      <c r="Q101" s="408"/>
      <c r="R101" s="408"/>
      <c r="S101" s="408"/>
      <c r="T101" s="408"/>
      <c r="U101" s="408"/>
      <c r="V101" s="409"/>
      <c r="W101" s="38" t="s">
        <v>71</v>
      </c>
      <c r="X101" s="399">
        <f>IFERROR(SUM(X99:X99),"0")</f>
        <v>0</v>
      </c>
      <c r="Y101" s="399">
        <f>IFERROR(SUM(Y99:Y99),"0")</f>
        <v>0</v>
      </c>
      <c r="Z101" s="38"/>
      <c r="AA101" s="400"/>
      <c r="AB101" s="400"/>
      <c r="AC101" s="400"/>
    </row>
    <row r="102" spans="1:68" ht="14.25" customHeight="1" x14ac:dyDescent="0.25">
      <c r="A102" s="403" t="s">
        <v>182</v>
      </c>
      <c r="B102" s="404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393"/>
      <c r="AB102" s="393"/>
      <c r="AC102" s="393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05">
        <v>4607091387667</v>
      </c>
      <c r="E103" s="406"/>
      <c r="F103" s="396">
        <v>0.9</v>
      </c>
      <c r="G103" s="33">
        <v>10</v>
      </c>
      <c r="H103" s="396">
        <v>9</v>
      </c>
      <c r="I103" s="396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17"/>
      <c r="R103" s="417"/>
      <c r="S103" s="417"/>
      <c r="T103" s="418"/>
      <c r="U103" s="35"/>
      <c r="V103" s="35"/>
      <c r="W103" s="36" t="s">
        <v>71</v>
      </c>
      <c r="X103" s="397">
        <v>0</v>
      </c>
      <c r="Y103" s="398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05">
        <v>4607091387636</v>
      </c>
      <c r="E104" s="406"/>
      <c r="F104" s="396">
        <v>0.7</v>
      </c>
      <c r="G104" s="33">
        <v>6</v>
      </c>
      <c r="H104" s="396">
        <v>4.2</v>
      </c>
      <c r="I104" s="396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17"/>
      <c r="R104" s="417"/>
      <c r="S104" s="417"/>
      <c r="T104" s="418"/>
      <c r="U104" s="35"/>
      <c r="V104" s="35"/>
      <c r="W104" s="36" t="s">
        <v>71</v>
      </c>
      <c r="X104" s="397">
        <v>0</v>
      </c>
      <c r="Y104" s="398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05">
        <v>4607091382426</v>
      </c>
      <c r="E105" s="406"/>
      <c r="F105" s="396">
        <v>0.9</v>
      </c>
      <c r="G105" s="33">
        <v>10</v>
      </c>
      <c r="H105" s="396">
        <v>9</v>
      </c>
      <c r="I105" s="396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17"/>
      <c r="R105" s="417"/>
      <c r="S105" s="417"/>
      <c r="T105" s="418"/>
      <c r="U105" s="35"/>
      <c r="V105" s="35"/>
      <c r="W105" s="36" t="s">
        <v>71</v>
      </c>
      <c r="X105" s="397">
        <v>0</v>
      </c>
      <c r="Y105" s="398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9"/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20"/>
      <c r="P106" s="407" t="s">
        <v>76</v>
      </c>
      <c r="Q106" s="408"/>
      <c r="R106" s="408"/>
      <c r="S106" s="408"/>
      <c r="T106" s="408"/>
      <c r="U106" s="408"/>
      <c r="V106" s="409"/>
      <c r="W106" s="38" t="s">
        <v>77</v>
      </c>
      <c r="X106" s="399">
        <f>IFERROR(X103/H103,"0")+IFERROR(X104/H104,"0")+IFERROR(X105/H105,"0")</f>
        <v>0</v>
      </c>
      <c r="Y106" s="399">
        <f>IFERROR(Y103/H103,"0")+IFERROR(Y104/H104,"0")+IFERROR(Y105/H105,"0")</f>
        <v>0</v>
      </c>
      <c r="Z106" s="399">
        <f>IFERROR(IF(Z103="",0,Z103),"0")+IFERROR(IF(Z104="",0,Z104),"0")+IFERROR(IF(Z105="",0,Z105),"0")</f>
        <v>0</v>
      </c>
      <c r="AA106" s="400"/>
      <c r="AB106" s="400"/>
      <c r="AC106" s="400"/>
    </row>
    <row r="107" spans="1:68" x14ac:dyDescent="0.2">
      <c r="A107" s="404"/>
      <c r="B107" s="404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420"/>
      <c r="P107" s="407" t="s">
        <v>76</v>
      </c>
      <c r="Q107" s="408"/>
      <c r="R107" s="408"/>
      <c r="S107" s="408"/>
      <c r="T107" s="408"/>
      <c r="U107" s="408"/>
      <c r="V107" s="409"/>
      <c r="W107" s="38" t="s">
        <v>71</v>
      </c>
      <c r="X107" s="399">
        <f>IFERROR(SUM(X103:X105),"0")</f>
        <v>0</v>
      </c>
      <c r="Y107" s="399">
        <f>IFERROR(SUM(Y103:Y105),"0")</f>
        <v>0</v>
      </c>
      <c r="Z107" s="38"/>
      <c r="AA107" s="400"/>
      <c r="AB107" s="400"/>
      <c r="AC107" s="400"/>
    </row>
    <row r="108" spans="1:68" ht="27.75" customHeight="1" x14ac:dyDescent="0.2">
      <c r="A108" s="425" t="s">
        <v>192</v>
      </c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  <c r="V108" s="426"/>
      <c r="W108" s="426"/>
      <c r="X108" s="426"/>
      <c r="Y108" s="426"/>
      <c r="Z108" s="426"/>
      <c r="AA108" s="49"/>
      <c r="AB108" s="49"/>
      <c r="AC108" s="49"/>
    </row>
    <row r="109" spans="1:68" ht="16.5" customHeight="1" x14ac:dyDescent="0.25">
      <c r="A109" s="414" t="s">
        <v>193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392"/>
      <c r="AB109" s="392"/>
      <c r="AC109" s="392"/>
    </row>
    <row r="110" spans="1:68" ht="14.25" customHeight="1" x14ac:dyDescent="0.25">
      <c r="A110" s="403" t="s">
        <v>182</v>
      </c>
      <c r="B110" s="404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M110" s="404"/>
      <c r="N110" s="404"/>
      <c r="O110" s="404"/>
      <c r="P110" s="404"/>
      <c r="Q110" s="404"/>
      <c r="R110" s="404"/>
      <c r="S110" s="404"/>
      <c r="T110" s="404"/>
      <c r="U110" s="404"/>
      <c r="V110" s="404"/>
      <c r="W110" s="404"/>
      <c r="X110" s="404"/>
      <c r="Y110" s="404"/>
      <c r="Z110" s="404"/>
      <c r="AA110" s="393"/>
      <c r="AB110" s="393"/>
      <c r="AC110" s="393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05">
        <v>4680115880993</v>
      </c>
      <c r="E111" s="406"/>
      <c r="F111" s="396">
        <v>0.7</v>
      </c>
      <c r="G111" s="33">
        <v>6</v>
      </c>
      <c r="H111" s="396">
        <v>4.2</v>
      </c>
      <c r="I111" s="39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17"/>
      <c r="R111" s="417"/>
      <c r="S111" s="417"/>
      <c r="T111" s="418"/>
      <c r="U111" s="35"/>
      <c r="V111" s="35"/>
      <c r="W111" s="36" t="s">
        <v>71</v>
      </c>
      <c r="X111" s="397">
        <v>0</v>
      </c>
      <c r="Y111" s="398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05">
        <v>4680115881761</v>
      </c>
      <c r="E112" s="406"/>
      <c r="F112" s="396">
        <v>0.7</v>
      </c>
      <c r="G112" s="33">
        <v>6</v>
      </c>
      <c r="H112" s="396">
        <v>4.2</v>
      </c>
      <c r="I112" s="396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4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17"/>
      <c r="R112" s="417"/>
      <c r="S112" s="417"/>
      <c r="T112" s="418"/>
      <c r="U112" s="35"/>
      <c r="V112" s="35"/>
      <c r="W112" s="36" t="s">
        <v>71</v>
      </c>
      <c r="X112" s="397">
        <v>150</v>
      </c>
      <c r="Y112" s="398">
        <f t="shared" si="5"/>
        <v>151.20000000000002</v>
      </c>
      <c r="Z112" s="37">
        <f>IFERROR(IF(Y112=0,"",ROUNDUP(Y112/H112,0)*0.00902),"")</f>
        <v>0.32472000000000001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159.64285714285714</v>
      </c>
      <c r="BN112" s="65">
        <f t="shared" si="7"/>
        <v>160.91999999999999</v>
      </c>
      <c r="BO112" s="65">
        <f t="shared" si="8"/>
        <v>0.27056277056277056</v>
      </c>
      <c r="BP112" s="65">
        <f t="shared" si="9"/>
        <v>0.27272727272727271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05">
        <v>4680115881563</v>
      </c>
      <c r="E113" s="406"/>
      <c r="F113" s="396">
        <v>0.7</v>
      </c>
      <c r="G113" s="33">
        <v>6</v>
      </c>
      <c r="H113" s="396">
        <v>4.2</v>
      </c>
      <c r="I113" s="396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17"/>
      <c r="R113" s="417"/>
      <c r="S113" s="417"/>
      <c r="T113" s="418"/>
      <c r="U113" s="35"/>
      <c r="V113" s="35"/>
      <c r="W113" s="36" t="s">
        <v>71</v>
      </c>
      <c r="X113" s="397">
        <v>100</v>
      </c>
      <c r="Y113" s="398">
        <f t="shared" si="5"/>
        <v>100.80000000000001</v>
      </c>
      <c r="Z113" s="37">
        <f>IFERROR(IF(Y113=0,"",ROUNDUP(Y113/H113,0)*0.00902),"")</f>
        <v>0.21648000000000001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105</v>
      </c>
      <c r="BN113" s="65">
        <f t="shared" si="7"/>
        <v>105.84000000000002</v>
      </c>
      <c r="BO113" s="65">
        <f t="shared" si="8"/>
        <v>0.18037518037518038</v>
      </c>
      <c r="BP113" s="65">
        <f t="shared" si="9"/>
        <v>0.18181818181818182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05">
        <v>4680115880986</v>
      </c>
      <c r="E114" s="406"/>
      <c r="F114" s="396">
        <v>0.35</v>
      </c>
      <c r="G114" s="33">
        <v>6</v>
      </c>
      <c r="H114" s="396">
        <v>2.1</v>
      </c>
      <c r="I114" s="396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17"/>
      <c r="R114" s="417"/>
      <c r="S114" s="417"/>
      <c r="T114" s="418"/>
      <c r="U114" s="35"/>
      <c r="V114" s="35"/>
      <c r="W114" s="36" t="s">
        <v>71</v>
      </c>
      <c r="X114" s="397">
        <v>0</v>
      </c>
      <c r="Y114" s="398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05">
        <v>4680115881785</v>
      </c>
      <c r="E115" s="406"/>
      <c r="F115" s="396">
        <v>0.35</v>
      </c>
      <c r="G115" s="33">
        <v>6</v>
      </c>
      <c r="H115" s="396">
        <v>2.1</v>
      </c>
      <c r="I115" s="396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17"/>
      <c r="R115" s="417"/>
      <c r="S115" s="417"/>
      <c r="T115" s="418"/>
      <c r="U115" s="35"/>
      <c r="V115" s="35"/>
      <c r="W115" s="36" t="s">
        <v>71</v>
      </c>
      <c r="X115" s="397">
        <v>120</v>
      </c>
      <c r="Y115" s="398">
        <f t="shared" si="5"/>
        <v>121.80000000000001</v>
      </c>
      <c r="Z115" s="37">
        <f>IFERROR(IF(Y115=0,"",ROUNDUP(Y115/H115,0)*0.00502),"")</f>
        <v>0.29116000000000003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127.42857142857143</v>
      </c>
      <c r="BN115" s="65">
        <f t="shared" si="7"/>
        <v>129.34</v>
      </c>
      <c r="BO115" s="65">
        <f t="shared" si="8"/>
        <v>0.24420024420024422</v>
      </c>
      <c r="BP115" s="65">
        <f t="shared" si="9"/>
        <v>0.2478632478632479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05">
        <v>4680115881679</v>
      </c>
      <c r="E116" s="406"/>
      <c r="F116" s="396">
        <v>0.35</v>
      </c>
      <c r="G116" s="33">
        <v>6</v>
      </c>
      <c r="H116" s="396">
        <v>2.1</v>
      </c>
      <c r="I116" s="396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6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17"/>
      <c r="R116" s="417"/>
      <c r="S116" s="417"/>
      <c r="T116" s="418"/>
      <c r="U116" s="35"/>
      <c r="V116" s="35"/>
      <c r="W116" s="36" t="s">
        <v>71</v>
      </c>
      <c r="X116" s="397">
        <v>100</v>
      </c>
      <c r="Y116" s="398">
        <f t="shared" si="5"/>
        <v>100.80000000000001</v>
      </c>
      <c r="Z116" s="37">
        <f>IFERROR(IF(Y116=0,"",ROUNDUP(Y116/H116,0)*0.00502),"")</f>
        <v>0.24096000000000001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104.76190476190477</v>
      </c>
      <c r="BN116" s="65">
        <f t="shared" si="7"/>
        <v>105.60000000000002</v>
      </c>
      <c r="BO116" s="65">
        <f t="shared" si="8"/>
        <v>0.20350020350020354</v>
      </c>
      <c r="BP116" s="65">
        <f t="shared" si="9"/>
        <v>0.20512820512820515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05">
        <v>4680115880191</v>
      </c>
      <c r="E117" s="406"/>
      <c r="F117" s="396">
        <v>0.4</v>
      </c>
      <c r="G117" s="33">
        <v>6</v>
      </c>
      <c r="H117" s="396">
        <v>2.4</v>
      </c>
      <c r="I117" s="396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17"/>
      <c r="R117" s="417"/>
      <c r="S117" s="417"/>
      <c r="T117" s="418"/>
      <c r="U117" s="35"/>
      <c r="V117" s="35"/>
      <c r="W117" s="36" t="s">
        <v>71</v>
      </c>
      <c r="X117" s="397">
        <v>0</v>
      </c>
      <c r="Y117" s="398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05">
        <v>4680115883963</v>
      </c>
      <c r="E118" s="406"/>
      <c r="F118" s="396">
        <v>0.28000000000000003</v>
      </c>
      <c r="G118" s="33">
        <v>6</v>
      </c>
      <c r="H118" s="396">
        <v>1.68</v>
      </c>
      <c r="I118" s="396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5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17"/>
      <c r="R118" s="417"/>
      <c r="S118" s="417"/>
      <c r="T118" s="418"/>
      <c r="U118" s="35"/>
      <c r="V118" s="35"/>
      <c r="W118" s="36" t="s">
        <v>71</v>
      </c>
      <c r="X118" s="397">
        <v>0</v>
      </c>
      <c r="Y118" s="398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9"/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20"/>
      <c r="P119" s="407" t="s">
        <v>76</v>
      </c>
      <c r="Q119" s="408"/>
      <c r="R119" s="408"/>
      <c r="S119" s="408"/>
      <c r="T119" s="408"/>
      <c r="U119" s="408"/>
      <c r="V119" s="409"/>
      <c r="W119" s="38" t="s">
        <v>77</v>
      </c>
      <c r="X119" s="399">
        <f>IFERROR(X111/H111,"0")+IFERROR(X112/H112,"0")+IFERROR(X113/H113,"0")+IFERROR(X114/H114,"0")+IFERROR(X115/H115,"0")+IFERROR(X116/H116,"0")+IFERROR(X117/H117,"0")+IFERROR(X118/H118,"0")</f>
        <v>164.28571428571428</v>
      </c>
      <c r="Y119" s="399">
        <f>IFERROR(Y111/H111,"0")+IFERROR(Y112/H112,"0")+IFERROR(Y113/H113,"0")+IFERROR(Y114/H114,"0")+IFERROR(Y115/H115,"0")+IFERROR(Y116/H116,"0")+IFERROR(Y117/H117,"0")+IFERROR(Y118/H118,"0")</f>
        <v>166</v>
      </c>
      <c r="Z119" s="399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1.0733200000000001</v>
      </c>
      <c r="AA119" s="400"/>
      <c r="AB119" s="400"/>
      <c r="AC119" s="400"/>
    </row>
    <row r="120" spans="1:68" x14ac:dyDescent="0.2">
      <c r="A120" s="404"/>
      <c r="B120" s="404"/>
      <c r="C120" s="404"/>
      <c r="D120" s="404"/>
      <c r="E120" s="404"/>
      <c r="F120" s="404"/>
      <c r="G120" s="404"/>
      <c r="H120" s="404"/>
      <c r="I120" s="404"/>
      <c r="J120" s="404"/>
      <c r="K120" s="404"/>
      <c r="L120" s="404"/>
      <c r="M120" s="404"/>
      <c r="N120" s="404"/>
      <c r="O120" s="420"/>
      <c r="P120" s="407" t="s">
        <v>76</v>
      </c>
      <c r="Q120" s="408"/>
      <c r="R120" s="408"/>
      <c r="S120" s="408"/>
      <c r="T120" s="408"/>
      <c r="U120" s="408"/>
      <c r="V120" s="409"/>
      <c r="W120" s="38" t="s">
        <v>71</v>
      </c>
      <c r="X120" s="399">
        <f>IFERROR(SUM(X111:X118),"0")</f>
        <v>470</v>
      </c>
      <c r="Y120" s="399">
        <f>IFERROR(SUM(Y111:Y118),"0")</f>
        <v>474.60000000000008</v>
      </c>
      <c r="Z120" s="38"/>
      <c r="AA120" s="400"/>
      <c r="AB120" s="400"/>
      <c r="AC120" s="400"/>
    </row>
    <row r="121" spans="1:68" ht="14.25" customHeight="1" x14ac:dyDescent="0.25">
      <c r="A121" s="403" t="s">
        <v>78</v>
      </c>
      <c r="B121" s="404"/>
      <c r="C121" s="404"/>
      <c r="D121" s="404"/>
      <c r="E121" s="404"/>
      <c r="F121" s="404"/>
      <c r="G121" s="404"/>
      <c r="H121" s="404"/>
      <c r="I121" s="404"/>
      <c r="J121" s="404"/>
      <c r="K121" s="404"/>
      <c r="L121" s="404"/>
      <c r="M121" s="404"/>
      <c r="N121" s="404"/>
      <c r="O121" s="404"/>
      <c r="P121" s="404"/>
      <c r="Q121" s="404"/>
      <c r="R121" s="404"/>
      <c r="S121" s="404"/>
      <c r="T121" s="404"/>
      <c r="U121" s="404"/>
      <c r="V121" s="404"/>
      <c r="W121" s="404"/>
      <c r="X121" s="404"/>
      <c r="Y121" s="404"/>
      <c r="Z121" s="404"/>
      <c r="AA121" s="393"/>
      <c r="AB121" s="393"/>
      <c r="AC121" s="393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05">
        <v>4680115886780</v>
      </c>
      <c r="E122" s="406"/>
      <c r="F122" s="396">
        <v>7.0000000000000007E-2</v>
      </c>
      <c r="G122" s="33">
        <v>18</v>
      </c>
      <c r="H122" s="396">
        <v>1.26</v>
      </c>
      <c r="I122" s="396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17"/>
      <c r="R122" s="417"/>
      <c r="S122" s="417"/>
      <c r="T122" s="418"/>
      <c r="U122" s="35"/>
      <c r="V122" s="35"/>
      <c r="W122" s="36" t="s">
        <v>71</v>
      </c>
      <c r="X122" s="397">
        <v>0</v>
      </c>
      <c r="Y122" s="39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05">
        <v>4680115886742</v>
      </c>
      <c r="E123" s="406"/>
      <c r="F123" s="396">
        <v>7.0000000000000007E-2</v>
      </c>
      <c r="G123" s="33">
        <v>18</v>
      </c>
      <c r="H123" s="396">
        <v>1.26</v>
      </c>
      <c r="I123" s="396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4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17"/>
      <c r="R123" s="417"/>
      <c r="S123" s="417"/>
      <c r="T123" s="418"/>
      <c r="U123" s="35"/>
      <c r="V123" s="35"/>
      <c r="W123" s="36" t="s">
        <v>71</v>
      </c>
      <c r="X123" s="397">
        <v>0</v>
      </c>
      <c r="Y123" s="39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05">
        <v>4680115886766</v>
      </c>
      <c r="E124" s="406"/>
      <c r="F124" s="396">
        <v>7.0000000000000007E-2</v>
      </c>
      <c r="G124" s="33">
        <v>18</v>
      </c>
      <c r="H124" s="396">
        <v>1.26</v>
      </c>
      <c r="I124" s="396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4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17"/>
      <c r="R124" s="417"/>
      <c r="S124" s="417"/>
      <c r="T124" s="418"/>
      <c r="U124" s="35"/>
      <c r="V124" s="35"/>
      <c r="W124" s="36" t="s">
        <v>71</v>
      </c>
      <c r="X124" s="397">
        <v>0</v>
      </c>
      <c r="Y124" s="398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9"/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20"/>
      <c r="P125" s="407" t="s">
        <v>76</v>
      </c>
      <c r="Q125" s="408"/>
      <c r="R125" s="408"/>
      <c r="S125" s="408"/>
      <c r="T125" s="408"/>
      <c r="U125" s="408"/>
      <c r="V125" s="409"/>
      <c r="W125" s="38" t="s">
        <v>77</v>
      </c>
      <c r="X125" s="399">
        <f>IFERROR(X122/H122,"0")+IFERROR(X123/H123,"0")+IFERROR(X124/H124,"0")</f>
        <v>0</v>
      </c>
      <c r="Y125" s="399">
        <f>IFERROR(Y122/H122,"0")+IFERROR(Y123/H123,"0")+IFERROR(Y124/H124,"0")</f>
        <v>0</v>
      </c>
      <c r="Z125" s="399">
        <f>IFERROR(IF(Z122="",0,Z122),"0")+IFERROR(IF(Z123="",0,Z123),"0")+IFERROR(IF(Z124="",0,Z124),"0")</f>
        <v>0</v>
      </c>
      <c r="AA125" s="400"/>
      <c r="AB125" s="400"/>
      <c r="AC125" s="400"/>
    </row>
    <row r="126" spans="1:68" x14ac:dyDescent="0.2">
      <c r="A126" s="404"/>
      <c r="B126" s="404"/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4"/>
      <c r="N126" s="404"/>
      <c r="O126" s="420"/>
      <c r="P126" s="407" t="s">
        <v>76</v>
      </c>
      <c r="Q126" s="408"/>
      <c r="R126" s="408"/>
      <c r="S126" s="408"/>
      <c r="T126" s="408"/>
      <c r="U126" s="408"/>
      <c r="V126" s="409"/>
      <c r="W126" s="38" t="s">
        <v>71</v>
      </c>
      <c r="X126" s="399">
        <f>IFERROR(SUM(X122:X124),"0")</f>
        <v>0</v>
      </c>
      <c r="Y126" s="399">
        <f>IFERROR(SUM(Y122:Y124),"0")</f>
        <v>0</v>
      </c>
      <c r="Z126" s="38"/>
      <c r="AA126" s="400"/>
      <c r="AB126" s="400"/>
      <c r="AC126" s="400"/>
    </row>
    <row r="127" spans="1:68" ht="14.25" customHeight="1" x14ac:dyDescent="0.25">
      <c r="A127" s="403" t="s">
        <v>224</v>
      </c>
      <c r="B127" s="404"/>
      <c r="C127" s="404"/>
      <c r="D127" s="404"/>
      <c r="E127" s="404"/>
      <c r="F127" s="404"/>
      <c r="G127" s="404"/>
      <c r="H127" s="404"/>
      <c r="I127" s="404"/>
      <c r="J127" s="404"/>
      <c r="K127" s="404"/>
      <c r="L127" s="404"/>
      <c r="M127" s="404"/>
      <c r="N127" s="404"/>
      <c r="O127" s="404"/>
      <c r="P127" s="404"/>
      <c r="Q127" s="404"/>
      <c r="R127" s="404"/>
      <c r="S127" s="404"/>
      <c r="T127" s="404"/>
      <c r="U127" s="404"/>
      <c r="V127" s="404"/>
      <c r="W127" s="404"/>
      <c r="X127" s="404"/>
      <c r="Y127" s="404"/>
      <c r="Z127" s="404"/>
      <c r="AA127" s="393"/>
      <c r="AB127" s="393"/>
      <c r="AC127" s="393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05">
        <v>4680115886797</v>
      </c>
      <c r="E128" s="406"/>
      <c r="F128" s="396">
        <v>7.0000000000000007E-2</v>
      </c>
      <c r="G128" s="33">
        <v>18</v>
      </c>
      <c r="H128" s="396">
        <v>1.26</v>
      </c>
      <c r="I128" s="396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4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17"/>
      <c r="R128" s="417"/>
      <c r="S128" s="417"/>
      <c r="T128" s="418"/>
      <c r="U128" s="35"/>
      <c r="V128" s="35"/>
      <c r="W128" s="36" t="s">
        <v>71</v>
      </c>
      <c r="X128" s="397">
        <v>0</v>
      </c>
      <c r="Y128" s="398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9"/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20"/>
      <c r="P129" s="407" t="s">
        <v>76</v>
      </c>
      <c r="Q129" s="408"/>
      <c r="R129" s="408"/>
      <c r="S129" s="408"/>
      <c r="T129" s="408"/>
      <c r="U129" s="408"/>
      <c r="V129" s="409"/>
      <c r="W129" s="38" t="s">
        <v>77</v>
      </c>
      <c r="X129" s="399">
        <f>IFERROR(X128/H128,"0")</f>
        <v>0</v>
      </c>
      <c r="Y129" s="399">
        <f>IFERROR(Y128/H128,"0")</f>
        <v>0</v>
      </c>
      <c r="Z129" s="399">
        <f>IFERROR(IF(Z128="",0,Z128),"0")</f>
        <v>0</v>
      </c>
      <c r="AA129" s="400"/>
      <c r="AB129" s="400"/>
      <c r="AC129" s="400"/>
    </row>
    <row r="130" spans="1:68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20"/>
      <c r="P130" s="407" t="s">
        <v>76</v>
      </c>
      <c r="Q130" s="408"/>
      <c r="R130" s="408"/>
      <c r="S130" s="408"/>
      <c r="T130" s="408"/>
      <c r="U130" s="408"/>
      <c r="V130" s="409"/>
      <c r="W130" s="38" t="s">
        <v>71</v>
      </c>
      <c r="X130" s="399">
        <f>IFERROR(SUM(X128:X128),"0")</f>
        <v>0</v>
      </c>
      <c r="Y130" s="399">
        <f>IFERROR(SUM(Y128:Y128),"0")</f>
        <v>0</v>
      </c>
      <c r="Z130" s="38"/>
      <c r="AA130" s="400"/>
      <c r="AB130" s="400"/>
      <c r="AC130" s="400"/>
    </row>
    <row r="131" spans="1:68" ht="16.5" customHeight="1" x14ac:dyDescent="0.25">
      <c r="A131" s="414" t="s">
        <v>227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392"/>
      <c r="AB131" s="392"/>
      <c r="AC131" s="392"/>
    </row>
    <row r="132" spans="1:68" ht="14.25" customHeight="1" x14ac:dyDescent="0.25">
      <c r="A132" s="403" t="s">
        <v>86</v>
      </c>
      <c r="B132" s="404"/>
      <c r="C132" s="404"/>
      <c r="D132" s="404"/>
      <c r="E132" s="404"/>
      <c r="F132" s="404"/>
      <c r="G132" s="404"/>
      <c r="H132" s="404"/>
      <c r="I132" s="404"/>
      <c r="J132" s="404"/>
      <c r="K132" s="404"/>
      <c r="L132" s="404"/>
      <c r="M132" s="404"/>
      <c r="N132" s="404"/>
      <c r="O132" s="404"/>
      <c r="P132" s="404"/>
      <c r="Q132" s="404"/>
      <c r="R132" s="404"/>
      <c r="S132" s="404"/>
      <c r="T132" s="404"/>
      <c r="U132" s="404"/>
      <c r="V132" s="404"/>
      <c r="W132" s="404"/>
      <c r="X132" s="404"/>
      <c r="Y132" s="404"/>
      <c r="Z132" s="404"/>
      <c r="AA132" s="393"/>
      <c r="AB132" s="393"/>
      <c r="AC132" s="393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05">
        <v>4680115881402</v>
      </c>
      <c r="E133" s="406"/>
      <c r="F133" s="396">
        <v>1.35</v>
      </c>
      <c r="G133" s="33">
        <v>8</v>
      </c>
      <c r="H133" s="396">
        <v>10.8</v>
      </c>
      <c r="I133" s="396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4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17"/>
      <c r="R133" s="417"/>
      <c r="S133" s="417"/>
      <c r="T133" s="418"/>
      <c r="U133" s="35"/>
      <c r="V133" s="35"/>
      <c r="W133" s="36" t="s">
        <v>71</v>
      </c>
      <c r="X133" s="397">
        <v>0</v>
      </c>
      <c r="Y133" s="398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05">
        <v>4680115881396</v>
      </c>
      <c r="E134" s="406"/>
      <c r="F134" s="396">
        <v>0.45</v>
      </c>
      <c r="G134" s="33">
        <v>6</v>
      </c>
      <c r="H134" s="396">
        <v>2.7</v>
      </c>
      <c r="I134" s="396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4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17"/>
      <c r="R134" s="417"/>
      <c r="S134" s="417"/>
      <c r="T134" s="418"/>
      <c r="U134" s="35"/>
      <c r="V134" s="35"/>
      <c r="W134" s="36" t="s">
        <v>71</v>
      </c>
      <c r="X134" s="397">
        <v>0</v>
      </c>
      <c r="Y134" s="398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9"/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20"/>
      <c r="P135" s="407" t="s">
        <v>76</v>
      </c>
      <c r="Q135" s="408"/>
      <c r="R135" s="408"/>
      <c r="S135" s="408"/>
      <c r="T135" s="408"/>
      <c r="U135" s="408"/>
      <c r="V135" s="409"/>
      <c r="W135" s="38" t="s">
        <v>77</v>
      </c>
      <c r="X135" s="399">
        <f>IFERROR(X133/H133,"0")+IFERROR(X134/H134,"0")</f>
        <v>0</v>
      </c>
      <c r="Y135" s="399">
        <f>IFERROR(Y133/H133,"0")+IFERROR(Y134/H134,"0")</f>
        <v>0</v>
      </c>
      <c r="Z135" s="399">
        <f>IFERROR(IF(Z133="",0,Z133),"0")+IFERROR(IF(Z134="",0,Z134),"0")</f>
        <v>0</v>
      </c>
      <c r="AA135" s="400"/>
      <c r="AB135" s="400"/>
      <c r="AC135" s="400"/>
    </row>
    <row r="136" spans="1:68" x14ac:dyDescent="0.2">
      <c r="A136" s="404"/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20"/>
      <c r="P136" s="407" t="s">
        <v>76</v>
      </c>
      <c r="Q136" s="408"/>
      <c r="R136" s="408"/>
      <c r="S136" s="408"/>
      <c r="T136" s="408"/>
      <c r="U136" s="408"/>
      <c r="V136" s="409"/>
      <c r="W136" s="38" t="s">
        <v>71</v>
      </c>
      <c r="X136" s="399">
        <f>IFERROR(SUM(X133:X134),"0")</f>
        <v>0</v>
      </c>
      <c r="Y136" s="399">
        <f>IFERROR(SUM(Y133:Y134),"0")</f>
        <v>0</v>
      </c>
      <c r="Z136" s="38"/>
      <c r="AA136" s="400"/>
      <c r="AB136" s="400"/>
      <c r="AC136" s="400"/>
    </row>
    <row r="137" spans="1:68" ht="14.25" customHeight="1" x14ac:dyDescent="0.25">
      <c r="A137" s="403" t="s">
        <v>117</v>
      </c>
      <c r="B137" s="404"/>
      <c r="C137" s="404"/>
      <c r="D137" s="404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4"/>
      <c r="P137" s="404"/>
      <c r="Q137" s="404"/>
      <c r="R137" s="404"/>
      <c r="S137" s="404"/>
      <c r="T137" s="404"/>
      <c r="U137" s="404"/>
      <c r="V137" s="404"/>
      <c r="W137" s="404"/>
      <c r="X137" s="404"/>
      <c r="Y137" s="404"/>
      <c r="Z137" s="404"/>
      <c r="AA137" s="393"/>
      <c r="AB137" s="393"/>
      <c r="AC137" s="393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05">
        <v>4680115882935</v>
      </c>
      <c r="E138" s="406"/>
      <c r="F138" s="396">
        <v>1.35</v>
      </c>
      <c r="G138" s="33">
        <v>8</v>
      </c>
      <c r="H138" s="396">
        <v>10.8</v>
      </c>
      <c r="I138" s="396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17"/>
      <c r="R138" s="417"/>
      <c r="S138" s="417"/>
      <c r="T138" s="418"/>
      <c r="U138" s="35"/>
      <c r="V138" s="35"/>
      <c r="W138" s="36" t="s">
        <v>71</v>
      </c>
      <c r="X138" s="397">
        <v>100</v>
      </c>
      <c r="Y138" s="398">
        <f>IFERROR(IF(X138="",0,CEILING((X138/$H138),1)*$H138),"")</f>
        <v>108</v>
      </c>
      <c r="Z138" s="37">
        <f>IFERROR(IF(Y138=0,"",ROUNDUP(Y138/H138,0)*0.01898),"")</f>
        <v>0.1898</v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104.02777777777777</v>
      </c>
      <c r="BN138" s="65">
        <f>IFERROR(Y138*I138/H138,"0")</f>
        <v>112.34999999999998</v>
      </c>
      <c r="BO138" s="65">
        <f>IFERROR(1/J138*(X138/H138),"0")</f>
        <v>0.14467592592592593</v>
      </c>
      <c r="BP138" s="65">
        <f>IFERROR(1/J138*(Y138/H138),"0")</f>
        <v>0.15625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05">
        <v>4680115880764</v>
      </c>
      <c r="E139" s="406"/>
      <c r="F139" s="396">
        <v>0.35</v>
      </c>
      <c r="G139" s="33">
        <v>6</v>
      </c>
      <c r="H139" s="396">
        <v>2.1</v>
      </c>
      <c r="I139" s="396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17"/>
      <c r="R139" s="417"/>
      <c r="S139" s="417"/>
      <c r="T139" s="418"/>
      <c r="U139" s="35"/>
      <c r="V139" s="35"/>
      <c r="W139" s="36" t="s">
        <v>71</v>
      </c>
      <c r="X139" s="397">
        <v>0</v>
      </c>
      <c r="Y139" s="398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9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20"/>
      <c r="P140" s="407" t="s">
        <v>76</v>
      </c>
      <c r="Q140" s="408"/>
      <c r="R140" s="408"/>
      <c r="S140" s="408"/>
      <c r="T140" s="408"/>
      <c r="U140" s="408"/>
      <c r="V140" s="409"/>
      <c r="W140" s="38" t="s">
        <v>77</v>
      </c>
      <c r="X140" s="399">
        <f>IFERROR(X138/H138,"0")+IFERROR(X139/H139,"0")</f>
        <v>9.2592592592592595</v>
      </c>
      <c r="Y140" s="399">
        <f>IFERROR(Y138/H138,"0")+IFERROR(Y139/H139,"0")</f>
        <v>10</v>
      </c>
      <c r="Z140" s="399">
        <f>IFERROR(IF(Z138="",0,Z138),"0")+IFERROR(IF(Z139="",0,Z139),"0")</f>
        <v>0.1898</v>
      </c>
      <c r="AA140" s="400"/>
      <c r="AB140" s="400"/>
      <c r="AC140" s="400"/>
    </row>
    <row r="141" spans="1:68" x14ac:dyDescent="0.2">
      <c r="A141" s="404"/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20"/>
      <c r="P141" s="407" t="s">
        <v>76</v>
      </c>
      <c r="Q141" s="408"/>
      <c r="R141" s="408"/>
      <c r="S141" s="408"/>
      <c r="T141" s="408"/>
      <c r="U141" s="408"/>
      <c r="V141" s="409"/>
      <c r="W141" s="38" t="s">
        <v>71</v>
      </c>
      <c r="X141" s="399">
        <f>IFERROR(SUM(X138:X139),"0")</f>
        <v>100</v>
      </c>
      <c r="Y141" s="399">
        <f>IFERROR(SUM(Y138:Y139),"0")</f>
        <v>108</v>
      </c>
      <c r="Z141" s="38"/>
      <c r="AA141" s="400"/>
      <c r="AB141" s="400"/>
      <c r="AC141" s="400"/>
    </row>
    <row r="142" spans="1:68" ht="14.25" customHeight="1" x14ac:dyDescent="0.25">
      <c r="A142" s="403" t="s">
        <v>182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393"/>
      <c r="AB142" s="393"/>
      <c r="AC142" s="393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05">
        <v>4680115882683</v>
      </c>
      <c r="E143" s="406"/>
      <c r="F143" s="396">
        <v>0.9</v>
      </c>
      <c r="G143" s="33">
        <v>6</v>
      </c>
      <c r="H143" s="396">
        <v>5.4</v>
      </c>
      <c r="I143" s="39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17"/>
      <c r="R143" s="417"/>
      <c r="S143" s="417"/>
      <c r="T143" s="418"/>
      <c r="U143" s="35"/>
      <c r="V143" s="35"/>
      <c r="W143" s="36" t="s">
        <v>71</v>
      </c>
      <c r="X143" s="397">
        <v>100</v>
      </c>
      <c r="Y143" s="398">
        <f>IFERROR(IF(X143="",0,CEILING((X143/$H143),1)*$H143),"")</f>
        <v>102.60000000000001</v>
      </c>
      <c r="Z143" s="37">
        <f>IFERROR(IF(Y143=0,"",ROUNDUP(Y143/H143,0)*0.00902),"")</f>
        <v>0.17138</v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103.88888888888889</v>
      </c>
      <c r="BN143" s="65">
        <f>IFERROR(Y143*I143/H143,"0")</f>
        <v>106.59000000000002</v>
      </c>
      <c r="BO143" s="65">
        <f>IFERROR(1/J143*(X143/H143),"0")</f>
        <v>0.14029180695847362</v>
      </c>
      <c r="BP143" s="65">
        <f>IFERROR(1/J143*(Y143/H143),"0")</f>
        <v>0.14393939393939395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05">
        <v>4680115882690</v>
      </c>
      <c r="E144" s="406"/>
      <c r="F144" s="396">
        <v>0.9</v>
      </c>
      <c r="G144" s="33">
        <v>6</v>
      </c>
      <c r="H144" s="396">
        <v>5.4</v>
      </c>
      <c r="I144" s="39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17"/>
      <c r="R144" s="417"/>
      <c r="S144" s="417"/>
      <c r="T144" s="418"/>
      <c r="U144" s="35"/>
      <c r="V144" s="35"/>
      <c r="W144" s="36" t="s">
        <v>71</v>
      </c>
      <c r="X144" s="397">
        <v>0</v>
      </c>
      <c r="Y144" s="39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05">
        <v>4680115882669</v>
      </c>
      <c r="E145" s="406"/>
      <c r="F145" s="396">
        <v>0.9</v>
      </c>
      <c r="G145" s="33">
        <v>6</v>
      </c>
      <c r="H145" s="396">
        <v>5.4</v>
      </c>
      <c r="I145" s="39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17"/>
      <c r="R145" s="417"/>
      <c r="S145" s="417"/>
      <c r="T145" s="418"/>
      <c r="U145" s="35"/>
      <c r="V145" s="35"/>
      <c r="W145" s="36" t="s">
        <v>71</v>
      </c>
      <c r="X145" s="397">
        <v>0</v>
      </c>
      <c r="Y145" s="39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05">
        <v>4680115882676</v>
      </c>
      <c r="E146" s="406"/>
      <c r="F146" s="396">
        <v>0.9</v>
      </c>
      <c r="G146" s="33">
        <v>6</v>
      </c>
      <c r="H146" s="396">
        <v>5.4</v>
      </c>
      <c r="I146" s="396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17"/>
      <c r="R146" s="417"/>
      <c r="S146" s="417"/>
      <c r="T146" s="418"/>
      <c r="U146" s="35"/>
      <c r="V146" s="35"/>
      <c r="W146" s="36" t="s">
        <v>71</v>
      </c>
      <c r="X146" s="397">
        <v>0</v>
      </c>
      <c r="Y146" s="398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9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20"/>
      <c r="P147" s="407" t="s">
        <v>76</v>
      </c>
      <c r="Q147" s="408"/>
      <c r="R147" s="408"/>
      <c r="S147" s="408"/>
      <c r="T147" s="408"/>
      <c r="U147" s="408"/>
      <c r="V147" s="409"/>
      <c r="W147" s="38" t="s">
        <v>77</v>
      </c>
      <c r="X147" s="399">
        <f>IFERROR(X143/H143,"0")+IFERROR(X144/H144,"0")+IFERROR(X145/H145,"0")+IFERROR(X146/H146,"0")</f>
        <v>18.518518518518519</v>
      </c>
      <c r="Y147" s="399">
        <f>IFERROR(Y143/H143,"0")+IFERROR(Y144/H144,"0")+IFERROR(Y145/H145,"0")+IFERROR(Y146/H146,"0")</f>
        <v>19</v>
      </c>
      <c r="Z147" s="399">
        <f>IFERROR(IF(Z143="",0,Z143),"0")+IFERROR(IF(Z144="",0,Z144),"0")+IFERROR(IF(Z145="",0,Z145),"0")+IFERROR(IF(Z146="",0,Z146),"0")</f>
        <v>0.17138</v>
      </c>
      <c r="AA147" s="400"/>
      <c r="AB147" s="400"/>
      <c r="AC147" s="400"/>
    </row>
    <row r="148" spans="1:68" x14ac:dyDescent="0.2">
      <c r="A148" s="404"/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20"/>
      <c r="P148" s="407" t="s">
        <v>76</v>
      </c>
      <c r="Q148" s="408"/>
      <c r="R148" s="408"/>
      <c r="S148" s="408"/>
      <c r="T148" s="408"/>
      <c r="U148" s="408"/>
      <c r="V148" s="409"/>
      <c r="W148" s="38" t="s">
        <v>71</v>
      </c>
      <c r="X148" s="399">
        <f>IFERROR(SUM(X143:X146),"0")</f>
        <v>100</v>
      </c>
      <c r="Y148" s="399">
        <f>IFERROR(SUM(Y143:Y146),"0")</f>
        <v>102.60000000000001</v>
      </c>
      <c r="Z148" s="38"/>
      <c r="AA148" s="400"/>
      <c r="AB148" s="400"/>
      <c r="AC148" s="400"/>
    </row>
    <row r="149" spans="1:68" ht="14.25" customHeight="1" x14ac:dyDescent="0.25">
      <c r="A149" s="403" t="s">
        <v>66</v>
      </c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4"/>
      <c r="O149" s="404"/>
      <c r="P149" s="404"/>
      <c r="Q149" s="404"/>
      <c r="R149" s="404"/>
      <c r="S149" s="404"/>
      <c r="T149" s="404"/>
      <c r="U149" s="404"/>
      <c r="V149" s="404"/>
      <c r="W149" s="404"/>
      <c r="X149" s="404"/>
      <c r="Y149" s="404"/>
      <c r="Z149" s="404"/>
      <c r="AA149" s="393"/>
      <c r="AB149" s="393"/>
      <c r="AC149" s="393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05">
        <v>4680115881594</v>
      </c>
      <c r="E150" s="406"/>
      <c r="F150" s="396">
        <v>1.35</v>
      </c>
      <c r="G150" s="33">
        <v>6</v>
      </c>
      <c r="H150" s="396">
        <v>8.1</v>
      </c>
      <c r="I150" s="396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17"/>
      <c r="R150" s="417"/>
      <c r="S150" s="417"/>
      <c r="T150" s="418"/>
      <c r="U150" s="35"/>
      <c r="V150" s="35"/>
      <c r="W150" s="36" t="s">
        <v>71</v>
      </c>
      <c r="X150" s="397">
        <v>0</v>
      </c>
      <c r="Y150" s="398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05">
        <v>4680115881617</v>
      </c>
      <c r="E151" s="406"/>
      <c r="F151" s="396">
        <v>1.35</v>
      </c>
      <c r="G151" s="33">
        <v>6</v>
      </c>
      <c r="H151" s="396">
        <v>8.1</v>
      </c>
      <c r="I151" s="396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17"/>
      <c r="R151" s="417"/>
      <c r="S151" s="417"/>
      <c r="T151" s="418"/>
      <c r="U151" s="35"/>
      <c r="V151" s="35"/>
      <c r="W151" s="36" t="s">
        <v>71</v>
      </c>
      <c r="X151" s="397">
        <v>300</v>
      </c>
      <c r="Y151" s="398">
        <f t="shared" si="10"/>
        <v>307.8</v>
      </c>
      <c r="Z151" s="37">
        <f>IFERROR(IF(Y151=0,"",ROUNDUP(Y151/H151,0)*0.01898),"")</f>
        <v>0.72123999999999999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318.5555555555556</v>
      </c>
      <c r="BN151" s="65">
        <f t="shared" si="12"/>
        <v>326.83800000000008</v>
      </c>
      <c r="BO151" s="65">
        <f t="shared" si="13"/>
        <v>0.57870370370370372</v>
      </c>
      <c r="BP151" s="65">
        <f t="shared" si="14"/>
        <v>0.59375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05">
        <v>4680115880573</v>
      </c>
      <c r="E152" s="406"/>
      <c r="F152" s="396">
        <v>1.45</v>
      </c>
      <c r="G152" s="33">
        <v>6</v>
      </c>
      <c r="H152" s="396">
        <v>8.6999999999999993</v>
      </c>
      <c r="I152" s="396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17"/>
      <c r="R152" s="417"/>
      <c r="S152" s="417"/>
      <c r="T152" s="418"/>
      <c r="U152" s="35"/>
      <c r="V152" s="35"/>
      <c r="W152" s="36" t="s">
        <v>71</v>
      </c>
      <c r="X152" s="397">
        <v>300</v>
      </c>
      <c r="Y152" s="398">
        <f t="shared" si="10"/>
        <v>304.5</v>
      </c>
      <c r="Z152" s="37">
        <f>IFERROR(IF(Y152=0,"",ROUNDUP(Y152/H152,0)*0.01898),"")</f>
        <v>0.6643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317.89655172413796</v>
      </c>
      <c r="BN152" s="65">
        <f t="shared" si="12"/>
        <v>322.66500000000002</v>
      </c>
      <c r="BO152" s="65">
        <f t="shared" si="13"/>
        <v>0.53879310344827591</v>
      </c>
      <c r="BP152" s="65">
        <f t="shared" si="14"/>
        <v>0.546875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05">
        <v>4680115882195</v>
      </c>
      <c r="E153" s="406"/>
      <c r="F153" s="396">
        <v>0.4</v>
      </c>
      <c r="G153" s="33">
        <v>6</v>
      </c>
      <c r="H153" s="396">
        <v>2.4</v>
      </c>
      <c r="I153" s="396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17"/>
      <c r="R153" s="417"/>
      <c r="S153" s="417"/>
      <c r="T153" s="418"/>
      <c r="U153" s="35"/>
      <c r="V153" s="35"/>
      <c r="W153" s="36" t="s">
        <v>71</v>
      </c>
      <c r="X153" s="397">
        <v>0</v>
      </c>
      <c r="Y153" s="39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05">
        <v>4680115882607</v>
      </c>
      <c r="E154" s="406"/>
      <c r="F154" s="396">
        <v>0.3</v>
      </c>
      <c r="G154" s="33">
        <v>6</v>
      </c>
      <c r="H154" s="396">
        <v>1.8</v>
      </c>
      <c r="I154" s="396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17"/>
      <c r="R154" s="417"/>
      <c r="S154" s="417"/>
      <c r="T154" s="418"/>
      <c r="U154" s="35"/>
      <c r="V154" s="35"/>
      <c r="W154" s="36" t="s">
        <v>71</v>
      </c>
      <c r="X154" s="397">
        <v>0</v>
      </c>
      <c r="Y154" s="39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05">
        <v>4680115880092</v>
      </c>
      <c r="E155" s="406"/>
      <c r="F155" s="396">
        <v>0.4</v>
      </c>
      <c r="G155" s="33">
        <v>6</v>
      </c>
      <c r="H155" s="396">
        <v>2.4</v>
      </c>
      <c r="I155" s="39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6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17"/>
      <c r="R155" s="417"/>
      <c r="S155" s="417"/>
      <c r="T155" s="418"/>
      <c r="U155" s="35"/>
      <c r="V155" s="35"/>
      <c r="W155" s="36" t="s">
        <v>71</v>
      </c>
      <c r="X155" s="397">
        <v>150</v>
      </c>
      <c r="Y155" s="398">
        <f t="shared" si="10"/>
        <v>151.19999999999999</v>
      </c>
      <c r="Z155" s="37">
        <f>IFERROR(IF(Y155=0,"",ROUNDUP(Y155/H155,0)*0.00651),"")</f>
        <v>0.41012999999999999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165.75</v>
      </c>
      <c r="BN155" s="65">
        <f t="shared" si="12"/>
        <v>167.07599999999999</v>
      </c>
      <c r="BO155" s="65">
        <f t="shared" si="13"/>
        <v>0.34340659340659341</v>
      </c>
      <c r="BP155" s="65">
        <f t="shared" si="14"/>
        <v>0.3461538461538462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05">
        <v>4680115880221</v>
      </c>
      <c r="E156" s="406"/>
      <c r="F156" s="396">
        <v>0.4</v>
      </c>
      <c r="G156" s="33">
        <v>6</v>
      </c>
      <c r="H156" s="396">
        <v>2.4</v>
      </c>
      <c r="I156" s="396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17"/>
      <c r="R156" s="417"/>
      <c r="S156" s="417"/>
      <c r="T156" s="418"/>
      <c r="U156" s="35"/>
      <c r="V156" s="35"/>
      <c r="W156" s="36" t="s">
        <v>71</v>
      </c>
      <c r="X156" s="397">
        <v>100</v>
      </c>
      <c r="Y156" s="398">
        <f t="shared" si="10"/>
        <v>100.8</v>
      </c>
      <c r="Z156" s="37">
        <f>IFERROR(IF(Y156=0,"",ROUNDUP(Y156/H156,0)*0.00651),"")</f>
        <v>0.27342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110.5</v>
      </c>
      <c r="BN156" s="65">
        <f t="shared" si="12"/>
        <v>111.384</v>
      </c>
      <c r="BO156" s="65">
        <f t="shared" si="13"/>
        <v>0.22893772893772898</v>
      </c>
      <c r="BP156" s="65">
        <f t="shared" si="14"/>
        <v>0.23076923076923078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05">
        <v>4680115882164</v>
      </c>
      <c r="E157" s="406"/>
      <c r="F157" s="396">
        <v>0.4</v>
      </c>
      <c r="G157" s="33">
        <v>6</v>
      </c>
      <c r="H157" s="396">
        <v>2.4</v>
      </c>
      <c r="I157" s="396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17"/>
      <c r="R157" s="417"/>
      <c r="S157" s="417"/>
      <c r="T157" s="418"/>
      <c r="U157" s="35"/>
      <c r="V157" s="35"/>
      <c r="W157" s="36" t="s">
        <v>71</v>
      </c>
      <c r="X157" s="397">
        <v>0</v>
      </c>
      <c r="Y157" s="398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9"/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20"/>
      <c r="P158" s="407" t="s">
        <v>76</v>
      </c>
      <c r="Q158" s="408"/>
      <c r="R158" s="408"/>
      <c r="S158" s="408"/>
      <c r="T158" s="408"/>
      <c r="U158" s="408"/>
      <c r="V158" s="409"/>
      <c r="W158" s="38" t="s">
        <v>77</v>
      </c>
      <c r="X158" s="399">
        <f>IFERROR(X150/H150,"0")+IFERROR(X151/H151,"0")+IFERROR(X152/H152,"0")+IFERROR(X153/H153,"0")+IFERROR(X154/H154,"0")+IFERROR(X155/H155,"0")+IFERROR(X156/H156,"0")+IFERROR(X157/H157,"0")</f>
        <v>175.68646232439335</v>
      </c>
      <c r="Y158" s="399">
        <f>IFERROR(Y150/H150,"0")+IFERROR(Y151/H151,"0")+IFERROR(Y152/H152,"0")+IFERROR(Y153/H153,"0")+IFERROR(Y154/H154,"0")+IFERROR(Y155/H155,"0")+IFERROR(Y156/H156,"0")+IFERROR(Y157/H157,"0")</f>
        <v>178</v>
      </c>
      <c r="Z158" s="399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2.0690900000000001</v>
      </c>
      <c r="AA158" s="400"/>
      <c r="AB158" s="400"/>
      <c r="AC158" s="400"/>
    </row>
    <row r="159" spans="1:68" x14ac:dyDescent="0.2">
      <c r="A159" s="404"/>
      <c r="B159" s="404"/>
      <c r="C159" s="404"/>
      <c r="D159" s="404"/>
      <c r="E159" s="404"/>
      <c r="F159" s="404"/>
      <c r="G159" s="404"/>
      <c r="H159" s="404"/>
      <c r="I159" s="404"/>
      <c r="J159" s="404"/>
      <c r="K159" s="404"/>
      <c r="L159" s="404"/>
      <c r="M159" s="404"/>
      <c r="N159" s="404"/>
      <c r="O159" s="420"/>
      <c r="P159" s="407" t="s">
        <v>76</v>
      </c>
      <c r="Q159" s="408"/>
      <c r="R159" s="408"/>
      <c r="S159" s="408"/>
      <c r="T159" s="408"/>
      <c r="U159" s="408"/>
      <c r="V159" s="409"/>
      <c r="W159" s="38" t="s">
        <v>71</v>
      </c>
      <c r="X159" s="399">
        <f>IFERROR(SUM(X150:X157),"0")</f>
        <v>850</v>
      </c>
      <c r="Y159" s="399">
        <f>IFERROR(SUM(Y150:Y157),"0")</f>
        <v>864.3</v>
      </c>
      <c r="Z159" s="38"/>
      <c r="AA159" s="400"/>
      <c r="AB159" s="400"/>
      <c r="AC159" s="400"/>
    </row>
    <row r="160" spans="1:68" ht="14.25" customHeight="1" x14ac:dyDescent="0.25">
      <c r="A160" s="403" t="s">
        <v>128</v>
      </c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404"/>
      <c r="AA160" s="393"/>
      <c r="AB160" s="393"/>
      <c r="AC160" s="393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05">
        <v>4680115880801</v>
      </c>
      <c r="E161" s="406"/>
      <c r="F161" s="396">
        <v>0.4</v>
      </c>
      <c r="G161" s="33">
        <v>6</v>
      </c>
      <c r="H161" s="396">
        <v>2.4</v>
      </c>
      <c r="I161" s="396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17"/>
      <c r="R161" s="417"/>
      <c r="S161" s="417"/>
      <c r="T161" s="418"/>
      <c r="U161" s="35"/>
      <c r="V161" s="35"/>
      <c r="W161" s="36" t="s">
        <v>71</v>
      </c>
      <c r="X161" s="397">
        <v>0</v>
      </c>
      <c r="Y161" s="398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9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20"/>
      <c r="P162" s="407" t="s">
        <v>76</v>
      </c>
      <c r="Q162" s="408"/>
      <c r="R162" s="408"/>
      <c r="S162" s="408"/>
      <c r="T162" s="408"/>
      <c r="U162" s="408"/>
      <c r="V162" s="409"/>
      <c r="W162" s="38" t="s">
        <v>77</v>
      </c>
      <c r="X162" s="399">
        <f>IFERROR(X161/H161,"0")</f>
        <v>0</v>
      </c>
      <c r="Y162" s="399">
        <f>IFERROR(Y161/H161,"0")</f>
        <v>0</v>
      </c>
      <c r="Z162" s="399">
        <f>IFERROR(IF(Z161="",0,Z161),"0")</f>
        <v>0</v>
      </c>
      <c r="AA162" s="400"/>
      <c r="AB162" s="400"/>
      <c r="AC162" s="400"/>
    </row>
    <row r="163" spans="1:68" x14ac:dyDescent="0.2">
      <c r="A163" s="404"/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20"/>
      <c r="P163" s="407" t="s">
        <v>76</v>
      </c>
      <c r="Q163" s="408"/>
      <c r="R163" s="408"/>
      <c r="S163" s="408"/>
      <c r="T163" s="408"/>
      <c r="U163" s="408"/>
      <c r="V163" s="409"/>
      <c r="W163" s="38" t="s">
        <v>71</v>
      </c>
      <c r="X163" s="399">
        <f>IFERROR(SUM(X161:X161),"0")</f>
        <v>0</v>
      </c>
      <c r="Y163" s="399">
        <f>IFERROR(SUM(Y161:Y161),"0")</f>
        <v>0</v>
      </c>
      <c r="Z163" s="38"/>
      <c r="AA163" s="400"/>
      <c r="AB163" s="400"/>
      <c r="AC163" s="400"/>
    </row>
    <row r="164" spans="1:68" ht="16.5" customHeight="1" x14ac:dyDescent="0.25">
      <c r="A164" s="414" t="s">
        <v>274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404"/>
      <c r="AA164" s="392"/>
      <c r="AB164" s="392"/>
      <c r="AC164" s="392"/>
    </row>
    <row r="165" spans="1:68" ht="14.25" customHeight="1" x14ac:dyDescent="0.25">
      <c r="A165" s="403" t="s">
        <v>86</v>
      </c>
      <c r="B165" s="404"/>
      <c r="C165" s="404"/>
      <c r="D165" s="404"/>
      <c r="E165" s="404"/>
      <c r="F165" s="404"/>
      <c r="G165" s="404"/>
      <c r="H165" s="404"/>
      <c r="I165" s="404"/>
      <c r="J165" s="404"/>
      <c r="K165" s="404"/>
      <c r="L165" s="404"/>
      <c r="M165" s="404"/>
      <c r="N165" s="404"/>
      <c r="O165" s="404"/>
      <c r="P165" s="404"/>
      <c r="Q165" s="404"/>
      <c r="R165" s="404"/>
      <c r="S165" s="404"/>
      <c r="T165" s="404"/>
      <c r="U165" s="404"/>
      <c r="V165" s="404"/>
      <c r="W165" s="404"/>
      <c r="X165" s="404"/>
      <c r="Y165" s="404"/>
      <c r="Z165" s="404"/>
      <c r="AA165" s="393"/>
      <c r="AB165" s="393"/>
      <c r="AC165" s="393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05">
        <v>4680115884137</v>
      </c>
      <c r="E166" s="406"/>
      <c r="F166" s="396">
        <v>1.45</v>
      </c>
      <c r="G166" s="33">
        <v>8</v>
      </c>
      <c r="H166" s="396">
        <v>11.6</v>
      </c>
      <c r="I166" s="39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17"/>
      <c r="R166" s="417"/>
      <c r="S166" s="417"/>
      <c r="T166" s="418"/>
      <c r="U166" s="35"/>
      <c r="V166" s="35"/>
      <c r="W166" s="36" t="s">
        <v>71</v>
      </c>
      <c r="X166" s="397">
        <v>0</v>
      </c>
      <c r="Y166" s="398">
        <f t="shared" ref="Y166:Y171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1" si="16">IFERROR(X166*I166/H166,"0")</f>
        <v>0</v>
      </c>
      <c r="BN166" s="65">
        <f t="shared" ref="BN166:BN171" si="17">IFERROR(Y166*I166/H166,"0")</f>
        <v>0</v>
      </c>
      <c r="BO166" s="65">
        <f t="shared" ref="BO166:BO171" si="18">IFERROR(1/J166*(X166/H166),"0")</f>
        <v>0</v>
      </c>
      <c r="BP166" s="65">
        <f t="shared" ref="BP166:BP171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05">
        <v>4680115884236</v>
      </c>
      <c r="E167" s="406"/>
      <c r="F167" s="396">
        <v>1.45</v>
      </c>
      <c r="G167" s="33">
        <v>8</v>
      </c>
      <c r="H167" s="396">
        <v>11.6</v>
      </c>
      <c r="I167" s="39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17"/>
      <c r="R167" s="417"/>
      <c r="S167" s="417"/>
      <c r="T167" s="418"/>
      <c r="U167" s="35"/>
      <c r="V167" s="35"/>
      <c r="W167" s="36" t="s">
        <v>71</v>
      </c>
      <c r="X167" s="397">
        <v>0</v>
      </c>
      <c r="Y167" s="39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05">
        <v>4680115884175</v>
      </c>
      <c r="E168" s="406"/>
      <c r="F168" s="396">
        <v>1.45</v>
      </c>
      <c r="G168" s="33">
        <v>8</v>
      </c>
      <c r="H168" s="396">
        <v>11.6</v>
      </c>
      <c r="I168" s="396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6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17"/>
      <c r="R168" s="417"/>
      <c r="S168" s="417"/>
      <c r="T168" s="418"/>
      <c r="U168" s="35"/>
      <c r="V168" s="35"/>
      <c r="W168" s="36" t="s">
        <v>71</v>
      </c>
      <c r="X168" s="397">
        <v>0</v>
      </c>
      <c r="Y168" s="398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05">
        <v>4680115884144</v>
      </c>
      <c r="E169" s="406"/>
      <c r="F169" s="396">
        <v>0.4</v>
      </c>
      <c r="G169" s="33">
        <v>10</v>
      </c>
      <c r="H169" s="396">
        <v>4</v>
      </c>
      <c r="I169" s="396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17"/>
      <c r="R169" s="417"/>
      <c r="S169" s="417"/>
      <c r="T169" s="418"/>
      <c r="U169" s="35"/>
      <c r="V169" s="35"/>
      <c r="W169" s="36" t="s">
        <v>71</v>
      </c>
      <c r="X169" s="397">
        <v>0</v>
      </c>
      <c r="Y169" s="39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4301011726</v>
      </c>
      <c r="D170" s="405">
        <v>4680115884182</v>
      </c>
      <c r="E170" s="406"/>
      <c r="F170" s="396">
        <v>0.37</v>
      </c>
      <c r="G170" s="33">
        <v>10</v>
      </c>
      <c r="H170" s="396">
        <v>3.7</v>
      </c>
      <c r="I170" s="396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6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17"/>
      <c r="R170" s="417"/>
      <c r="S170" s="417"/>
      <c r="T170" s="418"/>
      <c r="U170" s="35"/>
      <c r="V170" s="35"/>
      <c r="W170" s="36" t="s">
        <v>71</v>
      </c>
      <c r="X170" s="397">
        <v>0</v>
      </c>
      <c r="Y170" s="39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288</v>
      </c>
      <c r="B171" s="55" t="s">
        <v>289</v>
      </c>
      <c r="C171" s="32">
        <v>4301011722</v>
      </c>
      <c r="D171" s="405">
        <v>4680115884205</v>
      </c>
      <c r="E171" s="406"/>
      <c r="F171" s="396">
        <v>0.4</v>
      </c>
      <c r="G171" s="33">
        <v>10</v>
      </c>
      <c r="H171" s="396">
        <v>4</v>
      </c>
      <c r="I171" s="396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17"/>
      <c r="R171" s="417"/>
      <c r="S171" s="417"/>
      <c r="T171" s="418"/>
      <c r="U171" s="35"/>
      <c r="V171" s="35"/>
      <c r="W171" s="36" t="s">
        <v>71</v>
      </c>
      <c r="X171" s="397">
        <v>0</v>
      </c>
      <c r="Y171" s="398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419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20"/>
      <c r="P172" s="407" t="s">
        <v>76</v>
      </c>
      <c r="Q172" s="408"/>
      <c r="R172" s="408"/>
      <c r="S172" s="408"/>
      <c r="T172" s="408"/>
      <c r="U172" s="408"/>
      <c r="V172" s="409"/>
      <c r="W172" s="38" t="s">
        <v>77</v>
      </c>
      <c r="X172" s="399">
        <f>IFERROR(X166/H166,"0")+IFERROR(X167/H167,"0")+IFERROR(X168/H168,"0")+IFERROR(X169/H169,"0")+IFERROR(X170/H170,"0")+IFERROR(X171/H171,"0")</f>
        <v>0</v>
      </c>
      <c r="Y172" s="399">
        <f>IFERROR(Y166/H166,"0")+IFERROR(Y167/H167,"0")+IFERROR(Y168/H168,"0")+IFERROR(Y169/H169,"0")+IFERROR(Y170/H170,"0")+IFERROR(Y171/H171,"0")</f>
        <v>0</v>
      </c>
      <c r="Z172" s="399">
        <f>IFERROR(IF(Z166="",0,Z166),"0")+IFERROR(IF(Z167="",0,Z167),"0")+IFERROR(IF(Z168="",0,Z168),"0")+IFERROR(IF(Z169="",0,Z169),"0")+IFERROR(IF(Z170="",0,Z170),"0")+IFERROR(IF(Z171="",0,Z171),"0")</f>
        <v>0</v>
      </c>
      <c r="AA172" s="400"/>
      <c r="AB172" s="400"/>
      <c r="AC172" s="400"/>
    </row>
    <row r="173" spans="1:68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20"/>
      <c r="P173" s="407" t="s">
        <v>76</v>
      </c>
      <c r="Q173" s="408"/>
      <c r="R173" s="408"/>
      <c r="S173" s="408"/>
      <c r="T173" s="408"/>
      <c r="U173" s="408"/>
      <c r="V173" s="409"/>
      <c r="W173" s="38" t="s">
        <v>71</v>
      </c>
      <c r="X173" s="399">
        <f>IFERROR(SUM(X166:X171),"0")</f>
        <v>0</v>
      </c>
      <c r="Y173" s="399">
        <f>IFERROR(SUM(Y166:Y171),"0")</f>
        <v>0</v>
      </c>
      <c r="Z173" s="38"/>
      <c r="AA173" s="400"/>
      <c r="AB173" s="400"/>
      <c r="AC173" s="400"/>
    </row>
    <row r="174" spans="1:68" ht="16.5" customHeight="1" x14ac:dyDescent="0.25">
      <c r="A174" s="414" t="s">
        <v>290</v>
      </c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4"/>
      <c r="P174" s="404"/>
      <c r="Q174" s="404"/>
      <c r="R174" s="404"/>
      <c r="S174" s="404"/>
      <c r="T174" s="404"/>
      <c r="U174" s="404"/>
      <c r="V174" s="404"/>
      <c r="W174" s="404"/>
      <c r="X174" s="404"/>
      <c r="Y174" s="404"/>
      <c r="Z174" s="404"/>
      <c r="AA174" s="392"/>
      <c r="AB174" s="392"/>
      <c r="AC174" s="392"/>
    </row>
    <row r="175" spans="1:68" ht="14.25" customHeight="1" x14ac:dyDescent="0.25">
      <c r="A175" s="403" t="s">
        <v>86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393"/>
      <c r="AB175" s="393"/>
      <c r="AC175" s="393"/>
    </row>
    <row r="176" spans="1:68" ht="27" customHeight="1" x14ac:dyDescent="0.25">
      <c r="A176" s="55" t="s">
        <v>291</v>
      </c>
      <c r="B176" s="55" t="s">
        <v>292</v>
      </c>
      <c r="C176" s="32">
        <v>4301011855</v>
      </c>
      <c r="D176" s="405">
        <v>4680115885837</v>
      </c>
      <c r="E176" s="406"/>
      <c r="F176" s="396">
        <v>1.35</v>
      </c>
      <c r="G176" s="33">
        <v>8</v>
      </c>
      <c r="H176" s="396">
        <v>10.8</v>
      </c>
      <c r="I176" s="39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5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17"/>
      <c r="R176" s="417"/>
      <c r="S176" s="417"/>
      <c r="T176" s="418"/>
      <c r="U176" s="35"/>
      <c r="V176" s="35"/>
      <c r="W176" s="36" t="s">
        <v>71</v>
      </c>
      <c r="X176" s="397">
        <v>0</v>
      </c>
      <c r="Y176" s="39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293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294</v>
      </c>
      <c r="B177" s="55" t="s">
        <v>295</v>
      </c>
      <c r="C177" s="32">
        <v>4301011850</v>
      </c>
      <c r="D177" s="405">
        <v>4680115885806</v>
      </c>
      <c r="E177" s="406"/>
      <c r="F177" s="396">
        <v>1.35</v>
      </c>
      <c r="G177" s="33">
        <v>8</v>
      </c>
      <c r="H177" s="396">
        <v>10.8</v>
      </c>
      <c r="I177" s="39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4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17"/>
      <c r="R177" s="417"/>
      <c r="S177" s="417"/>
      <c r="T177" s="418"/>
      <c r="U177" s="35"/>
      <c r="V177" s="35"/>
      <c r="W177" s="36" t="s">
        <v>71</v>
      </c>
      <c r="X177" s="397">
        <v>0</v>
      </c>
      <c r="Y177" s="39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297</v>
      </c>
      <c r="B178" s="55" t="s">
        <v>298</v>
      </c>
      <c r="C178" s="32">
        <v>4301011853</v>
      </c>
      <c r="D178" s="405">
        <v>4680115885851</v>
      </c>
      <c r="E178" s="406"/>
      <c r="F178" s="396">
        <v>1.35</v>
      </c>
      <c r="G178" s="33">
        <v>8</v>
      </c>
      <c r="H178" s="396">
        <v>10.8</v>
      </c>
      <c r="I178" s="396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17"/>
      <c r="R178" s="417"/>
      <c r="S178" s="417"/>
      <c r="T178" s="418"/>
      <c r="U178" s="35"/>
      <c r="V178" s="35"/>
      <c r="W178" s="36" t="s">
        <v>71</v>
      </c>
      <c r="X178" s="397">
        <v>0</v>
      </c>
      <c r="Y178" s="398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300</v>
      </c>
      <c r="B179" s="55" t="s">
        <v>301</v>
      </c>
      <c r="C179" s="32">
        <v>4301011852</v>
      </c>
      <c r="D179" s="405">
        <v>4680115885844</v>
      </c>
      <c r="E179" s="406"/>
      <c r="F179" s="396">
        <v>0.4</v>
      </c>
      <c r="G179" s="33">
        <v>10</v>
      </c>
      <c r="H179" s="396">
        <v>4</v>
      </c>
      <c r="I179" s="39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17"/>
      <c r="R179" s="417"/>
      <c r="S179" s="417"/>
      <c r="T179" s="418"/>
      <c r="U179" s="35"/>
      <c r="V179" s="35"/>
      <c r="W179" s="36" t="s">
        <v>71</v>
      </c>
      <c r="X179" s="397">
        <v>0</v>
      </c>
      <c r="Y179" s="39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4301011851</v>
      </c>
      <c r="D180" s="405">
        <v>4680115885820</v>
      </c>
      <c r="E180" s="406"/>
      <c r="F180" s="396">
        <v>0.4</v>
      </c>
      <c r="G180" s="33">
        <v>10</v>
      </c>
      <c r="H180" s="396">
        <v>4</v>
      </c>
      <c r="I180" s="396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5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17"/>
      <c r="R180" s="417"/>
      <c r="S180" s="417"/>
      <c r="T180" s="418"/>
      <c r="U180" s="35"/>
      <c r="V180" s="35"/>
      <c r="W180" s="36" t="s">
        <v>71</v>
      </c>
      <c r="X180" s="397">
        <v>150</v>
      </c>
      <c r="Y180" s="398">
        <f>IFERROR(IF(X180="",0,CEILING((X180/$H180),1)*$H180),"")</f>
        <v>152</v>
      </c>
      <c r="Z180" s="37">
        <f>IFERROR(IF(Y180=0,"",ROUNDUP(Y180/H180,0)*0.00902),"")</f>
        <v>0.34276000000000001</v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157.875</v>
      </c>
      <c r="BN180" s="65">
        <f>IFERROR(Y180*I180/H180,"0")</f>
        <v>159.97999999999999</v>
      </c>
      <c r="BO180" s="65">
        <f>IFERROR(1/J180*(X180/H180),"0")</f>
        <v>0.28409090909090912</v>
      </c>
      <c r="BP180" s="65">
        <f>IFERROR(1/J180*(Y180/H180),"0")</f>
        <v>0.2878787878787879</v>
      </c>
    </row>
    <row r="181" spans="1:68" x14ac:dyDescent="0.2">
      <c r="A181" s="419"/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04"/>
      <c r="M181" s="404"/>
      <c r="N181" s="404"/>
      <c r="O181" s="420"/>
      <c r="P181" s="407" t="s">
        <v>76</v>
      </c>
      <c r="Q181" s="408"/>
      <c r="R181" s="408"/>
      <c r="S181" s="408"/>
      <c r="T181" s="408"/>
      <c r="U181" s="408"/>
      <c r="V181" s="409"/>
      <c r="W181" s="38" t="s">
        <v>77</v>
      </c>
      <c r="X181" s="399">
        <f>IFERROR(X176/H176,"0")+IFERROR(X177/H177,"0")+IFERROR(X178/H178,"0")+IFERROR(X179/H179,"0")+IFERROR(X180/H180,"0")</f>
        <v>37.5</v>
      </c>
      <c r="Y181" s="399">
        <f>IFERROR(Y176/H176,"0")+IFERROR(Y177/H177,"0")+IFERROR(Y178/H178,"0")+IFERROR(Y179/H179,"0")+IFERROR(Y180/H180,"0")</f>
        <v>38</v>
      </c>
      <c r="Z181" s="399">
        <f>IFERROR(IF(Z176="",0,Z176),"0")+IFERROR(IF(Z177="",0,Z177),"0")+IFERROR(IF(Z178="",0,Z178),"0")+IFERROR(IF(Z179="",0,Z179),"0")+IFERROR(IF(Z180="",0,Z180),"0")</f>
        <v>0.34276000000000001</v>
      </c>
      <c r="AA181" s="400"/>
      <c r="AB181" s="400"/>
      <c r="AC181" s="400"/>
    </row>
    <row r="182" spans="1:68" x14ac:dyDescent="0.2">
      <c r="A182" s="404"/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20"/>
      <c r="P182" s="407" t="s">
        <v>76</v>
      </c>
      <c r="Q182" s="408"/>
      <c r="R182" s="408"/>
      <c r="S182" s="408"/>
      <c r="T182" s="408"/>
      <c r="U182" s="408"/>
      <c r="V182" s="409"/>
      <c r="W182" s="38" t="s">
        <v>71</v>
      </c>
      <c r="X182" s="399">
        <f>IFERROR(SUM(X176:X180),"0")</f>
        <v>150</v>
      </c>
      <c r="Y182" s="399">
        <f>IFERROR(SUM(Y176:Y180),"0")</f>
        <v>152</v>
      </c>
      <c r="Z182" s="38"/>
      <c r="AA182" s="400"/>
      <c r="AB182" s="400"/>
      <c r="AC182" s="400"/>
    </row>
    <row r="183" spans="1:68" ht="16.5" customHeight="1" x14ac:dyDescent="0.25">
      <c r="A183" s="414" t="s">
        <v>306</v>
      </c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4"/>
      <c r="O183" s="404"/>
      <c r="P183" s="404"/>
      <c r="Q183" s="404"/>
      <c r="R183" s="404"/>
      <c r="S183" s="404"/>
      <c r="T183" s="404"/>
      <c r="U183" s="404"/>
      <c r="V183" s="404"/>
      <c r="W183" s="404"/>
      <c r="X183" s="404"/>
      <c r="Y183" s="404"/>
      <c r="Z183" s="404"/>
      <c r="AA183" s="392"/>
      <c r="AB183" s="392"/>
      <c r="AC183" s="392"/>
    </row>
    <row r="184" spans="1:68" ht="14.25" customHeight="1" x14ac:dyDescent="0.25">
      <c r="A184" s="403" t="s">
        <v>86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393"/>
      <c r="AB184" s="393"/>
      <c r="AC184" s="393"/>
    </row>
    <row r="185" spans="1:68" ht="27" customHeight="1" x14ac:dyDescent="0.25">
      <c r="A185" s="55" t="s">
        <v>307</v>
      </c>
      <c r="B185" s="55" t="s">
        <v>308</v>
      </c>
      <c r="C185" s="32">
        <v>4301011223</v>
      </c>
      <c r="D185" s="405">
        <v>4607091383423</v>
      </c>
      <c r="E185" s="406"/>
      <c r="F185" s="396">
        <v>1.35</v>
      </c>
      <c r="G185" s="33">
        <v>8</v>
      </c>
      <c r="H185" s="396">
        <v>10.8</v>
      </c>
      <c r="I185" s="396">
        <v>11.331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35</v>
      </c>
      <c r="P185" s="5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17"/>
      <c r="R185" s="417"/>
      <c r="S185" s="417"/>
      <c r="T185" s="418"/>
      <c r="U185" s="35"/>
      <c r="V185" s="35"/>
      <c r="W185" s="36" t="s">
        <v>71</v>
      </c>
      <c r="X185" s="397">
        <v>0</v>
      </c>
      <c r="Y185" s="39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91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19"/>
      <c r="B186" s="404"/>
      <c r="C186" s="404"/>
      <c r="D186" s="404"/>
      <c r="E186" s="404"/>
      <c r="F186" s="404"/>
      <c r="G186" s="404"/>
      <c r="H186" s="404"/>
      <c r="I186" s="404"/>
      <c r="J186" s="404"/>
      <c r="K186" s="404"/>
      <c r="L186" s="404"/>
      <c r="M186" s="404"/>
      <c r="N186" s="404"/>
      <c r="O186" s="420"/>
      <c r="P186" s="407" t="s">
        <v>76</v>
      </c>
      <c r="Q186" s="408"/>
      <c r="R186" s="408"/>
      <c r="S186" s="408"/>
      <c r="T186" s="408"/>
      <c r="U186" s="408"/>
      <c r="V186" s="409"/>
      <c r="W186" s="38" t="s">
        <v>77</v>
      </c>
      <c r="X186" s="399">
        <f>IFERROR(X185/H185,"0")</f>
        <v>0</v>
      </c>
      <c r="Y186" s="399">
        <f>IFERROR(Y185/H185,"0")</f>
        <v>0</v>
      </c>
      <c r="Z186" s="399">
        <f>IFERROR(IF(Z185="",0,Z185),"0")</f>
        <v>0</v>
      </c>
      <c r="AA186" s="400"/>
      <c r="AB186" s="400"/>
      <c r="AC186" s="400"/>
    </row>
    <row r="187" spans="1:68" x14ac:dyDescent="0.2">
      <c r="A187" s="404"/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4"/>
      <c r="M187" s="404"/>
      <c r="N187" s="404"/>
      <c r="O187" s="420"/>
      <c r="P187" s="407" t="s">
        <v>76</v>
      </c>
      <c r="Q187" s="408"/>
      <c r="R187" s="408"/>
      <c r="S187" s="408"/>
      <c r="T187" s="408"/>
      <c r="U187" s="408"/>
      <c r="V187" s="409"/>
      <c r="W187" s="38" t="s">
        <v>71</v>
      </c>
      <c r="X187" s="399">
        <f>IFERROR(SUM(X185:X185),"0")</f>
        <v>0</v>
      </c>
      <c r="Y187" s="399">
        <f>IFERROR(SUM(Y185:Y185),"0")</f>
        <v>0</v>
      </c>
      <c r="Z187" s="38"/>
      <c r="AA187" s="400"/>
      <c r="AB187" s="400"/>
      <c r="AC187" s="400"/>
    </row>
    <row r="188" spans="1:68" ht="16.5" customHeight="1" x14ac:dyDescent="0.25">
      <c r="A188" s="414" t="s">
        <v>309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392"/>
      <c r="AB188" s="392"/>
      <c r="AC188" s="392"/>
    </row>
    <row r="189" spans="1:68" ht="14.25" customHeight="1" x14ac:dyDescent="0.25">
      <c r="A189" s="403" t="s">
        <v>66</v>
      </c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4"/>
      <c r="P189" s="404"/>
      <c r="Q189" s="404"/>
      <c r="R189" s="404"/>
      <c r="S189" s="404"/>
      <c r="T189" s="404"/>
      <c r="U189" s="404"/>
      <c r="V189" s="404"/>
      <c r="W189" s="404"/>
      <c r="X189" s="404"/>
      <c r="Y189" s="404"/>
      <c r="Z189" s="404"/>
      <c r="AA189" s="393"/>
      <c r="AB189" s="393"/>
      <c r="AC189" s="393"/>
    </row>
    <row r="190" spans="1:68" ht="37.5" customHeight="1" x14ac:dyDescent="0.25">
      <c r="A190" s="55" t="s">
        <v>310</v>
      </c>
      <c r="B190" s="55" t="s">
        <v>311</v>
      </c>
      <c r="C190" s="32">
        <v>4301051388</v>
      </c>
      <c r="D190" s="405">
        <v>4680115881211</v>
      </c>
      <c r="E190" s="406"/>
      <c r="F190" s="396">
        <v>0.4</v>
      </c>
      <c r="G190" s="33">
        <v>6</v>
      </c>
      <c r="H190" s="396">
        <v>2.4</v>
      </c>
      <c r="I190" s="39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4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17"/>
      <c r="R190" s="417"/>
      <c r="S190" s="417"/>
      <c r="T190" s="418"/>
      <c r="U190" s="35"/>
      <c r="V190" s="35"/>
      <c r="W190" s="36" t="s">
        <v>71</v>
      </c>
      <c r="X190" s="397">
        <v>0</v>
      </c>
      <c r="Y190" s="39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312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19"/>
      <c r="B191" s="404"/>
      <c r="C191" s="404"/>
      <c r="D191" s="404"/>
      <c r="E191" s="404"/>
      <c r="F191" s="404"/>
      <c r="G191" s="404"/>
      <c r="H191" s="404"/>
      <c r="I191" s="404"/>
      <c r="J191" s="404"/>
      <c r="K191" s="404"/>
      <c r="L191" s="404"/>
      <c r="M191" s="404"/>
      <c r="N191" s="404"/>
      <c r="O191" s="420"/>
      <c r="P191" s="407" t="s">
        <v>76</v>
      </c>
      <c r="Q191" s="408"/>
      <c r="R191" s="408"/>
      <c r="S191" s="408"/>
      <c r="T191" s="408"/>
      <c r="U191" s="408"/>
      <c r="V191" s="409"/>
      <c r="W191" s="38" t="s">
        <v>77</v>
      </c>
      <c r="X191" s="399">
        <f>IFERROR(X190/H190,"0")</f>
        <v>0</v>
      </c>
      <c r="Y191" s="399">
        <f>IFERROR(Y190/H190,"0")</f>
        <v>0</v>
      </c>
      <c r="Z191" s="399">
        <f>IFERROR(IF(Z190="",0,Z190),"0")</f>
        <v>0</v>
      </c>
      <c r="AA191" s="400"/>
      <c r="AB191" s="400"/>
      <c r="AC191" s="400"/>
    </row>
    <row r="192" spans="1:68" x14ac:dyDescent="0.2">
      <c r="A192" s="404"/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20"/>
      <c r="P192" s="407" t="s">
        <v>76</v>
      </c>
      <c r="Q192" s="408"/>
      <c r="R192" s="408"/>
      <c r="S192" s="408"/>
      <c r="T192" s="408"/>
      <c r="U192" s="408"/>
      <c r="V192" s="409"/>
      <c r="W192" s="38" t="s">
        <v>71</v>
      </c>
      <c r="X192" s="399">
        <f>IFERROR(SUM(X190:X190),"0")</f>
        <v>0</v>
      </c>
      <c r="Y192" s="399">
        <f>IFERROR(SUM(Y190:Y190),"0")</f>
        <v>0</v>
      </c>
      <c r="Z192" s="38"/>
      <c r="AA192" s="400"/>
      <c r="AB192" s="400"/>
      <c r="AC192" s="400"/>
    </row>
    <row r="193" spans="1:68" ht="16.5" customHeight="1" x14ac:dyDescent="0.25">
      <c r="A193" s="414" t="s">
        <v>313</v>
      </c>
      <c r="B193" s="404"/>
      <c r="C193" s="404"/>
      <c r="D193" s="404"/>
      <c r="E193" s="404"/>
      <c r="F193" s="404"/>
      <c r="G193" s="404"/>
      <c r="H193" s="404"/>
      <c r="I193" s="404"/>
      <c r="J193" s="404"/>
      <c r="K193" s="404"/>
      <c r="L193" s="404"/>
      <c r="M193" s="404"/>
      <c r="N193" s="404"/>
      <c r="O193" s="404"/>
      <c r="P193" s="404"/>
      <c r="Q193" s="404"/>
      <c r="R193" s="404"/>
      <c r="S193" s="404"/>
      <c r="T193" s="404"/>
      <c r="U193" s="404"/>
      <c r="V193" s="404"/>
      <c r="W193" s="404"/>
      <c r="X193" s="404"/>
      <c r="Y193" s="404"/>
      <c r="Z193" s="404"/>
      <c r="AA193" s="392"/>
      <c r="AB193" s="392"/>
      <c r="AC193" s="392"/>
    </row>
    <row r="194" spans="1:68" ht="14.25" customHeight="1" x14ac:dyDescent="0.25">
      <c r="A194" s="403" t="s">
        <v>66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393"/>
      <c r="AB194" s="393"/>
      <c r="AC194" s="393"/>
    </row>
    <row r="195" spans="1:68" ht="27" customHeight="1" x14ac:dyDescent="0.25">
      <c r="A195" s="55" t="s">
        <v>314</v>
      </c>
      <c r="B195" s="55" t="s">
        <v>315</v>
      </c>
      <c r="C195" s="32">
        <v>4301051782</v>
      </c>
      <c r="D195" s="405">
        <v>4680115884618</v>
      </c>
      <c r="E195" s="406"/>
      <c r="F195" s="396">
        <v>0.6</v>
      </c>
      <c r="G195" s="33">
        <v>6</v>
      </c>
      <c r="H195" s="396">
        <v>3.6</v>
      </c>
      <c r="I195" s="39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5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17"/>
      <c r="R195" s="417"/>
      <c r="S195" s="417"/>
      <c r="T195" s="418"/>
      <c r="U195" s="35"/>
      <c r="V195" s="35"/>
      <c r="W195" s="36" t="s">
        <v>71</v>
      </c>
      <c r="X195" s="397">
        <v>0</v>
      </c>
      <c r="Y195" s="39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316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19"/>
      <c r="B196" s="404"/>
      <c r="C196" s="404"/>
      <c r="D196" s="404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20"/>
      <c r="P196" s="407" t="s">
        <v>76</v>
      </c>
      <c r="Q196" s="408"/>
      <c r="R196" s="408"/>
      <c r="S196" s="408"/>
      <c r="T196" s="408"/>
      <c r="U196" s="408"/>
      <c r="V196" s="409"/>
      <c r="W196" s="38" t="s">
        <v>77</v>
      </c>
      <c r="X196" s="399">
        <f>IFERROR(X195/H195,"0")</f>
        <v>0</v>
      </c>
      <c r="Y196" s="399">
        <f>IFERROR(Y195/H195,"0")</f>
        <v>0</v>
      </c>
      <c r="Z196" s="399">
        <f>IFERROR(IF(Z195="",0,Z195),"0")</f>
        <v>0</v>
      </c>
      <c r="AA196" s="400"/>
      <c r="AB196" s="400"/>
      <c r="AC196" s="400"/>
    </row>
    <row r="197" spans="1:68" x14ac:dyDescent="0.2">
      <c r="A197" s="404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20"/>
      <c r="P197" s="407" t="s">
        <v>76</v>
      </c>
      <c r="Q197" s="408"/>
      <c r="R197" s="408"/>
      <c r="S197" s="408"/>
      <c r="T197" s="408"/>
      <c r="U197" s="408"/>
      <c r="V197" s="409"/>
      <c r="W197" s="38" t="s">
        <v>71</v>
      </c>
      <c r="X197" s="399">
        <f>IFERROR(SUM(X195:X195),"0")</f>
        <v>0</v>
      </c>
      <c r="Y197" s="399">
        <f>IFERROR(SUM(Y195:Y195),"0")</f>
        <v>0</v>
      </c>
      <c r="Z197" s="38"/>
      <c r="AA197" s="400"/>
      <c r="AB197" s="400"/>
      <c r="AC197" s="400"/>
    </row>
    <row r="198" spans="1:68" ht="16.5" customHeight="1" x14ac:dyDescent="0.25">
      <c r="A198" s="414" t="s">
        <v>317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392"/>
      <c r="AB198" s="392"/>
      <c r="AC198" s="392"/>
    </row>
    <row r="199" spans="1:68" ht="14.25" customHeight="1" x14ac:dyDescent="0.25">
      <c r="A199" s="403" t="s">
        <v>86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393"/>
      <c r="AB199" s="393"/>
      <c r="AC199" s="393"/>
    </row>
    <row r="200" spans="1:68" ht="27" customHeight="1" x14ac:dyDescent="0.25">
      <c r="A200" s="55" t="s">
        <v>318</v>
      </c>
      <c r="B200" s="55" t="s">
        <v>319</v>
      </c>
      <c r="C200" s="32">
        <v>4301011662</v>
      </c>
      <c r="D200" s="405">
        <v>4680115883703</v>
      </c>
      <c r="E200" s="406"/>
      <c r="F200" s="396">
        <v>1.35</v>
      </c>
      <c r="G200" s="33">
        <v>8</v>
      </c>
      <c r="H200" s="396">
        <v>10.8</v>
      </c>
      <c r="I200" s="39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4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17"/>
      <c r="R200" s="417"/>
      <c r="S200" s="417"/>
      <c r="T200" s="418"/>
      <c r="U200" s="35"/>
      <c r="V200" s="35"/>
      <c r="W200" s="36" t="s">
        <v>71</v>
      </c>
      <c r="X200" s="397">
        <v>0</v>
      </c>
      <c r="Y200" s="398">
        <f>IFERROR(IF(X200="",0,CEILING((X200/$H200),1)*$H200),"")</f>
        <v>0</v>
      </c>
      <c r="Z200" s="37" t="str">
        <f>IFERROR(IF(Y200=0,"",ROUNDUP(Y200/H200,0)*0.01898),"")</f>
        <v/>
      </c>
      <c r="AA200" s="57" t="s">
        <v>320</v>
      </c>
      <c r="AB200" s="58"/>
      <c r="AC200" s="234" t="s">
        <v>321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19"/>
      <c r="B201" s="404"/>
      <c r="C201" s="404"/>
      <c r="D201" s="404"/>
      <c r="E201" s="404"/>
      <c r="F201" s="404"/>
      <c r="G201" s="404"/>
      <c r="H201" s="404"/>
      <c r="I201" s="404"/>
      <c r="J201" s="404"/>
      <c r="K201" s="404"/>
      <c r="L201" s="404"/>
      <c r="M201" s="404"/>
      <c r="N201" s="404"/>
      <c r="O201" s="420"/>
      <c r="P201" s="407" t="s">
        <v>76</v>
      </c>
      <c r="Q201" s="408"/>
      <c r="R201" s="408"/>
      <c r="S201" s="408"/>
      <c r="T201" s="408"/>
      <c r="U201" s="408"/>
      <c r="V201" s="409"/>
      <c r="W201" s="38" t="s">
        <v>77</v>
      </c>
      <c r="X201" s="399">
        <f>IFERROR(X200/H200,"0")</f>
        <v>0</v>
      </c>
      <c r="Y201" s="399">
        <f>IFERROR(Y200/H200,"0")</f>
        <v>0</v>
      </c>
      <c r="Z201" s="399">
        <f>IFERROR(IF(Z200="",0,Z200),"0")</f>
        <v>0</v>
      </c>
      <c r="AA201" s="400"/>
      <c r="AB201" s="400"/>
      <c r="AC201" s="400"/>
    </row>
    <row r="202" spans="1:68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4"/>
      <c r="O202" s="420"/>
      <c r="P202" s="407" t="s">
        <v>76</v>
      </c>
      <c r="Q202" s="408"/>
      <c r="R202" s="408"/>
      <c r="S202" s="408"/>
      <c r="T202" s="408"/>
      <c r="U202" s="408"/>
      <c r="V202" s="409"/>
      <c r="W202" s="38" t="s">
        <v>71</v>
      </c>
      <c r="X202" s="399">
        <f>IFERROR(SUM(X200:X200),"0")</f>
        <v>0</v>
      </c>
      <c r="Y202" s="399">
        <f>IFERROR(SUM(Y200:Y200),"0")</f>
        <v>0</v>
      </c>
      <c r="Z202" s="38"/>
      <c r="AA202" s="400"/>
      <c r="AB202" s="400"/>
      <c r="AC202" s="400"/>
    </row>
    <row r="203" spans="1:68" ht="16.5" customHeight="1" x14ac:dyDescent="0.25">
      <c r="A203" s="414" t="s">
        <v>322</v>
      </c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4"/>
      <c r="O203" s="404"/>
      <c r="P203" s="404"/>
      <c r="Q203" s="404"/>
      <c r="R203" s="404"/>
      <c r="S203" s="404"/>
      <c r="T203" s="404"/>
      <c r="U203" s="404"/>
      <c r="V203" s="404"/>
      <c r="W203" s="404"/>
      <c r="X203" s="404"/>
      <c r="Y203" s="404"/>
      <c r="Z203" s="404"/>
      <c r="AA203" s="392"/>
      <c r="AB203" s="392"/>
      <c r="AC203" s="392"/>
    </row>
    <row r="204" spans="1:68" ht="14.25" customHeight="1" x14ac:dyDescent="0.25">
      <c r="A204" s="403" t="s">
        <v>86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393"/>
      <c r="AB204" s="393"/>
      <c r="AC204" s="393"/>
    </row>
    <row r="205" spans="1:68" ht="27" customHeight="1" x14ac:dyDescent="0.25">
      <c r="A205" s="55" t="s">
        <v>323</v>
      </c>
      <c r="B205" s="55" t="s">
        <v>324</v>
      </c>
      <c r="C205" s="32">
        <v>4301012024</v>
      </c>
      <c r="D205" s="405">
        <v>4680115885615</v>
      </c>
      <c r="E205" s="406"/>
      <c r="F205" s="396">
        <v>1.35</v>
      </c>
      <c r="G205" s="33">
        <v>8</v>
      </c>
      <c r="H205" s="396">
        <v>10.8</v>
      </c>
      <c r="I205" s="39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5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17"/>
      <c r="R205" s="417"/>
      <c r="S205" s="417"/>
      <c r="T205" s="418"/>
      <c r="U205" s="35"/>
      <c r="V205" s="35"/>
      <c r="W205" s="36" t="s">
        <v>71</v>
      </c>
      <c r="X205" s="397">
        <v>0</v>
      </c>
      <c r="Y205" s="39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325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326</v>
      </c>
      <c r="B206" s="55" t="s">
        <v>327</v>
      </c>
      <c r="C206" s="32">
        <v>4301012016</v>
      </c>
      <c r="D206" s="405">
        <v>4680115885554</v>
      </c>
      <c r="E206" s="406"/>
      <c r="F206" s="396">
        <v>1.35</v>
      </c>
      <c r="G206" s="33">
        <v>8</v>
      </c>
      <c r="H206" s="396">
        <v>10.8</v>
      </c>
      <c r="I206" s="396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17"/>
      <c r="R206" s="417"/>
      <c r="S206" s="417"/>
      <c r="T206" s="418"/>
      <c r="U206" s="35"/>
      <c r="V206" s="35"/>
      <c r="W206" s="36" t="s">
        <v>71</v>
      </c>
      <c r="X206" s="397">
        <v>0</v>
      </c>
      <c r="Y206" s="39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329</v>
      </c>
      <c r="B207" s="55" t="s">
        <v>330</v>
      </c>
      <c r="C207" s="32">
        <v>4301011858</v>
      </c>
      <c r="D207" s="405">
        <v>4680115885646</v>
      </c>
      <c r="E207" s="406"/>
      <c r="F207" s="396">
        <v>1.35</v>
      </c>
      <c r="G207" s="33">
        <v>8</v>
      </c>
      <c r="H207" s="396">
        <v>10.8</v>
      </c>
      <c r="I207" s="396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17"/>
      <c r="R207" s="417"/>
      <c r="S207" s="417"/>
      <c r="T207" s="418"/>
      <c r="U207" s="35"/>
      <c r="V207" s="35"/>
      <c r="W207" s="36" t="s">
        <v>71</v>
      </c>
      <c r="X207" s="397">
        <v>0</v>
      </c>
      <c r="Y207" s="39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332</v>
      </c>
      <c r="B208" s="55" t="s">
        <v>333</v>
      </c>
      <c r="C208" s="32">
        <v>4301011857</v>
      </c>
      <c r="D208" s="405">
        <v>4680115885622</v>
      </c>
      <c r="E208" s="406"/>
      <c r="F208" s="396">
        <v>0.4</v>
      </c>
      <c r="G208" s="33">
        <v>10</v>
      </c>
      <c r="H208" s="396">
        <v>4</v>
      </c>
      <c r="I208" s="39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17"/>
      <c r="R208" s="417"/>
      <c r="S208" s="417"/>
      <c r="T208" s="418"/>
      <c r="U208" s="35"/>
      <c r="V208" s="35"/>
      <c r="W208" s="36" t="s">
        <v>71</v>
      </c>
      <c r="X208" s="397">
        <v>0</v>
      </c>
      <c r="Y208" s="39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325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334</v>
      </c>
      <c r="B209" s="55" t="s">
        <v>335</v>
      </c>
      <c r="C209" s="32">
        <v>4301011859</v>
      </c>
      <c r="D209" s="405">
        <v>4680115885608</v>
      </c>
      <c r="E209" s="406"/>
      <c r="F209" s="396">
        <v>0.4</v>
      </c>
      <c r="G209" s="33">
        <v>10</v>
      </c>
      <c r="H209" s="396">
        <v>4</v>
      </c>
      <c r="I209" s="39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6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17"/>
      <c r="R209" s="417"/>
      <c r="S209" s="417"/>
      <c r="T209" s="418"/>
      <c r="U209" s="35"/>
      <c r="V209" s="35"/>
      <c r="W209" s="36" t="s">
        <v>71</v>
      </c>
      <c r="X209" s="397">
        <v>0</v>
      </c>
      <c r="Y209" s="39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336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19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20"/>
      <c r="P210" s="407" t="s">
        <v>76</v>
      </c>
      <c r="Q210" s="408"/>
      <c r="R210" s="408"/>
      <c r="S210" s="408"/>
      <c r="T210" s="408"/>
      <c r="U210" s="408"/>
      <c r="V210" s="409"/>
      <c r="W210" s="38" t="s">
        <v>77</v>
      </c>
      <c r="X210" s="399">
        <f>IFERROR(X205/H205,"0")+IFERROR(X206/H206,"0")+IFERROR(X207/H207,"0")+IFERROR(X208/H208,"0")+IFERROR(X209/H209,"0")</f>
        <v>0</v>
      </c>
      <c r="Y210" s="399">
        <f>IFERROR(Y205/H205,"0")+IFERROR(Y206/H206,"0")+IFERROR(Y207/H207,"0")+IFERROR(Y208/H208,"0")+IFERROR(Y209/H209,"0")</f>
        <v>0</v>
      </c>
      <c r="Z210" s="399">
        <f>IFERROR(IF(Z205="",0,Z205),"0")+IFERROR(IF(Z206="",0,Z206),"0")+IFERROR(IF(Z207="",0,Z207),"0")+IFERROR(IF(Z208="",0,Z208),"0")+IFERROR(IF(Z209="",0,Z209),"0")</f>
        <v>0</v>
      </c>
      <c r="AA210" s="400"/>
      <c r="AB210" s="400"/>
      <c r="AC210" s="400"/>
    </row>
    <row r="211" spans="1:68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4"/>
      <c r="O211" s="420"/>
      <c r="P211" s="407" t="s">
        <v>76</v>
      </c>
      <c r="Q211" s="408"/>
      <c r="R211" s="408"/>
      <c r="S211" s="408"/>
      <c r="T211" s="408"/>
      <c r="U211" s="408"/>
      <c r="V211" s="409"/>
      <c r="W211" s="38" t="s">
        <v>71</v>
      </c>
      <c r="X211" s="399">
        <f>IFERROR(SUM(X205:X209),"0")</f>
        <v>0</v>
      </c>
      <c r="Y211" s="399">
        <f>IFERROR(SUM(Y205:Y209),"0")</f>
        <v>0</v>
      </c>
      <c r="Z211" s="38"/>
      <c r="AA211" s="400"/>
      <c r="AB211" s="400"/>
      <c r="AC211" s="400"/>
    </row>
    <row r="212" spans="1:68" ht="14.25" customHeight="1" x14ac:dyDescent="0.25">
      <c r="A212" s="403" t="s">
        <v>182</v>
      </c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4"/>
      <c r="P212" s="404"/>
      <c r="Q212" s="404"/>
      <c r="R212" s="404"/>
      <c r="S212" s="404"/>
      <c r="T212" s="404"/>
      <c r="U212" s="404"/>
      <c r="V212" s="404"/>
      <c r="W212" s="404"/>
      <c r="X212" s="404"/>
      <c r="Y212" s="404"/>
      <c r="Z212" s="404"/>
      <c r="AA212" s="393"/>
      <c r="AB212" s="393"/>
      <c r="AC212" s="393"/>
    </row>
    <row r="213" spans="1:68" ht="27" customHeight="1" x14ac:dyDescent="0.25">
      <c r="A213" s="55" t="s">
        <v>337</v>
      </c>
      <c r="B213" s="55" t="s">
        <v>338</v>
      </c>
      <c r="C213" s="32">
        <v>4301030878</v>
      </c>
      <c r="D213" s="405">
        <v>4607091387193</v>
      </c>
      <c r="E213" s="406"/>
      <c r="F213" s="396">
        <v>0.7</v>
      </c>
      <c r="G213" s="33">
        <v>6</v>
      </c>
      <c r="H213" s="396">
        <v>4.2</v>
      </c>
      <c r="I213" s="39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17"/>
      <c r="R213" s="417"/>
      <c r="S213" s="417"/>
      <c r="T213" s="418"/>
      <c r="U213" s="35"/>
      <c r="V213" s="35"/>
      <c r="W213" s="36" t="s">
        <v>71</v>
      </c>
      <c r="X213" s="397">
        <v>0</v>
      </c>
      <c r="Y213" s="39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339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340</v>
      </c>
      <c r="B214" s="55" t="s">
        <v>341</v>
      </c>
      <c r="C214" s="32">
        <v>4301031153</v>
      </c>
      <c r="D214" s="405">
        <v>4607091387230</v>
      </c>
      <c r="E214" s="406"/>
      <c r="F214" s="396">
        <v>0.7</v>
      </c>
      <c r="G214" s="33">
        <v>6</v>
      </c>
      <c r="H214" s="396">
        <v>4.2</v>
      </c>
      <c r="I214" s="39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17"/>
      <c r="R214" s="417"/>
      <c r="S214" s="417"/>
      <c r="T214" s="418"/>
      <c r="U214" s="35"/>
      <c r="V214" s="35"/>
      <c r="W214" s="36" t="s">
        <v>71</v>
      </c>
      <c r="X214" s="397">
        <v>0</v>
      </c>
      <c r="Y214" s="39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4301031154</v>
      </c>
      <c r="D215" s="405">
        <v>4607091387292</v>
      </c>
      <c r="E215" s="406"/>
      <c r="F215" s="396">
        <v>0.73</v>
      </c>
      <c r="G215" s="33">
        <v>6</v>
      </c>
      <c r="H215" s="396">
        <v>4.38</v>
      </c>
      <c r="I215" s="39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6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17"/>
      <c r="R215" s="417"/>
      <c r="S215" s="417"/>
      <c r="T215" s="418"/>
      <c r="U215" s="35"/>
      <c r="V215" s="35"/>
      <c r="W215" s="36" t="s">
        <v>71</v>
      </c>
      <c r="X215" s="397">
        <v>0</v>
      </c>
      <c r="Y215" s="39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4301031152</v>
      </c>
      <c r="D216" s="405">
        <v>4607091387285</v>
      </c>
      <c r="E216" s="406"/>
      <c r="F216" s="396">
        <v>0.35</v>
      </c>
      <c r="G216" s="33">
        <v>6</v>
      </c>
      <c r="H216" s="396">
        <v>2.1</v>
      </c>
      <c r="I216" s="396">
        <v>2.23</v>
      </c>
      <c r="J216" s="33">
        <v>234</v>
      </c>
      <c r="K216" s="33" t="s">
        <v>166</v>
      </c>
      <c r="L216" s="33"/>
      <c r="M216" s="34" t="s">
        <v>70</v>
      </c>
      <c r="N216" s="34"/>
      <c r="O216" s="33">
        <v>40</v>
      </c>
      <c r="P216" s="5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17"/>
      <c r="R216" s="417"/>
      <c r="S216" s="417"/>
      <c r="T216" s="418"/>
      <c r="U216" s="35"/>
      <c r="V216" s="35"/>
      <c r="W216" s="36" t="s">
        <v>71</v>
      </c>
      <c r="X216" s="397">
        <v>0</v>
      </c>
      <c r="Y216" s="39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342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348</v>
      </c>
      <c r="B217" s="55" t="s">
        <v>349</v>
      </c>
      <c r="C217" s="32">
        <v>4301031305</v>
      </c>
      <c r="D217" s="405">
        <v>4607091389845</v>
      </c>
      <c r="E217" s="406"/>
      <c r="F217" s="396">
        <v>0.35</v>
      </c>
      <c r="G217" s="33">
        <v>6</v>
      </c>
      <c r="H217" s="396">
        <v>2.1</v>
      </c>
      <c r="I217" s="396">
        <v>2.2000000000000002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17"/>
      <c r="R217" s="417"/>
      <c r="S217" s="417"/>
      <c r="T217" s="418"/>
      <c r="U217" s="35"/>
      <c r="V217" s="35"/>
      <c r="W217" s="36" t="s">
        <v>71</v>
      </c>
      <c r="X217" s="397">
        <v>0</v>
      </c>
      <c r="Y217" s="39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350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4301031066</v>
      </c>
      <c r="D218" s="405">
        <v>4607091383836</v>
      </c>
      <c r="E218" s="406"/>
      <c r="F218" s="396">
        <v>0.3</v>
      </c>
      <c r="G218" s="33">
        <v>6</v>
      </c>
      <c r="H218" s="396">
        <v>1.8</v>
      </c>
      <c r="I218" s="39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42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17"/>
      <c r="R218" s="417"/>
      <c r="S218" s="417"/>
      <c r="T218" s="418"/>
      <c r="U218" s="35"/>
      <c r="V218" s="35"/>
      <c r="W218" s="36" t="s">
        <v>71</v>
      </c>
      <c r="X218" s="397">
        <v>0</v>
      </c>
      <c r="Y218" s="39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19"/>
      <c r="B219" s="404"/>
      <c r="C219" s="404"/>
      <c r="D219" s="404"/>
      <c r="E219" s="404"/>
      <c r="F219" s="404"/>
      <c r="G219" s="404"/>
      <c r="H219" s="404"/>
      <c r="I219" s="404"/>
      <c r="J219" s="404"/>
      <c r="K219" s="404"/>
      <c r="L219" s="404"/>
      <c r="M219" s="404"/>
      <c r="N219" s="404"/>
      <c r="O219" s="420"/>
      <c r="P219" s="407" t="s">
        <v>76</v>
      </c>
      <c r="Q219" s="408"/>
      <c r="R219" s="408"/>
      <c r="S219" s="408"/>
      <c r="T219" s="408"/>
      <c r="U219" s="408"/>
      <c r="V219" s="409"/>
      <c r="W219" s="38" t="s">
        <v>77</v>
      </c>
      <c r="X219" s="399">
        <f>IFERROR(X213/H213,"0")+IFERROR(X214/H214,"0")+IFERROR(X215/H215,"0")+IFERROR(X216/H216,"0")+IFERROR(X217/H217,"0")+IFERROR(X218/H218,"0")</f>
        <v>0</v>
      </c>
      <c r="Y219" s="399">
        <f>IFERROR(Y213/H213,"0")+IFERROR(Y214/H214,"0")+IFERROR(Y215/H215,"0")+IFERROR(Y216/H216,"0")+IFERROR(Y217/H217,"0")+IFERROR(Y218/H218,"0")</f>
        <v>0</v>
      </c>
      <c r="Z219" s="399">
        <f>IFERROR(IF(Z213="",0,Z213),"0")+IFERROR(IF(Z214="",0,Z214),"0")+IFERROR(IF(Z215="",0,Z215),"0")+IFERROR(IF(Z216="",0,Z216),"0")+IFERROR(IF(Z217="",0,Z217),"0")+IFERROR(IF(Z218="",0,Z218),"0")</f>
        <v>0</v>
      </c>
      <c r="AA219" s="400"/>
      <c r="AB219" s="400"/>
      <c r="AC219" s="400"/>
    </row>
    <row r="220" spans="1:68" x14ac:dyDescent="0.2">
      <c r="A220" s="404"/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20"/>
      <c r="P220" s="407" t="s">
        <v>76</v>
      </c>
      <c r="Q220" s="408"/>
      <c r="R220" s="408"/>
      <c r="S220" s="408"/>
      <c r="T220" s="408"/>
      <c r="U220" s="408"/>
      <c r="V220" s="409"/>
      <c r="W220" s="38" t="s">
        <v>71</v>
      </c>
      <c r="X220" s="399">
        <f>IFERROR(SUM(X213:X218),"0")</f>
        <v>0</v>
      </c>
      <c r="Y220" s="399">
        <f>IFERROR(SUM(Y213:Y218),"0")</f>
        <v>0</v>
      </c>
      <c r="Z220" s="38"/>
      <c r="AA220" s="400"/>
      <c r="AB220" s="400"/>
      <c r="AC220" s="400"/>
    </row>
    <row r="221" spans="1:68" ht="14.25" customHeight="1" x14ac:dyDescent="0.25">
      <c r="A221" s="403" t="s">
        <v>66</v>
      </c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4"/>
      <c r="P221" s="404"/>
      <c r="Q221" s="404"/>
      <c r="R221" s="404"/>
      <c r="S221" s="404"/>
      <c r="T221" s="404"/>
      <c r="U221" s="404"/>
      <c r="V221" s="404"/>
      <c r="W221" s="404"/>
      <c r="X221" s="404"/>
      <c r="Y221" s="404"/>
      <c r="Z221" s="404"/>
      <c r="AA221" s="393"/>
      <c r="AB221" s="393"/>
      <c r="AC221" s="393"/>
    </row>
    <row r="222" spans="1:68" ht="27" customHeight="1" x14ac:dyDescent="0.25">
      <c r="A222" s="55" t="s">
        <v>354</v>
      </c>
      <c r="B222" s="55" t="s">
        <v>355</v>
      </c>
      <c r="C222" s="32">
        <v>4301051100</v>
      </c>
      <c r="D222" s="405">
        <v>4607091387766</v>
      </c>
      <c r="E222" s="406"/>
      <c r="F222" s="396">
        <v>1.3</v>
      </c>
      <c r="G222" s="33">
        <v>6</v>
      </c>
      <c r="H222" s="396">
        <v>7.8</v>
      </c>
      <c r="I222" s="39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17"/>
      <c r="R222" s="417"/>
      <c r="S222" s="417"/>
      <c r="T222" s="418"/>
      <c r="U222" s="35"/>
      <c r="V222" s="35"/>
      <c r="W222" s="36" t="s">
        <v>71</v>
      </c>
      <c r="X222" s="397">
        <v>0</v>
      </c>
      <c r="Y222" s="39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356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357</v>
      </c>
      <c r="B223" s="55" t="s">
        <v>358</v>
      </c>
      <c r="C223" s="32">
        <v>4301051818</v>
      </c>
      <c r="D223" s="405">
        <v>4607091387957</v>
      </c>
      <c r="E223" s="406"/>
      <c r="F223" s="396">
        <v>1.3</v>
      </c>
      <c r="G223" s="33">
        <v>6</v>
      </c>
      <c r="H223" s="396">
        <v>7.8</v>
      </c>
      <c r="I223" s="39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5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17"/>
      <c r="R223" s="417"/>
      <c r="S223" s="417"/>
      <c r="T223" s="418"/>
      <c r="U223" s="35"/>
      <c r="V223" s="35"/>
      <c r="W223" s="36" t="s">
        <v>71</v>
      </c>
      <c r="X223" s="397">
        <v>0</v>
      </c>
      <c r="Y223" s="39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4301051819</v>
      </c>
      <c r="D224" s="405">
        <v>4607091387964</v>
      </c>
      <c r="E224" s="406"/>
      <c r="F224" s="396">
        <v>1.35</v>
      </c>
      <c r="G224" s="33">
        <v>6</v>
      </c>
      <c r="H224" s="396">
        <v>8.1</v>
      </c>
      <c r="I224" s="39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17"/>
      <c r="R224" s="417"/>
      <c r="S224" s="417"/>
      <c r="T224" s="418"/>
      <c r="U224" s="35"/>
      <c r="V224" s="35"/>
      <c r="W224" s="36" t="s">
        <v>71</v>
      </c>
      <c r="X224" s="397">
        <v>80</v>
      </c>
      <c r="Y224" s="398">
        <f>IFERROR(IF(X224="",0,CEILING((X224/$H224),1)*$H224),"")</f>
        <v>81</v>
      </c>
      <c r="Z224" s="37">
        <f>IFERROR(IF(Y224=0,"",ROUNDUP(Y224/H224,0)*0.01898),"")</f>
        <v>0.1898</v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84.948148148148164</v>
      </c>
      <c r="BN224" s="65">
        <f>IFERROR(Y224*I224/H224,"0")</f>
        <v>86.01</v>
      </c>
      <c r="BO224" s="65">
        <f>IFERROR(1/J224*(X224/H224),"0")</f>
        <v>0.15432098765432101</v>
      </c>
      <c r="BP224" s="65">
        <f>IFERROR(1/J224*(Y224/H224),"0")</f>
        <v>0.15625</v>
      </c>
    </row>
    <row r="225" spans="1:68" ht="27" customHeight="1" x14ac:dyDescent="0.25">
      <c r="A225" s="55" t="s">
        <v>363</v>
      </c>
      <c r="B225" s="55" t="s">
        <v>364</v>
      </c>
      <c r="C225" s="32">
        <v>4301051734</v>
      </c>
      <c r="D225" s="405">
        <v>4680115884588</v>
      </c>
      <c r="E225" s="406"/>
      <c r="F225" s="396">
        <v>0.5</v>
      </c>
      <c r="G225" s="33">
        <v>6</v>
      </c>
      <c r="H225" s="396">
        <v>3</v>
      </c>
      <c r="I225" s="39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4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17"/>
      <c r="R225" s="417"/>
      <c r="S225" s="417"/>
      <c r="T225" s="418"/>
      <c r="U225" s="35"/>
      <c r="V225" s="35"/>
      <c r="W225" s="36" t="s">
        <v>71</v>
      </c>
      <c r="X225" s="397">
        <v>0</v>
      </c>
      <c r="Y225" s="39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4301051578</v>
      </c>
      <c r="D226" s="405">
        <v>4607091387513</v>
      </c>
      <c r="E226" s="406"/>
      <c r="F226" s="396">
        <v>0.45</v>
      </c>
      <c r="G226" s="33">
        <v>6</v>
      </c>
      <c r="H226" s="396">
        <v>2.7</v>
      </c>
      <c r="I226" s="39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17"/>
      <c r="R226" s="417"/>
      <c r="S226" s="417"/>
      <c r="T226" s="418"/>
      <c r="U226" s="35"/>
      <c r="V226" s="35"/>
      <c r="W226" s="36" t="s">
        <v>71</v>
      </c>
      <c r="X226" s="397">
        <v>0</v>
      </c>
      <c r="Y226" s="39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19"/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20"/>
      <c r="P227" s="407" t="s">
        <v>76</v>
      </c>
      <c r="Q227" s="408"/>
      <c r="R227" s="408"/>
      <c r="S227" s="408"/>
      <c r="T227" s="408"/>
      <c r="U227" s="408"/>
      <c r="V227" s="409"/>
      <c r="W227" s="38" t="s">
        <v>77</v>
      </c>
      <c r="X227" s="399">
        <f>IFERROR(X222/H222,"0")+IFERROR(X223/H223,"0")+IFERROR(X224/H224,"0")+IFERROR(X225/H225,"0")+IFERROR(X226/H226,"0")</f>
        <v>9.8765432098765444</v>
      </c>
      <c r="Y227" s="399">
        <f>IFERROR(Y222/H222,"0")+IFERROR(Y223/H223,"0")+IFERROR(Y224/H224,"0")+IFERROR(Y225/H225,"0")+IFERROR(Y226/H226,"0")</f>
        <v>10</v>
      </c>
      <c r="Z227" s="399">
        <f>IFERROR(IF(Z222="",0,Z222),"0")+IFERROR(IF(Z223="",0,Z223),"0")+IFERROR(IF(Z224="",0,Z224),"0")+IFERROR(IF(Z225="",0,Z225),"0")+IFERROR(IF(Z226="",0,Z226),"0")</f>
        <v>0.1898</v>
      </c>
      <c r="AA227" s="400"/>
      <c r="AB227" s="400"/>
      <c r="AC227" s="400"/>
    </row>
    <row r="228" spans="1:68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4"/>
      <c r="O228" s="420"/>
      <c r="P228" s="407" t="s">
        <v>76</v>
      </c>
      <c r="Q228" s="408"/>
      <c r="R228" s="408"/>
      <c r="S228" s="408"/>
      <c r="T228" s="408"/>
      <c r="U228" s="408"/>
      <c r="V228" s="409"/>
      <c r="W228" s="38" t="s">
        <v>71</v>
      </c>
      <c r="X228" s="399">
        <f>IFERROR(SUM(X222:X226),"0")</f>
        <v>80</v>
      </c>
      <c r="Y228" s="399">
        <f>IFERROR(SUM(Y222:Y226),"0")</f>
        <v>81</v>
      </c>
      <c r="Z228" s="38"/>
      <c r="AA228" s="400"/>
      <c r="AB228" s="400"/>
      <c r="AC228" s="400"/>
    </row>
    <row r="229" spans="1:68" ht="14.25" customHeight="1" x14ac:dyDescent="0.25">
      <c r="A229" s="403" t="s">
        <v>128</v>
      </c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4"/>
      <c r="O229" s="404"/>
      <c r="P229" s="404"/>
      <c r="Q229" s="404"/>
      <c r="R229" s="404"/>
      <c r="S229" s="404"/>
      <c r="T229" s="404"/>
      <c r="U229" s="404"/>
      <c r="V229" s="404"/>
      <c r="W229" s="404"/>
      <c r="X229" s="404"/>
      <c r="Y229" s="404"/>
      <c r="Z229" s="404"/>
      <c r="AA229" s="393"/>
      <c r="AB229" s="393"/>
      <c r="AC229" s="393"/>
    </row>
    <row r="230" spans="1:68" ht="27" customHeight="1" x14ac:dyDescent="0.25">
      <c r="A230" s="55" t="s">
        <v>369</v>
      </c>
      <c r="B230" s="55" t="s">
        <v>370</v>
      </c>
      <c r="C230" s="32">
        <v>4301060387</v>
      </c>
      <c r="D230" s="405">
        <v>4607091380880</v>
      </c>
      <c r="E230" s="406"/>
      <c r="F230" s="396">
        <v>1.4</v>
      </c>
      <c r="G230" s="33">
        <v>6</v>
      </c>
      <c r="H230" s="396">
        <v>8.4</v>
      </c>
      <c r="I230" s="39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6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17"/>
      <c r="R230" s="417"/>
      <c r="S230" s="417"/>
      <c r="T230" s="418"/>
      <c r="U230" s="35"/>
      <c r="V230" s="35"/>
      <c r="W230" s="36" t="s">
        <v>71</v>
      </c>
      <c r="X230" s="397">
        <v>0</v>
      </c>
      <c r="Y230" s="39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371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372</v>
      </c>
      <c r="B231" s="55" t="s">
        <v>373</v>
      </c>
      <c r="C231" s="32">
        <v>4301060406</v>
      </c>
      <c r="D231" s="405">
        <v>4607091384482</v>
      </c>
      <c r="E231" s="406"/>
      <c r="F231" s="396">
        <v>1.3</v>
      </c>
      <c r="G231" s="33">
        <v>6</v>
      </c>
      <c r="H231" s="396">
        <v>7.8</v>
      </c>
      <c r="I231" s="39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6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17"/>
      <c r="R231" s="417"/>
      <c r="S231" s="417"/>
      <c r="T231" s="418"/>
      <c r="U231" s="35"/>
      <c r="V231" s="35"/>
      <c r="W231" s="36" t="s">
        <v>71</v>
      </c>
      <c r="X231" s="397">
        <v>0</v>
      </c>
      <c r="Y231" s="39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375</v>
      </c>
      <c r="B232" s="55" t="s">
        <v>376</v>
      </c>
      <c r="C232" s="32">
        <v>4301060484</v>
      </c>
      <c r="D232" s="405">
        <v>4607091380897</v>
      </c>
      <c r="E232" s="406"/>
      <c r="F232" s="396">
        <v>1.4</v>
      </c>
      <c r="G232" s="33">
        <v>6</v>
      </c>
      <c r="H232" s="396">
        <v>8.4</v>
      </c>
      <c r="I232" s="39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17"/>
      <c r="R232" s="417"/>
      <c r="S232" s="417"/>
      <c r="T232" s="418"/>
      <c r="U232" s="35"/>
      <c r="V232" s="35"/>
      <c r="W232" s="36" t="s">
        <v>71</v>
      </c>
      <c r="X232" s="397">
        <v>0</v>
      </c>
      <c r="Y232" s="39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19"/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20"/>
      <c r="P233" s="407" t="s">
        <v>76</v>
      </c>
      <c r="Q233" s="408"/>
      <c r="R233" s="408"/>
      <c r="S233" s="408"/>
      <c r="T233" s="408"/>
      <c r="U233" s="408"/>
      <c r="V233" s="409"/>
      <c r="W233" s="38" t="s">
        <v>77</v>
      </c>
      <c r="X233" s="399">
        <f>IFERROR(X230/H230,"0")+IFERROR(X231/H231,"0")+IFERROR(X232/H232,"0")</f>
        <v>0</v>
      </c>
      <c r="Y233" s="399">
        <f>IFERROR(Y230/H230,"0")+IFERROR(Y231/H231,"0")+IFERROR(Y232/H232,"0")</f>
        <v>0</v>
      </c>
      <c r="Z233" s="399">
        <f>IFERROR(IF(Z230="",0,Z230),"0")+IFERROR(IF(Z231="",0,Z231),"0")+IFERROR(IF(Z232="",0,Z232),"0")</f>
        <v>0</v>
      </c>
      <c r="AA233" s="400"/>
      <c r="AB233" s="400"/>
      <c r="AC233" s="400"/>
    </row>
    <row r="234" spans="1:68" x14ac:dyDescent="0.2">
      <c r="A234" s="404"/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20"/>
      <c r="P234" s="407" t="s">
        <v>76</v>
      </c>
      <c r="Q234" s="408"/>
      <c r="R234" s="408"/>
      <c r="S234" s="408"/>
      <c r="T234" s="408"/>
      <c r="U234" s="408"/>
      <c r="V234" s="409"/>
      <c r="W234" s="38" t="s">
        <v>71</v>
      </c>
      <c r="X234" s="399">
        <f>IFERROR(SUM(X230:X232),"0")</f>
        <v>0</v>
      </c>
      <c r="Y234" s="399">
        <f>IFERROR(SUM(Y230:Y232),"0")</f>
        <v>0</v>
      </c>
      <c r="Z234" s="38"/>
      <c r="AA234" s="400"/>
      <c r="AB234" s="400"/>
      <c r="AC234" s="400"/>
    </row>
    <row r="235" spans="1:68" ht="14.25" customHeight="1" x14ac:dyDescent="0.25">
      <c r="A235" s="403" t="s">
        <v>78</v>
      </c>
      <c r="B235" s="404"/>
      <c r="C235" s="404"/>
      <c r="D235" s="404"/>
      <c r="E235" s="404"/>
      <c r="F235" s="404"/>
      <c r="G235" s="404"/>
      <c r="H235" s="404"/>
      <c r="I235" s="404"/>
      <c r="J235" s="404"/>
      <c r="K235" s="404"/>
      <c r="L235" s="404"/>
      <c r="M235" s="404"/>
      <c r="N235" s="404"/>
      <c r="O235" s="404"/>
      <c r="P235" s="404"/>
      <c r="Q235" s="404"/>
      <c r="R235" s="404"/>
      <c r="S235" s="404"/>
      <c r="T235" s="404"/>
      <c r="U235" s="404"/>
      <c r="V235" s="404"/>
      <c r="W235" s="404"/>
      <c r="X235" s="404"/>
      <c r="Y235" s="404"/>
      <c r="Z235" s="404"/>
      <c r="AA235" s="393"/>
      <c r="AB235" s="393"/>
      <c r="AC235" s="393"/>
    </row>
    <row r="236" spans="1:68" ht="27" customHeight="1" x14ac:dyDescent="0.25">
      <c r="A236" s="55" t="s">
        <v>378</v>
      </c>
      <c r="B236" s="55" t="s">
        <v>379</v>
      </c>
      <c r="C236" s="32">
        <v>4301030235</v>
      </c>
      <c r="D236" s="405">
        <v>4607091388381</v>
      </c>
      <c r="E236" s="406"/>
      <c r="F236" s="396">
        <v>0.38</v>
      </c>
      <c r="G236" s="33">
        <v>8</v>
      </c>
      <c r="H236" s="396">
        <v>3.04</v>
      </c>
      <c r="I236" s="39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630" t="s">
        <v>380</v>
      </c>
      <c r="Q236" s="417"/>
      <c r="R236" s="417"/>
      <c r="S236" s="417"/>
      <c r="T236" s="418"/>
      <c r="U236" s="35"/>
      <c r="V236" s="35"/>
      <c r="W236" s="36" t="s">
        <v>71</v>
      </c>
      <c r="X236" s="397">
        <v>0</v>
      </c>
      <c r="Y236" s="39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381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382</v>
      </c>
      <c r="B237" s="55" t="s">
        <v>383</v>
      </c>
      <c r="C237" s="32">
        <v>4301030232</v>
      </c>
      <c r="D237" s="405">
        <v>4607091388374</v>
      </c>
      <c r="E237" s="406"/>
      <c r="F237" s="396">
        <v>0.38</v>
      </c>
      <c r="G237" s="33">
        <v>8</v>
      </c>
      <c r="H237" s="396">
        <v>3.04</v>
      </c>
      <c r="I237" s="39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617" t="s">
        <v>384</v>
      </c>
      <c r="Q237" s="417"/>
      <c r="R237" s="417"/>
      <c r="S237" s="417"/>
      <c r="T237" s="418"/>
      <c r="U237" s="35"/>
      <c r="V237" s="35"/>
      <c r="W237" s="36" t="s">
        <v>71</v>
      </c>
      <c r="X237" s="397">
        <v>0</v>
      </c>
      <c r="Y237" s="39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381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4301032015</v>
      </c>
      <c r="D238" s="405">
        <v>4607091383102</v>
      </c>
      <c r="E238" s="406"/>
      <c r="F238" s="396">
        <v>0.17</v>
      </c>
      <c r="G238" s="33">
        <v>15</v>
      </c>
      <c r="H238" s="396">
        <v>2.5499999999999998</v>
      </c>
      <c r="I238" s="39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17"/>
      <c r="R238" s="417"/>
      <c r="S238" s="417"/>
      <c r="T238" s="418"/>
      <c r="U238" s="35"/>
      <c r="V238" s="35"/>
      <c r="W238" s="36" t="s">
        <v>71</v>
      </c>
      <c r="X238" s="397">
        <v>0</v>
      </c>
      <c r="Y238" s="39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387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388</v>
      </c>
      <c r="B239" s="55" t="s">
        <v>389</v>
      </c>
      <c r="C239" s="32">
        <v>4301030233</v>
      </c>
      <c r="D239" s="405">
        <v>4607091388404</v>
      </c>
      <c r="E239" s="406"/>
      <c r="F239" s="396">
        <v>0.17</v>
      </c>
      <c r="G239" s="33">
        <v>15</v>
      </c>
      <c r="H239" s="396">
        <v>2.5499999999999998</v>
      </c>
      <c r="I239" s="39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17"/>
      <c r="R239" s="417"/>
      <c r="S239" s="417"/>
      <c r="T239" s="418"/>
      <c r="U239" s="35"/>
      <c r="V239" s="35"/>
      <c r="W239" s="36" t="s">
        <v>71</v>
      </c>
      <c r="X239" s="397">
        <v>0</v>
      </c>
      <c r="Y239" s="398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19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20"/>
      <c r="P240" s="407" t="s">
        <v>76</v>
      </c>
      <c r="Q240" s="408"/>
      <c r="R240" s="408"/>
      <c r="S240" s="408"/>
      <c r="T240" s="408"/>
      <c r="U240" s="408"/>
      <c r="V240" s="409"/>
      <c r="W240" s="38" t="s">
        <v>77</v>
      </c>
      <c r="X240" s="399">
        <f>IFERROR(X236/H236,"0")+IFERROR(X237/H237,"0")+IFERROR(X238/H238,"0")+IFERROR(X239/H239,"0")</f>
        <v>0</v>
      </c>
      <c r="Y240" s="399">
        <f>IFERROR(Y236/H236,"0")+IFERROR(Y237/H237,"0")+IFERROR(Y238/H238,"0")+IFERROR(Y239/H239,"0")</f>
        <v>0</v>
      </c>
      <c r="Z240" s="399">
        <f>IFERROR(IF(Z236="",0,Z236),"0")+IFERROR(IF(Z237="",0,Z237),"0")+IFERROR(IF(Z238="",0,Z238),"0")+IFERROR(IF(Z239="",0,Z239),"0")</f>
        <v>0</v>
      </c>
      <c r="AA240" s="400"/>
      <c r="AB240" s="400"/>
      <c r="AC240" s="400"/>
    </row>
    <row r="241" spans="1:68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4"/>
      <c r="O241" s="420"/>
      <c r="P241" s="407" t="s">
        <v>76</v>
      </c>
      <c r="Q241" s="408"/>
      <c r="R241" s="408"/>
      <c r="S241" s="408"/>
      <c r="T241" s="408"/>
      <c r="U241" s="408"/>
      <c r="V241" s="409"/>
      <c r="W241" s="38" t="s">
        <v>71</v>
      </c>
      <c r="X241" s="399">
        <f>IFERROR(SUM(X236:X239),"0")</f>
        <v>0</v>
      </c>
      <c r="Y241" s="399">
        <f>IFERROR(SUM(Y236:Y239),"0")</f>
        <v>0</v>
      </c>
      <c r="Z241" s="38"/>
      <c r="AA241" s="400"/>
      <c r="AB241" s="400"/>
      <c r="AC241" s="400"/>
    </row>
    <row r="242" spans="1:68" ht="14.25" customHeight="1" x14ac:dyDescent="0.25">
      <c r="A242" s="403" t="s">
        <v>390</v>
      </c>
      <c r="B242" s="404"/>
      <c r="C242" s="404"/>
      <c r="D242" s="404"/>
      <c r="E242" s="404"/>
      <c r="F242" s="404"/>
      <c r="G242" s="404"/>
      <c r="H242" s="404"/>
      <c r="I242" s="404"/>
      <c r="J242" s="404"/>
      <c r="K242" s="404"/>
      <c r="L242" s="404"/>
      <c r="M242" s="404"/>
      <c r="N242" s="404"/>
      <c r="O242" s="404"/>
      <c r="P242" s="404"/>
      <c r="Q242" s="404"/>
      <c r="R242" s="404"/>
      <c r="S242" s="404"/>
      <c r="T242" s="404"/>
      <c r="U242" s="404"/>
      <c r="V242" s="404"/>
      <c r="W242" s="404"/>
      <c r="X242" s="404"/>
      <c r="Y242" s="404"/>
      <c r="Z242" s="404"/>
      <c r="AA242" s="393"/>
      <c r="AB242" s="393"/>
      <c r="AC242" s="393"/>
    </row>
    <row r="243" spans="1:68" ht="16.5" customHeight="1" x14ac:dyDescent="0.25">
      <c r="A243" s="55" t="s">
        <v>391</v>
      </c>
      <c r="B243" s="55" t="s">
        <v>392</v>
      </c>
      <c r="C243" s="32">
        <v>4301180007</v>
      </c>
      <c r="D243" s="405">
        <v>4680115881808</v>
      </c>
      <c r="E243" s="406"/>
      <c r="F243" s="396">
        <v>0.1</v>
      </c>
      <c r="G243" s="33">
        <v>20</v>
      </c>
      <c r="H243" s="396">
        <v>2</v>
      </c>
      <c r="I243" s="396">
        <v>2.2400000000000002</v>
      </c>
      <c r="J243" s="33">
        <v>238</v>
      </c>
      <c r="K243" s="33" t="s">
        <v>69</v>
      </c>
      <c r="L243" s="33"/>
      <c r="M243" s="34" t="s">
        <v>393</v>
      </c>
      <c r="N243" s="34"/>
      <c r="O243" s="33">
        <v>730</v>
      </c>
      <c r="P243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17"/>
      <c r="R243" s="417"/>
      <c r="S243" s="417"/>
      <c r="T243" s="418"/>
      <c r="U243" s="35"/>
      <c r="V243" s="35"/>
      <c r="W243" s="36" t="s">
        <v>71</v>
      </c>
      <c r="X243" s="397">
        <v>0</v>
      </c>
      <c r="Y243" s="39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394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395</v>
      </c>
      <c r="B244" s="55" t="s">
        <v>396</v>
      </c>
      <c r="C244" s="32">
        <v>4301180006</v>
      </c>
      <c r="D244" s="405">
        <v>4680115881822</v>
      </c>
      <c r="E244" s="406"/>
      <c r="F244" s="396">
        <v>0.1</v>
      </c>
      <c r="G244" s="33">
        <v>20</v>
      </c>
      <c r="H244" s="396">
        <v>2</v>
      </c>
      <c r="I244" s="396">
        <v>2.2400000000000002</v>
      </c>
      <c r="J244" s="33">
        <v>238</v>
      </c>
      <c r="K244" s="33" t="s">
        <v>69</v>
      </c>
      <c r="L244" s="33"/>
      <c r="M244" s="34" t="s">
        <v>393</v>
      </c>
      <c r="N244" s="34"/>
      <c r="O244" s="33">
        <v>730</v>
      </c>
      <c r="P244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17"/>
      <c r="R244" s="417"/>
      <c r="S244" s="417"/>
      <c r="T244" s="418"/>
      <c r="U244" s="35"/>
      <c r="V244" s="35"/>
      <c r="W244" s="36" t="s">
        <v>71</v>
      </c>
      <c r="X244" s="397">
        <v>0</v>
      </c>
      <c r="Y244" s="39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394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397</v>
      </c>
      <c r="B245" s="55" t="s">
        <v>398</v>
      </c>
      <c r="C245" s="32">
        <v>4301180001</v>
      </c>
      <c r="D245" s="405">
        <v>4680115880016</v>
      </c>
      <c r="E245" s="406"/>
      <c r="F245" s="396">
        <v>0.1</v>
      </c>
      <c r="G245" s="33">
        <v>20</v>
      </c>
      <c r="H245" s="396">
        <v>2</v>
      </c>
      <c r="I245" s="396">
        <v>2.2400000000000002</v>
      </c>
      <c r="J245" s="33">
        <v>238</v>
      </c>
      <c r="K245" s="33" t="s">
        <v>69</v>
      </c>
      <c r="L245" s="33"/>
      <c r="M245" s="34" t="s">
        <v>393</v>
      </c>
      <c r="N245" s="34"/>
      <c r="O245" s="33">
        <v>730</v>
      </c>
      <c r="P245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17"/>
      <c r="R245" s="417"/>
      <c r="S245" s="417"/>
      <c r="T245" s="418"/>
      <c r="U245" s="35"/>
      <c r="V245" s="35"/>
      <c r="W245" s="36" t="s">
        <v>71</v>
      </c>
      <c r="X245" s="397">
        <v>0</v>
      </c>
      <c r="Y245" s="39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394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19"/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20"/>
      <c r="P246" s="407" t="s">
        <v>76</v>
      </c>
      <c r="Q246" s="408"/>
      <c r="R246" s="408"/>
      <c r="S246" s="408"/>
      <c r="T246" s="408"/>
      <c r="U246" s="408"/>
      <c r="V246" s="409"/>
      <c r="W246" s="38" t="s">
        <v>77</v>
      </c>
      <c r="X246" s="399">
        <f>IFERROR(X243/H243,"0")+IFERROR(X244/H244,"0")+IFERROR(X245/H245,"0")</f>
        <v>0</v>
      </c>
      <c r="Y246" s="399">
        <f>IFERROR(Y243/H243,"0")+IFERROR(Y244/H244,"0")+IFERROR(Y245/H245,"0")</f>
        <v>0</v>
      </c>
      <c r="Z246" s="399">
        <f>IFERROR(IF(Z243="",0,Z243),"0")+IFERROR(IF(Z244="",0,Z244),"0")+IFERROR(IF(Z245="",0,Z245),"0")</f>
        <v>0</v>
      </c>
      <c r="AA246" s="400"/>
      <c r="AB246" s="400"/>
      <c r="AC246" s="400"/>
    </row>
    <row r="247" spans="1:68" x14ac:dyDescent="0.2">
      <c r="A247" s="404"/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20"/>
      <c r="P247" s="407" t="s">
        <v>76</v>
      </c>
      <c r="Q247" s="408"/>
      <c r="R247" s="408"/>
      <c r="S247" s="408"/>
      <c r="T247" s="408"/>
      <c r="U247" s="408"/>
      <c r="V247" s="409"/>
      <c r="W247" s="38" t="s">
        <v>71</v>
      </c>
      <c r="X247" s="399">
        <f>IFERROR(SUM(X243:X245),"0")</f>
        <v>0</v>
      </c>
      <c r="Y247" s="399">
        <f>IFERROR(SUM(Y243:Y245),"0")</f>
        <v>0</v>
      </c>
      <c r="Z247" s="38"/>
      <c r="AA247" s="400"/>
      <c r="AB247" s="400"/>
      <c r="AC247" s="400"/>
    </row>
    <row r="248" spans="1:68" ht="16.5" customHeight="1" x14ac:dyDescent="0.25">
      <c r="A248" s="414" t="s">
        <v>399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  <c r="O248" s="404"/>
      <c r="P248" s="404"/>
      <c r="Q248" s="404"/>
      <c r="R248" s="404"/>
      <c r="S248" s="404"/>
      <c r="T248" s="404"/>
      <c r="U248" s="404"/>
      <c r="V248" s="404"/>
      <c r="W248" s="404"/>
      <c r="X248" s="404"/>
      <c r="Y248" s="404"/>
      <c r="Z248" s="404"/>
      <c r="AA248" s="392"/>
      <c r="AB248" s="392"/>
      <c r="AC248" s="392"/>
    </row>
    <row r="249" spans="1:68" ht="14.25" customHeight="1" x14ac:dyDescent="0.25">
      <c r="A249" s="403" t="s">
        <v>66</v>
      </c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4"/>
      <c r="O249" s="404"/>
      <c r="P249" s="404"/>
      <c r="Q249" s="404"/>
      <c r="R249" s="404"/>
      <c r="S249" s="404"/>
      <c r="T249" s="404"/>
      <c r="U249" s="404"/>
      <c r="V249" s="404"/>
      <c r="W249" s="404"/>
      <c r="X249" s="404"/>
      <c r="Y249" s="404"/>
      <c r="Z249" s="404"/>
      <c r="AA249" s="393"/>
      <c r="AB249" s="393"/>
      <c r="AC249" s="393"/>
    </row>
    <row r="250" spans="1:68" ht="27" customHeight="1" x14ac:dyDescent="0.25">
      <c r="A250" s="55" t="s">
        <v>400</v>
      </c>
      <c r="B250" s="55" t="s">
        <v>401</v>
      </c>
      <c r="C250" s="32">
        <v>4301051489</v>
      </c>
      <c r="D250" s="405">
        <v>4607091387919</v>
      </c>
      <c r="E250" s="406"/>
      <c r="F250" s="396">
        <v>1.35</v>
      </c>
      <c r="G250" s="33">
        <v>6</v>
      </c>
      <c r="H250" s="396">
        <v>8.1</v>
      </c>
      <c r="I250" s="39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17"/>
      <c r="R250" s="417"/>
      <c r="S250" s="417"/>
      <c r="T250" s="418"/>
      <c r="U250" s="35"/>
      <c r="V250" s="35"/>
      <c r="W250" s="36" t="s">
        <v>71</v>
      </c>
      <c r="X250" s="397">
        <v>0</v>
      </c>
      <c r="Y250" s="39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402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403</v>
      </c>
      <c r="B251" s="55" t="s">
        <v>404</v>
      </c>
      <c r="C251" s="32">
        <v>4301051461</v>
      </c>
      <c r="D251" s="405">
        <v>4680115883604</v>
      </c>
      <c r="E251" s="406"/>
      <c r="F251" s="396">
        <v>0.35</v>
      </c>
      <c r="G251" s="33">
        <v>6</v>
      </c>
      <c r="H251" s="396">
        <v>2.1</v>
      </c>
      <c r="I251" s="39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17"/>
      <c r="R251" s="417"/>
      <c r="S251" s="417"/>
      <c r="T251" s="418"/>
      <c r="U251" s="35"/>
      <c r="V251" s="35"/>
      <c r="W251" s="36" t="s">
        <v>71</v>
      </c>
      <c r="X251" s="397">
        <v>100</v>
      </c>
      <c r="Y251" s="398">
        <f>IFERROR(IF(X251="",0,CEILING((X251/$H251),1)*$H251),"")</f>
        <v>100.80000000000001</v>
      </c>
      <c r="Z251" s="37">
        <f>IFERROR(IF(Y251=0,"",ROUNDUP(Y251/H251,0)*0.00651),"")</f>
        <v>0.31247999999999998</v>
      </c>
      <c r="AA251" s="57"/>
      <c r="AB251" s="58"/>
      <c r="AC251" s="290" t="s">
        <v>405</v>
      </c>
      <c r="AG251" s="65"/>
      <c r="AJ251" s="69"/>
      <c r="AK251" s="69">
        <v>0</v>
      </c>
      <c r="BB251" s="291" t="s">
        <v>1</v>
      </c>
      <c r="BM251" s="65">
        <f>IFERROR(X251*I251/H251,"0")</f>
        <v>111.99999999999999</v>
      </c>
      <c r="BN251" s="65">
        <f>IFERROR(Y251*I251/H251,"0")</f>
        <v>112.896</v>
      </c>
      <c r="BO251" s="65">
        <f>IFERROR(1/J251*(X251/H251),"0")</f>
        <v>0.26164311878597596</v>
      </c>
      <c r="BP251" s="65">
        <f>IFERROR(1/J251*(Y251/H251),"0")</f>
        <v>0.26373626373626374</v>
      </c>
    </row>
    <row r="252" spans="1:68" x14ac:dyDescent="0.2">
      <c r="A252" s="419"/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20"/>
      <c r="P252" s="407" t="s">
        <v>76</v>
      </c>
      <c r="Q252" s="408"/>
      <c r="R252" s="408"/>
      <c r="S252" s="408"/>
      <c r="T252" s="408"/>
      <c r="U252" s="408"/>
      <c r="V252" s="409"/>
      <c r="W252" s="38" t="s">
        <v>77</v>
      </c>
      <c r="X252" s="399">
        <f>IFERROR(X250/H250,"0")+IFERROR(X251/H251,"0")</f>
        <v>47.61904761904762</v>
      </c>
      <c r="Y252" s="399">
        <f>IFERROR(Y250/H250,"0")+IFERROR(Y251/H251,"0")</f>
        <v>48</v>
      </c>
      <c r="Z252" s="399">
        <f>IFERROR(IF(Z250="",0,Z250),"0")+IFERROR(IF(Z251="",0,Z251),"0")</f>
        <v>0.31247999999999998</v>
      </c>
      <c r="AA252" s="400"/>
      <c r="AB252" s="400"/>
      <c r="AC252" s="400"/>
    </row>
    <row r="253" spans="1:68" x14ac:dyDescent="0.2">
      <c r="A253" s="404"/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20"/>
      <c r="P253" s="407" t="s">
        <v>76</v>
      </c>
      <c r="Q253" s="408"/>
      <c r="R253" s="408"/>
      <c r="S253" s="408"/>
      <c r="T253" s="408"/>
      <c r="U253" s="408"/>
      <c r="V253" s="409"/>
      <c r="W253" s="38" t="s">
        <v>71</v>
      </c>
      <c r="X253" s="399">
        <f>IFERROR(SUM(X250:X251),"0")</f>
        <v>100</v>
      </c>
      <c r="Y253" s="399">
        <f>IFERROR(SUM(Y250:Y251),"0")</f>
        <v>100.80000000000001</v>
      </c>
      <c r="Z253" s="38"/>
      <c r="AA253" s="400"/>
      <c r="AB253" s="400"/>
      <c r="AC253" s="400"/>
    </row>
    <row r="254" spans="1:68" ht="27.75" customHeight="1" x14ac:dyDescent="0.2">
      <c r="A254" s="425" t="s">
        <v>406</v>
      </c>
      <c r="B254" s="426"/>
      <c r="C254" s="426"/>
      <c r="D254" s="426"/>
      <c r="E254" s="426"/>
      <c r="F254" s="426"/>
      <c r="G254" s="426"/>
      <c r="H254" s="426"/>
      <c r="I254" s="426"/>
      <c r="J254" s="426"/>
      <c r="K254" s="426"/>
      <c r="L254" s="426"/>
      <c r="M254" s="426"/>
      <c r="N254" s="426"/>
      <c r="O254" s="426"/>
      <c r="P254" s="426"/>
      <c r="Q254" s="426"/>
      <c r="R254" s="426"/>
      <c r="S254" s="426"/>
      <c r="T254" s="426"/>
      <c r="U254" s="426"/>
      <c r="V254" s="426"/>
      <c r="W254" s="426"/>
      <c r="X254" s="426"/>
      <c r="Y254" s="426"/>
      <c r="Z254" s="426"/>
      <c r="AA254" s="49"/>
      <c r="AB254" s="49"/>
      <c r="AC254" s="49"/>
    </row>
    <row r="255" spans="1:68" ht="16.5" customHeight="1" x14ac:dyDescent="0.25">
      <c r="A255" s="414" t="s">
        <v>407</v>
      </c>
      <c r="B255" s="404"/>
      <c r="C255" s="404"/>
      <c r="D255" s="404"/>
      <c r="E255" s="404"/>
      <c r="F255" s="404"/>
      <c r="G255" s="404"/>
      <c r="H255" s="404"/>
      <c r="I255" s="404"/>
      <c r="J255" s="404"/>
      <c r="K255" s="404"/>
      <c r="L255" s="404"/>
      <c r="M255" s="404"/>
      <c r="N255" s="404"/>
      <c r="O255" s="404"/>
      <c r="P255" s="404"/>
      <c r="Q255" s="404"/>
      <c r="R255" s="404"/>
      <c r="S255" s="404"/>
      <c r="T255" s="404"/>
      <c r="U255" s="404"/>
      <c r="V255" s="404"/>
      <c r="W255" s="404"/>
      <c r="X255" s="404"/>
      <c r="Y255" s="404"/>
      <c r="Z255" s="404"/>
      <c r="AA255" s="392"/>
      <c r="AB255" s="392"/>
      <c r="AC255" s="392"/>
    </row>
    <row r="256" spans="1:68" ht="14.25" customHeight="1" x14ac:dyDescent="0.25">
      <c r="A256" s="403" t="s">
        <v>86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393"/>
      <c r="AB256" s="393"/>
      <c r="AC256" s="393"/>
    </row>
    <row r="257" spans="1:68" ht="37.5" customHeight="1" x14ac:dyDescent="0.25">
      <c r="A257" s="55" t="s">
        <v>408</v>
      </c>
      <c r="B257" s="55" t="s">
        <v>409</v>
      </c>
      <c r="C257" s="32">
        <v>4301011869</v>
      </c>
      <c r="D257" s="405">
        <v>4680115884847</v>
      </c>
      <c r="E257" s="406"/>
      <c r="F257" s="396">
        <v>2.5</v>
      </c>
      <c r="G257" s="33">
        <v>6</v>
      </c>
      <c r="H257" s="396">
        <v>15</v>
      </c>
      <c r="I257" s="39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17"/>
      <c r="R257" s="417"/>
      <c r="S257" s="417"/>
      <c r="T257" s="418"/>
      <c r="U257" s="35"/>
      <c r="V257" s="35"/>
      <c r="W257" s="36" t="s">
        <v>71</v>
      </c>
      <c r="X257" s="397">
        <v>150</v>
      </c>
      <c r="Y257" s="398">
        <f t="shared" ref="Y257:Y262" si="25">IFERROR(IF(X257="",0,CEILING((X257/$H257),1)*$H257),"")</f>
        <v>150</v>
      </c>
      <c r="Z257" s="37">
        <f>IFERROR(IF(Y257=0,"",ROUNDUP(Y257/H257,0)*0.02175),"")</f>
        <v>0.21749999999999997</v>
      </c>
      <c r="AA257" s="57"/>
      <c r="AB257" s="58"/>
      <c r="AC257" s="292" t="s">
        <v>410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154.80000000000001</v>
      </c>
      <c r="BN257" s="65">
        <f t="shared" ref="BN257:BN262" si="27">IFERROR(Y257*I257/H257,"0")</f>
        <v>154.80000000000001</v>
      </c>
      <c r="BO257" s="65">
        <f t="shared" ref="BO257:BO262" si="28">IFERROR(1/J257*(X257/H257),"0")</f>
        <v>0.20833333333333331</v>
      </c>
      <c r="BP257" s="65">
        <f t="shared" ref="BP257:BP262" si="29">IFERROR(1/J257*(Y257/H257),"0")</f>
        <v>0.20833333333333331</v>
      </c>
    </row>
    <row r="258" spans="1:68" ht="27" customHeight="1" x14ac:dyDescent="0.25">
      <c r="A258" s="55" t="s">
        <v>411</v>
      </c>
      <c r="B258" s="55" t="s">
        <v>412</v>
      </c>
      <c r="C258" s="32">
        <v>4301011870</v>
      </c>
      <c r="D258" s="405">
        <v>4680115884854</v>
      </c>
      <c r="E258" s="406"/>
      <c r="F258" s="396">
        <v>2.5</v>
      </c>
      <c r="G258" s="33">
        <v>6</v>
      </c>
      <c r="H258" s="396">
        <v>15</v>
      </c>
      <c r="I258" s="39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17"/>
      <c r="R258" s="417"/>
      <c r="S258" s="417"/>
      <c r="T258" s="418"/>
      <c r="U258" s="35"/>
      <c r="V258" s="35"/>
      <c r="W258" s="36" t="s">
        <v>71</v>
      </c>
      <c r="X258" s="397">
        <v>350</v>
      </c>
      <c r="Y258" s="398">
        <f t="shared" si="25"/>
        <v>360</v>
      </c>
      <c r="Z258" s="37">
        <f>IFERROR(IF(Y258=0,"",ROUNDUP(Y258/H258,0)*0.02175),"")</f>
        <v>0.52200000000000002</v>
      </c>
      <c r="AA258" s="57"/>
      <c r="AB258" s="58"/>
      <c r="AC258" s="294" t="s">
        <v>413</v>
      </c>
      <c r="AG258" s="65"/>
      <c r="AJ258" s="69"/>
      <c r="AK258" s="69">
        <v>0</v>
      </c>
      <c r="BB258" s="295" t="s">
        <v>1</v>
      </c>
      <c r="BM258" s="65">
        <f t="shared" si="26"/>
        <v>361.2</v>
      </c>
      <c r="BN258" s="65">
        <f t="shared" si="27"/>
        <v>371.52000000000004</v>
      </c>
      <c r="BO258" s="65">
        <f t="shared" si="28"/>
        <v>0.48611111111111105</v>
      </c>
      <c r="BP258" s="65">
        <f t="shared" si="29"/>
        <v>0.5</v>
      </c>
    </row>
    <row r="259" spans="1:68" ht="37.5" customHeight="1" x14ac:dyDescent="0.25">
      <c r="A259" s="55" t="s">
        <v>414</v>
      </c>
      <c r="B259" s="55" t="s">
        <v>415</v>
      </c>
      <c r="C259" s="32">
        <v>4301011867</v>
      </c>
      <c r="D259" s="405">
        <v>4680115884830</v>
      </c>
      <c r="E259" s="406"/>
      <c r="F259" s="396">
        <v>2.5</v>
      </c>
      <c r="G259" s="33">
        <v>6</v>
      </c>
      <c r="H259" s="396">
        <v>15</v>
      </c>
      <c r="I259" s="39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6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17"/>
      <c r="R259" s="417"/>
      <c r="S259" s="417"/>
      <c r="T259" s="418"/>
      <c r="U259" s="35"/>
      <c r="V259" s="35"/>
      <c r="W259" s="36" t="s">
        <v>71</v>
      </c>
      <c r="X259" s="397">
        <v>450</v>
      </c>
      <c r="Y259" s="398">
        <f t="shared" si="25"/>
        <v>450</v>
      </c>
      <c r="Z259" s="37">
        <f>IFERROR(IF(Y259=0,"",ROUNDUP(Y259/H259,0)*0.02175),"")</f>
        <v>0.65249999999999997</v>
      </c>
      <c r="AA259" s="57"/>
      <c r="AB259" s="58"/>
      <c r="AC259" s="296" t="s">
        <v>416</v>
      </c>
      <c r="AG259" s="65"/>
      <c r="AJ259" s="69"/>
      <c r="AK259" s="69">
        <v>0</v>
      </c>
      <c r="BB259" s="297" t="s">
        <v>1</v>
      </c>
      <c r="BM259" s="65">
        <f t="shared" si="26"/>
        <v>464.4</v>
      </c>
      <c r="BN259" s="65">
        <f t="shared" si="27"/>
        <v>464.4</v>
      </c>
      <c r="BO259" s="65">
        <f t="shared" si="28"/>
        <v>0.625</v>
      </c>
      <c r="BP259" s="65">
        <f t="shared" si="29"/>
        <v>0.625</v>
      </c>
    </row>
    <row r="260" spans="1:68" ht="27" customHeight="1" x14ac:dyDescent="0.25">
      <c r="A260" s="55" t="s">
        <v>417</v>
      </c>
      <c r="B260" s="55" t="s">
        <v>418</v>
      </c>
      <c r="C260" s="32">
        <v>4301011433</v>
      </c>
      <c r="D260" s="405">
        <v>4680115882638</v>
      </c>
      <c r="E260" s="406"/>
      <c r="F260" s="396">
        <v>0.4</v>
      </c>
      <c r="G260" s="33">
        <v>10</v>
      </c>
      <c r="H260" s="396">
        <v>4</v>
      </c>
      <c r="I260" s="39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17"/>
      <c r="R260" s="417"/>
      <c r="S260" s="417"/>
      <c r="T260" s="418"/>
      <c r="U260" s="35"/>
      <c r="V260" s="35"/>
      <c r="W260" s="36" t="s">
        <v>71</v>
      </c>
      <c r="X260" s="397">
        <v>0</v>
      </c>
      <c r="Y260" s="39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419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420</v>
      </c>
      <c r="B261" s="55" t="s">
        <v>421</v>
      </c>
      <c r="C261" s="32">
        <v>4301011952</v>
      </c>
      <c r="D261" s="405">
        <v>4680115884922</v>
      </c>
      <c r="E261" s="406"/>
      <c r="F261" s="396">
        <v>0.5</v>
      </c>
      <c r="G261" s="33">
        <v>10</v>
      </c>
      <c r="H261" s="396">
        <v>5</v>
      </c>
      <c r="I261" s="39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17"/>
      <c r="R261" s="417"/>
      <c r="S261" s="417"/>
      <c r="T261" s="418"/>
      <c r="U261" s="35"/>
      <c r="V261" s="35"/>
      <c r="W261" s="36" t="s">
        <v>71</v>
      </c>
      <c r="X261" s="397">
        <v>100</v>
      </c>
      <c r="Y261" s="398">
        <f t="shared" si="25"/>
        <v>100</v>
      </c>
      <c r="Z261" s="37">
        <f>IFERROR(IF(Y261=0,"",ROUNDUP(Y261/H261,0)*0.00902),"")</f>
        <v>0.1804</v>
      </c>
      <c r="AA261" s="57"/>
      <c r="AB261" s="58"/>
      <c r="AC261" s="300" t="s">
        <v>413</v>
      </c>
      <c r="AG261" s="65"/>
      <c r="AJ261" s="69"/>
      <c r="AK261" s="69">
        <v>0</v>
      </c>
      <c r="BB261" s="301" t="s">
        <v>1</v>
      </c>
      <c r="BM261" s="65">
        <f t="shared" si="26"/>
        <v>104.2</v>
      </c>
      <c r="BN261" s="65">
        <f t="shared" si="27"/>
        <v>104.2</v>
      </c>
      <c r="BO261" s="65">
        <f t="shared" si="28"/>
        <v>0.15151515151515152</v>
      </c>
      <c r="BP261" s="65">
        <f t="shared" si="29"/>
        <v>0.15151515151515152</v>
      </c>
    </row>
    <row r="262" spans="1:68" ht="37.5" customHeight="1" x14ac:dyDescent="0.25">
      <c r="A262" s="55" t="s">
        <v>422</v>
      </c>
      <c r="B262" s="55" t="s">
        <v>423</v>
      </c>
      <c r="C262" s="32">
        <v>4301011868</v>
      </c>
      <c r="D262" s="405">
        <v>4680115884861</v>
      </c>
      <c r="E262" s="406"/>
      <c r="F262" s="396">
        <v>0.5</v>
      </c>
      <c r="G262" s="33">
        <v>10</v>
      </c>
      <c r="H262" s="396">
        <v>5</v>
      </c>
      <c r="I262" s="39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4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17"/>
      <c r="R262" s="417"/>
      <c r="S262" s="417"/>
      <c r="T262" s="418"/>
      <c r="U262" s="35"/>
      <c r="V262" s="35"/>
      <c r="W262" s="36" t="s">
        <v>71</v>
      </c>
      <c r="X262" s="397">
        <v>100</v>
      </c>
      <c r="Y262" s="398">
        <f t="shared" si="25"/>
        <v>100</v>
      </c>
      <c r="Z262" s="37">
        <f>IFERROR(IF(Y262=0,"",ROUNDUP(Y262/H262,0)*0.00902),"")</f>
        <v>0.1804</v>
      </c>
      <c r="AA262" s="57"/>
      <c r="AB262" s="58"/>
      <c r="AC262" s="302" t="s">
        <v>416</v>
      </c>
      <c r="AG262" s="65"/>
      <c r="AJ262" s="69"/>
      <c r="AK262" s="69">
        <v>0</v>
      </c>
      <c r="BB262" s="303" t="s">
        <v>1</v>
      </c>
      <c r="BM262" s="65">
        <f t="shared" si="26"/>
        <v>104.2</v>
      </c>
      <c r="BN262" s="65">
        <f t="shared" si="27"/>
        <v>104.2</v>
      </c>
      <c r="BO262" s="65">
        <f t="shared" si="28"/>
        <v>0.15151515151515152</v>
      </c>
      <c r="BP262" s="65">
        <f t="shared" si="29"/>
        <v>0.15151515151515152</v>
      </c>
    </row>
    <row r="263" spans="1:68" x14ac:dyDescent="0.2">
      <c r="A263" s="419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20"/>
      <c r="P263" s="407" t="s">
        <v>76</v>
      </c>
      <c r="Q263" s="408"/>
      <c r="R263" s="408"/>
      <c r="S263" s="408"/>
      <c r="T263" s="408"/>
      <c r="U263" s="408"/>
      <c r="V263" s="409"/>
      <c r="W263" s="38" t="s">
        <v>77</v>
      </c>
      <c r="X263" s="399">
        <f>IFERROR(X257/H257,"0")+IFERROR(X258/H258,"0")+IFERROR(X259/H259,"0")+IFERROR(X260/H260,"0")+IFERROR(X261/H261,"0")+IFERROR(X262/H262,"0")</f>
        <v>103.33333333333333</v>
      </c>
      <c r="Y263" s="399">
        <f>IFERROR(Y257/H257,"0")+IFERROR(Y258/H258,"0")+IFERROR(Y259/H259,"0")+IFERROR(Y260/H260,"0")+IFERROR(Y261/H261,"0")+IFERROR(Y262/H262,"0")</f>
        <v>104</v>
      </c>
      <c r="Z263" s="399">
        <f>IFERROR(IF(Z257="",0,Z257),"0")+IFERROR(IF(Z258="",0,Z258),"0")+IFERROR(IF(Z259="",0,Z259),"0")+IFERROR(IF(Z260="",0,Z260),"0")+IFERROR(IF(Z261="",0,Z261),"0")+IFERROR(IF(Z262="",0,Z262),"0")</f>
        <v>1.7528000000000001</v>
      </c>
      <c r="AA263" s="400"/>
      <c r="AB263" s="400"/>
      <c r="AC263" s="400"/>
    </row>
    <row r="264" spans="1:68" x14ac:dyDescent="0.2">
      <c r="A264" s="404"/>
      <c r="B264" s="404"/>
      <c r="C264" s="404"/>
      <c r="D264" s="404"/>
      <c r="E264" s="404"/>
      <c r="F264" s="404"/>
      <c r="G264" s="404"/>
      <c r="H264" s="404"/>
      <c r="I264" s="404"/>
      <c r="J264" s="404"/>
      <c r="K264" s="404"/>
      <c r="L264" s="404"/>
      <c r="M264" s="404"/>
      <c r="N264" s="404"/>
      <c r="O264" s="420"/>
      <c r="P264" s="407" t="s">
        <v>76</v>
      </c>
      <c r="Q264" s="408"/>
      <c r="R264" s="408"/>
      <c r="S264" s="408"/>
      <c r="T264" s="408"/>
      <c r="U264" s="408"/>
      <c r="V264" s="409"/>
      <c r="W264" s="38" t="s">
        <v>71</v>
      </c>
      <c r="X264" s="399">
        <f>IFERROR(SUM(X257:X262),"0")</f>
        <v>1150</v>
      </c>
      <c r="Y264" s="399">
        <f>IFERROR(SUM(Y257:Y262),"0")</f>
        <v>1160</v>
      </c>
      <c r="Z264" s="38"/>
      <c r="AA264" s="400"/>
      <c r="AB264" s="400"/>
      <c r="AC264" s="400"/>
    </row>
    <row r="265" spans="1:68" ht="14.25" customHeight="1" x14ac:dyDescent="0.25">
      <c r="A265" s="403" t="s">
        <v>117</v>
      </c>
      <c r="B265" s="404"/>
      <c r="C265" s="404"/>
      <c r="D265" s="404"/>
      <c r="E265" s="404"/>
      <c r="F265" s="404"/>
      <c r="G265" s="404"/>
      <c r="H265" s="404"/>
      <c r="I265" s="404"/>
      <c r="J265" s="404"/>
      <c r="K265" s="404"/>
      <c r="L265" s="404"/>
      <c r="M265" s="404"/>
      <c r="N265" s="404"/>
      <c r="O265" s="404"/>
      <c r="P265" s="404"/>
      <c r="Q265" s="404"/>
      <c r="R265" s="404"/>
      <c r="S265" s="404"/>
      <c r="T265" s="404"/>
      <c r="U265" s="404"/>
      <c r="V265" s="404"/>
      <c r="W265" s="404"/>
      <c r="X265" s="404"/>
      <c r="Y265" s="404"/>
      <c r="Z265" s="404"/>
      <c r="AA265" s="393"/>
      <c r="AB265" s="393"/>
      <c r="AC265" s="393"/>
    </row>
    <row r="266" spans="1:68" ht="27" customHeight="1" x14ac:dyDescent="0.25">
      <c r="A266" s="55" t="s">
        <v>424</v>
      </c>
      <c r="B266" s="55" t="s">
        <v>425</v>
      </c>
      <c r="C266" s="32">
        <v>4301020178</v>
      </c>
      <c r="D266" s="405">
        <v>4607091383980</v>
      </c>
      <c r="E266" s="406"/>
      <c r="F266" s="396">
        <v>2.5</v>
      </c>
      <c r="G266" s="33">
        <v>6</v>
      </c>
      <c r="H266" s="396">
        <v>15</v>
      </c>
      <c r="I266" s="39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17"/>
      <c r="R266" s="417"/>
      <c r="S266" s="417"/>
      <c r="T266" s="418"/>
      <c r="U266" s="35"/>
      <c r="V266" s="35"/>
      <c r="W266" s="36" t="s">
        <v>71</v>
      </c>
      <c r="X266" s="397">
        <v>300</v>
      </c>
      <c r="Y266" s="398">
        <f>IFERROR(IF(X266="",0,CEILING((X266/$H266),1)*$H266),"")</f>
        <v>300</v>
      </c>
      <c r="Z266" s="37">
        <f>IFERROR(IF(Y266=0,"",ROUNDUP(Y266/H266,0)*0.02175),"")</f>
        <v>0.43499999999999994</v>
      </c>
      <c r="AA266" s="57"/>
      <c r="AB266" s="58"/>
      <c r="AC266" s="304" t="s">
        <v>426</v>
      </c>
      <c r="AG266" s="65"/>
      <c r="AJ266" s="69"/>
      <c r="AK266" s="69">
        <v>0</v>
      </c>
      <c r="BB266" s="305" t="s">
        <v>1</v>
      </c>
      <c r="BM266" s="65">
        <f>IFERROR(X266*I266/H266,"0")</f>
        <v>309.60000000000002</v>
      </c>
      <c r="BN266" s="65">
        <f>IFERROR(Y266*I266/H266,"0")</f>
        <v>309.60000000000002</v>
      </c>
      <c r="BO266" s="65">
        <f>IFERROR(1/J266*(X266/H266),"0")</f>
        <v>0.41666666666666663</v>
      </c>
      <c r="BP266" s="65">
        <f>IFERROR(1/J266*(Y266/H266),"0")</f>
        <v>0.41666666666666663</v>
      </c>
    </row>
    <row r="267" spans="1:68" ht="16.5" customHeight="1" x14ac:dyDescent="0.25">
      <c r="A267" s="55" t="s">
        <v>427</v>
      </c>
      <c r="B267" s="55" t="s">
        <v>428</v>
      </c>
      <c r="C267" s="32">
        <v>4301020179</v>
      </c>
      <c r="D267" s="405">
        <v>4607091384178</v>
      </c>
      <c r="E267" s="406"/>
      <c r="F267" s="396">
        <v>0.4</v>
      </c>
      <c r="G267" s="33">
        <v>10</v>
      </c>
      <c r="H267" s="396">
        <v>4</v>
      </c>
      <c r="I267" s="39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17"/>
      <c r="R267" s="417"/>
      <c r="S267" s="417"/>
      <c r="T267" s="418"/>
      <c r="U267" s="35"/>
      <c r="V267" s="35"/>
      <c r="W267" s="36" t="s">
        <v>71</v>
      </c>
      <c r="X267" s="397">
        <v>100</v>
      </c>
      <c r="Y267" s="398">
        <f>IFERROR(IF(X267="",0,CEILING((X267/$H267),1)*$H267),"")</f>
        <v>100</v>
      </c>
      <c r="Z267" s="37">
        <f>IFERROR(IF(Y267=0,"",ROUNDUP(Y267/H267,0)*0.00902),"")</f>
        <v>0.22550000000000001</v>
      </c>
      <c r="AA267" s="57"/>
      <c r="AB267" s="58"/>
      <c r="AC267" s="306" t="s">
        <v>426</v>
      </c>
      <c r="AG267" s="65"/>
      <c r="AJ267" s="69"/>
      <c r="AK267" s="69">
        <v>0</v>
      </c>
      <c r="BB267" s="307" t="s">
        <v>1</v>
      </c>
      <c r="BM267" s="65">
        <f>IFERROR(X267*I267/H267,"0")</f>
        <v>105.25</v>
      </c>
      <c r="BN267" s="65">
        <f>IFERROR(Y267*I267/H267,"0")</f>
        <v>105.25</v>
      </c>
      <c r="BO267" s="65">
        <f>IFERROR(1/J267*(X267/H267),"0")</f>
        <v>0.18939393939393939</v>
      </c>
      <c r="BP267" s="65">
        <f>IFERROR(1/J267*(Y267/H267),"0")</f>
        <v>0.18939393939393939</v>
      </c>
    </row>
    <row r="268" spans="1:68" x14ac:dyDescent="0.2">
      <c r="A268" s="419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20"/>
      <c r="P268" s="407" t="s">
        <v>76</v>
      </c>
      <c r="Q268" s="408"/>
      <c r="R268" s="408"/>
      <c r="S268" s="408"/>
      <c r="T268" s="408"/>
      <c r="U268" s="408"/>
      <c r="V268" s="409"/>
      <c r="W268" s="38" t="s">
        <v>77</v>
      </c>
      <c r="X268" s="399">
        <f>IFERROR(X266/H266,"0")+IFERROR(X267/H267,"0")</f>
        <v>45</v>
      </c>
      <c r="Y268" s="399">
        <f>IFERROR(Y266/H266,"0")+IFERROR(Y267/H267,"0")</f>
        <v>45</v>
      </c>
      <c r="Z268" s="399">
        <f>IFERROR(IF(Z266="",0,Z266),"0")+IFERROR(IF(Z267="",0,Z267),"0")</f>
        <v>0.66049999999999998</v>
      </c>
      <c r="AA268" s="400"/>
      <c r="AB268" s="400"/>
      <c r="AC268" s="400"/>
    </row>
    <row r="269" spans="1:68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4"/>
      <c r="O269" s="420"/>
      <c r="P269" s="407" t="s">
        <v>76</v>
      </c>
      <c r="Q269" s="408"/>
      <c r="R269" s="408"/>
      <c r="S269" s="408"/>
      <c r="T269" s="408"/>
      <c r="U269" s="408"/>
      <c r="V269" s="409"/>
      <c r="W269" s="38" t="s">
        <v>71</v>
      </c>
      <c r="X269" s="399">
        <f>IFERROR(SUM(X266:X267),"0")</f>
        <v>400</v>
      </c>
      <c r="Y269" s="399">
        <f>IFERROR(SUM(Y266:Y267),"0")</f>
        <v>400</v>
      </c>
      <c r="Z269" s="38"/>
      <c r="AA269" s="400"/>
      <c r="AB269" s="400"/>
      <c r="AC269" s="400"/>
    </row>
    <row r="270" spans="1:68" ht="14.25" customHeight="1" x14ac:dyDescent="0.25">
      <c r="A270" s="403" t="s">
        <v>66</v>
      </c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4"/>
      <c r="O270" s="404"/>
      <c r="P270" s="404"/>
      <c r="Q270" s="404"/>
      <c r="R270" s="404"/>
      <c r="S270" s="404"/>
      <c r="T270" s="404"/>
      <c r="U270" s="404"/>
      <c r="V270" s="404"/>
      <c r="W270" s="404"/>
      <c r="X270" s="404"/>
      <c r="Y270" s="404"/>
      <c r="Z270" s="404"/>
      <c r="AA270" s="393"/>
      <c r="AB270" s="393"/>
      <c r="AC270" s="393"/>
    </row>
    <row r="271" spans="1:68" ht="27" customHeight="1" x14ac:dyDescent="0.25">
      <c r="A271" s="55" t="s">
        <v>429</v>
      </c>
      <c r="B271" s="55" t="s">
        <v>430</v>
      </c>
      <c r="C271" s="32">
        <v>4301051903</v>
      </c>
      <c r="D271" s="405">
        <v>4607091383928</v>
      </c>
      <c r="E271" s="406"/>
      <c r="F271" s="396">
        <v>1.5</v>
      </c>
      <c r="G271" s="33">
        <v>6</v>
      </c>
      <c r="H271" s="396">
        <v>9</v>
      </c>
      <c r="I271" s="39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6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17"/>
      <c r="R271" s="417"/>
      <c r="S271" s="417"/>
      <c r="T271" s="418"/>
      <c r="U271" s="35"/>
      <c r="V271" s="35"/>
      <c r="W271" s="36" t="s">
        <v>71</v>
      </c>
      <c r="X271" s="397">
        <v>0</v>
      </c>
      <c r="Y271" s="39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431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432</v>
      </c>
      <c r="B272" s="55" t="s">
        <v>433</v>
      </c>
      <c r="C272" s="32">
        <v>4301051897</v>
      </c>
      <c r="D272" s="405">
        <v>4607091384260</v>
      </c>
      <c r="E272" s="406"/>
      <c r="F272" s="396">
        <v>1.5</v>
      </c>
      <c r="G272" s="33">
        <v>6</v>
      </c>
      <c r="H272" s="396">
        <v>9</v>
      </c>
      <c r="I272" s="39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17"/>
      <c r="R272" s="417"/>
      <c r="S272" s="417"/>
      <c r="T272" s="418"/>
      <c r="U272" s="35"/>
      <c r="V272" s="35"/>
      <c r="W272" s="36" t="s">
        <v>71</v>
      </c>
      <c r="X272" s="397">
        <v>0</v>
      </c>
      <c r="Y272" s="39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434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19"/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20"/>
      <c r="P273" s="407" t="s">
        <v>76</v>
      </c>
      <c r="Q273" s="408"/>
      <c r="R273" s="408"/>
      <c r="S273" s="408"/>
      <c r="T273" s="408"/>
      <c r="U273" s="408"/>
      <c r="V273" s="409"/>
      <c r="W273" s="38" t="s">
        <v>77</v>
      </c>
      <c r="X273" s="399">
        <f>IFERROR(X271/H271,"0")+IFERROR(X272/H272,"0")</f>
        <v>0</v>
      </c>
      <c r="Y273" s="399">
        <f>IFERROR(Y271/H271,"0")+IFERROR(Y272/H272,"0")</f>
        <v>0</v>
      </c>
      <c r="Z273" s="399">
        <f>IFERROR(IF(Z271="",0,Z271),"0")+IFERROR(IF(Z272="",0,Z272),"0")</f>
        <v>0</v>
      </c>
      <c r="AA273" s="400"/>
      <c r="AB273" s="400"/>
      <c r="AC273" s="400"/>
    </row>
    <row r="274" spans="1:68" x14ac:dyDescent="0.2">
      <c r="A274" s="404"/>
      <c r="B274" s="404"/>
      <c r="C274" s="404"/>
      <c r="D274" s="404"/>
      <c r="E274" s="404"/>
      <c r="F274" s="404"/>
      <c r="G274" s="404"/>
      <c r="H274" s="404"/>
      <c r="I274" s="404"/>
      <c r="J274" s="404"/>
      <c r="K274" s="404"/>
      <c r="L274" s="404"/>
      <c r="M274" s="404"/>
      <c r="N274" s="404"/>
      <c r="O274" s="420"/>
      <c r="P274" s="407" t="s">
        <v>76</v>
      </c>
      <c r="Q274" s="408"/>
      <c r="R274" s="408"/>
      <c r="S274" s="408"/>
      <c r="T274" s="408"/>
      <c r="U274" s="408"/>
      <c r="V274" s="409"/>
      <c r="W274" s="38" t="s">
        <v>71</v>
      </c>
      <c r="X274" s="399">
        <f>IFERROR(SUM(X271:X272),"0")</f>
        <v>0</v>
      </c>
      <c r="Y274" s="399">
        <f>IFERROR(SUM(Y271:Y272),"0")</f>
        <v>0</v>
      </c>
      <c r="Z274" s="38"/>
      <c r="AA274" s="400"/>
      <c r="AB274" s="400"/>
      <c r="AC274" s="400"/>
    </row>
    <row r="275" spans="1:68" ht="14.25" customHeight="1" x14ac:dyDescent="0.25">
      <c r="A275" s="403" t="s">
        <v>128</v>
      </c>
      <c r="B275" s="404"/>
      <c r="C275" s="404"/>
      <c r="D275" s="404"/>
      <c r="E275" s="404"/>
      <c r="F275" s="404"/>
      <c r="G275" s="404"/>
      <c r="H275" s="404"/>
      <c r="I275" s="404"/>
      <c r="J275" s="404"/>
      <c r="K275" s="404"/>
      <c r="L275" s="404"/>
      <c r="M275" s="404"/>
      <c r="N275" s="404"/>
      <c r="O275" s="404"/>
      <c r="P275" s="404"/>
      <c r="Q275" s="404"/>
      <c r="R275" s="404"/>
      <c r="S275" s="404"/>
      <c r="T275" s="404"/>
      <c r="U275" s="404"/>
      <c r="V275" s="404"/>
      <c r="W275" s="404"/>
      <c r="X275" s="404"/>
      <c r="Y275" s="404"/>
      <c r="Z275" s="404"/>
      <c r="AA275" s="393"/>
      <c r="AB275" s="393"/>
      <c r="AC275" s="393"/>
    </row>
    <row r="276" spans="1:68" ht="27" customHeight="1" x14ac:dyDescent="0.25">
      <c r="A276" s="55" t="s">
        <v>435</v>
      </c>
      <c r="B276" s="55" t="s">
        <v>436</v>
      </c>
      <c r="C276" s="32">
        <v>4301060439</v>
      </c>
      <c r="D276" s="405">
        <v>4607091384673</v>
      </c>
      <c r="E276" s="406"/>
      <c r="F276" s="396">
        <v>1.5</v>
      </c>
      <c r="G276" s="33">
        <v>6</v>
      </c>
      <c r="H276" s="396">
        <v>9</v>
      </c>
      <c r="I276" s="39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53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17"/>
      <c r="R276" s="417"/>
      <c r="S276" s="417"/>
      <c r="T276" s="418"/>
      <c r="U276" s="35"/>
      <c r="V276" s="35"/>
      <c r="W276" s="36" t="s">
        <v>71</v>
      </c>
      <c r="X276" s="397">
        <v>0</v>
      </c>
      <c r="Y276" s="39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437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19"/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20"/>
      <c r="P277" s="407" t="s">
        <v>76</v>
      </c>
      <c r="Q277" s="408"/>
      <c r="R277" s="408"/>
      <c r="S277" s="408"/>
      <c r="T277" s="408"/>
      <c r="U277" s="408"/>
      <c r="V277" s="409"/>
      <c r="W277" s="38" t="s">
        <v>77</v>
      </c>
      <c r="X277" s="399">
        <f>IFERROR(X276/H276,"0")</f>
        <v>0</v>
      </c>
      <c r="Y277" s="399">
        <f>IFERROR(Y276/H276,"0")</f>
        <v>0</v>
      </c>
      <c r="Z277" s="399">
        <f>IFERROR(IF(Z276="",0,Z276),"0")</f>
        <v>0</v>
      </c>
      <c r="AA277" s="400"/>
      <c r="AB277" s="400"/>
      <c r="AC277" s="400"/>
    </row>
    <row r="278" spans="1:68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4"/>
      <c r="O278" s="420"/>
      <c r="P278" s="407" t="s">
        <v>76</v>
      </c>
      <c r="Q278" s="408"/>
      <c r="R278" s="408"/>
      <c r="S278" s="408"/>
      <c r="T278" s="408"/>
      <c r="U278" s="408"/>
      <c r="V278" s="409"/>
      <c r="W278" s="38" t="s">
        <v>71</v>
      </c>
      <c r="X278" s="399">
        <f>IFERROR(SUM(X276:X276),"0")</f>
        <v>0</v>
      </c>
      <c r="Y278" s="399">
        <f>IFERROR(SUM(Y276:Y276),"0")</f>
        <v>0</v>
      </c>
      <c r="Z278" s="38"/>
      <c r="AA278" s="400"/>
      <c r="AB278" s="400"/>
      <c r="AC278" s="400"/>
    </row>
    <row r="279" spans="1:68" ht="16.5" customHeight="1" x14ac:dyDescent="0.25">
      <c r="A279" s="414" t="s">
        <v>438</v>
      </c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4"/>
      <c r="O279" s="404"/>
      <c r="P279" s="404"/>
      <c r="Q279" s="404"/>
      <c r="R279" s="404"/>
      <c r="S279" s="404"/>
      <c r="T279" s="404"/>
      <c r="U279" s="404"/>
      <c r="V279" s="404"/>
      <c r="W279" s="404"/>
      <c r="X279" s="404"/>
      <c r="Y279" s="404"/>
      <c r="Z279" s="404"/>
      <c r="AA279" s="392"/>
      <c r="AB279" s="392"/>
      <c r="AC279" s="392"/>
    </row>
    <row r="280" spans="1:68" ht="14.25" customHeight="1" x14ac:dyDescent="0.25">
      <c r="A280" s="403" t="s">
        <v>86</v>
      </c>
      <c r="B280" s="404"/>
      <c r="C280" s="404"/>
      <c r="D280" s="404"/>
      <c r="E280" s="404"/>
      <c r="F280" s="404"/>
      <c r="G280" s="404"/>
      <c r="H280" s="404"/>
      <c r="I280" s="404"/>
      <c r="J280" s="404"/>
      <c r="K280" s="404"/>
      <c r="L280" s="404"/>
      <c r="M280" s="404"/>
      <c r="N280" s="404"/>
      <c r="O280" s="404"/>
      <c r="P280" s="404"/>
      <c r="Q280" s="404"/>
      <c r="R280" s="404"/>
      <c r="S280" s="404"/>
      <c r="T280" s="404"/>
      <c r="U280" s="404"/>
      <c r="V280" s="404"/>
      <c r="W280" s="404"/>
      <c r="X280" s="404"/>
      <c r="Y280" s="404"/>
      <c r="Z280" s="404"/>
      <c r="AA280" s="393"/>
      <c r="AB280" s="393"/>
      <c r="AC280" s="393"/>
    </row>
    <row r="281" spans="1:68" ht="37.5" customHeight="1" x14ac:dyDescent="0.25">
      <c r="A281" s="55" t="s">
        <v>439</v>
      </c>
      <c r="B281" s="55" t="s">
        <v>440</v>
      </c>
      <c r="C281" s="32">
        <v>4301011873</v>
      </c>
      <c r="D281" s="405">
        <v>4680115881907</v>
      </c>
      <c r="E281" s="406"/>
      <c r="F281" s="396">
        <v>1.8</v>
      </c>
      <c r="G281" s="33">
        <v>6</v>
      </c>
      <c r="H281" s="396">
        <v>10.8</v>
      </c>
      <c r="I281" s="39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6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17"/>
      <c r="R281" s="417"/>
      <c r="S281" s="417"/>
      <c r="T281" s="418"/>
      <c r="U281" s="35"/>
      <c r="V281" s="35"/>
      <c r="W281" s="36" t="s">
        <v>71</v>
      </c>
      <c r="X281" s="397">
        <v>0</v>
      </c>
      <c r="Y281" s="39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441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442</v>
      </c>
      <c r="B282" s="55" t="s">
        <v>443</v>
      </c>
      <c r="C282" s="32">
        <v>4301011874</v>
      </c>
      <c r="D282" s="405">
        <v>4680115884892</v>
      </c>
      <c r="E282" s="406"/>
      <c r="F282" s="396">
        <v>1.8</v>
      </c>
      <c r="G282" s="33">
        <v>6</v>
      </c>
      <c r="H282" s="396">
        <v>10.8</v>
      </c>
      <c r="I282" s="396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4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2" s="417"/>
      <c r="R282" s="417"/>
      <c r="S282" s="417"/>
      <c r="T282" s="418"/>
      <c r="U282" s="35"/>
      <c r="V282" s="35"/>
      <c r="W282" s="36" t="s">
        <v>71</v>
      </c>
      <c r="X282" s="397">
        <v>0</v>
      </c>
      <c r="Y282" s="398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444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445</v>
      </c>
      <c r="B283" s="55" t="s">
        <v>446</v>
      </c>
      <c r="C283" s="32">
        <v>4301011875</v>
      </c>
      <c r="D283" s="405">
        <v>4680115884885</v>
      </c>
      <c r="E283" s="406"/>
      <c r="F283" s="396">
        <v>0.8</v>
      </c>
      <c r="G283" s="33">
        <v>15</v>
      </c>
      <c r="H283" s="396">
        <v>12</v>
      </c>
      <c r="I283" s="396">
        <v>12.435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17"/>
      <c r="R283" s="417"/>
      <c r="S283" s="417"/>
      <c r="T283" s="418"/>
      <c r="U283" s="35"/>
      <c r="V283" s="35"/>
      <c r="W283" s="36" t="s">
        <v>71</v>
      </c>
      <c r="X283" s="397">
        <v>250</v>
      </c>
      <c r="Y283" s="398">
        <f>IFERROR(IF(X283="",0,CEILING((X283/$H283),1)*$H283),"")</f>
        <v>252</v>
      </c>
      <c r="Z283" s="37">
        <f>IFERROR(IF(Y283=0,"",ROUNDUP(Y283/H283,0)*0.01898),"")</f>
        <v>0.39857999999999999</v>
      </c>
      <c r="AA283" s="57"/>
      <c r="AB283" s="58"/>
      <c r="AC283" s="318" t="s">
        <v>444</v>
      </c>
      <c r="AG283" s="65"/>
      <c r="AJ283" s="69"/>
      <c r="AK283" s="69">
        <v>0</v>
      </c>
      <c r="BB283" s="319" t="s">
        <v>1</v>
      </c>
      <c r="BM283" s="65">
        <f>IFERROR(X283*I283/H283,"0")</f>
        <v>259.0625</v>
      </c>
      <c r="BN283" s="65">
        <f>IFERROR(Y283*I283/H283,"0")</f>
        <v>261.13500000000005</v>
      </c>
      <c r="BO283" s="65">
        <f>IFERROR(1/J283*(X283/H283),"0")</f>
        <v>0.32552083333333331</v>
      </c>
      <c r="BP283" s="65">
        <f>IFERROR(1/J283*(Y283/H283),"0")</f>
        <v>0.328125</v>
      </c>
    </row>
    <row r="284" spans="1:68" ht="37.5" customHeight="1" x14ac:dyDescent="0.25">
      <c r="A284" s="55" t="s">
        <v>447</v>
      </c>
      <c r="B284" s="55" t="s">
        <v>448</v>
      </c>
      <c r="C284" s="32">
        <v>4301011871</v>
      </c>
      <c r="D284" s="405">
        <v>4680115884908</v>
      </c>
      <c r="E284" s="406"/>
      <c r="F284" s="396">
        <v>0.4</v>
      </c>
      <c r="G284" s="33">
        <v>10</v>
      </c>
      <c r="H284" s="396">
        <v>4</v>
      </c>
      <c r="I284" s="396">
        <v>4.21</v>
      </c>
      <c r="J284" s="33">
        <v>132</v>
      </c>
      <c r="K284" s="33" t="s">
        <v>94</v>
      </c>
      <c r="L284" s="33"/>
      <c r="M284" s="34" t="s">
        <v>70</v>
      </c>
      <c r="N284" s="34"/>
      <c r="O284" s="33">
        <v>60</v>
      </c>
      <c r="P284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17"/>
      <c r="R284" s="417"/>
      <c r="S284" s="417"/>
      <c r="T284" s="418"/>
      <c r="U284" s="35"/>
      <c r="V284" s="35"/>
      <c r="W284" s="36" t="s">
        <v>71</v>
      </c>
      <c r="X284" s="397">
        <v>150</v>
      </c>
      <c r="Y284" s="398">
        <f>IFERROR(IF(X284="",0,CEILING((X284/$H284),1)*$H284),"")</f>
        <v>152</v>
      </c>
      <c r="Z284" s="37">
        <f>IFERROR(IF(Y284=0,"",ROUNDUP(Y284/H284,0)*0.00902),"")</f>
        <v>0.34276000000000001</v>
      </c>
      <c r="AA284" s="57"/>
      <c r="AB284" s="58"/>
      <c r="AC284" s="320" t="s">
        <v>444</v>
      </c>
      <c r="AG284" s="65"/>
      <c r="AJ284" s="69"/>
      <c r="AK284" s="69">
        <v>0</v>
      </c>
      <c r="BB284" s="321" t="s">
        <v>1</v>
      </c>
      <c r="BM284" s="65">
        <f>IFERROR(X284*I284/H284,"0")</f>
        <v>157.875</v>
      </c>
      <c r="BN284" s="65">
        <f>IFERROR(Y284*I284/H284,"0")</f>
        <v>159.97999999999999</v>
      </c>
      <c r="BO284" s="65">
        <f>IFERROR(1/J284*(X284/H284),"0")</f>
        <v>0.28409090909090912</v>
      </c>
      <c r="BP284" s="65">
        <f>IFERROR(1/J284*(Y284/H284),"0")</f>
        <v>0.2878787878787879</v>
      </c>
    </row>
    <row r="285" spans="1:68" x14ac:dyDescent="0.2">
      <c r="A285" s="419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4"/>
      <c r="O285" s="420"/>
      <c r="P285" s="407" t="s">
        <v>76</v>
      </c>
      <c r="Q285" s="408"/>
      <c r="R285" s="408"/>
      <c r="S285" s="408"/>
      <c r="T285" s="408"/>
      <c r="U285" s="408"/>
      <c r="V285" s="409"/>
      <c r="W285" s="38" t="s">
        <v>77</v>
      </c>
      <c r="X285" s="399">
        <f>IFERROR(X281/H281,"0")+IFERROR(X282/H282,"0")+IFERROR(X283/H283,"0")+IFERROR(X284/H284,"0")</f>
        <v>58.333333333333329</v>
      </c>
      <c r="Y285" s="399">
        <f>IFERROR(Y281/H281,"0")+IFERROR(Y282/H282,"0")+IFERROR(Y283/H283,"0")+IFERROR(Y284/H284,"0")</f>
        <v>59</v>
      </c>
      <c r="Z285" s="399">
        <f>IFERROR(IF(Z281="",0,Z281),"0")+IFERROR(IF(Z282="",0,Z282),"0")+IFERROR(IF(Z283="",0,Z283),"0")+IFERROR(IF(Z284="",0,Z284),"0")</f>
        <v>0.74134</v>
      </c>
      <c r="AA285" s="400"/>
      <c r="AB285" s="400"/>
      <c r="AC285" s="400"/>
    </row>
    <row r="286" spans="1:68" x14ac:dyDescent="0.2">
      <c r="A286" s="404"/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420"/>
      <c r="P286" s="407" t="s">
        <v>76</v>
      </c>
      <c r="Q286" s="408"/>
      <c r="R286" s="408"/>
      <c r="S286" s="408"/>
      <c r="T286" s="408"/>
      <c r="U286" s="408"/>
      <c r="V286" s="409"/>
      <c r="W286" s="38" t="s">
        <v>71</v>
      </c>
      <c r="X286" s="399">
        <f>IFERROR(SUM(X281:X284),"0")</f>
        <v>400</v>
      </c>
      <c r="Y286" s="399">
        <f>IFERROR(SUM(Y281:Y284),"0")</f>
        <v>404</v>
      </c>
      <c r="Z286" s="38"/>
      <c r="AA286" s="400"/>
      <c r="AB286" s="400"/>
      <c r="AC286" s="400"/>
    </row>
    <row r="287" spans="1:68" ht="14.25" customHeight="1" x14ac:dyDescent="0.25">
      <c r="A287" s="403" t="s">
        <v>182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393"/>
      <c r="AB287" s="393"/>
      <c r="AC287" s="393"/>
    </row>
    <row r="288" spans="1:68" ht="27" customHeight="1" x14ac:dyDescent="0.25">
      <c r="A288" s="55" t="s">
        <v>449</v>
      </c>
      <c r="B288" s="55" t="s">
        <v>450</v>
      </c>
      <c r="C288" s="32">
        <v>4301031303</v>
      </c>
      <c r="D288" s="405">
        <v>4607091384802</v>
      </c>
      <c r="E288" s="406"/>
      <c r="F288" s="396">
        <v>0.73</v>
      </c>
      <c r="G288" s="33">
        <v>6</v>
      </c>
      <c r="H288" s="396">
        <v>4.38</v>
      </c>
      <c r="I288" s="396">
        <v>4.6500000000000004</v>
      </c>
      <c r="J288" s="33">
        <v>132</v>
      </c>
      <c r="K288" s="33" t="s">
        <v>94</v>
      </c>
      <c r="L288" s="33"/>
      <c r="M288" s="34" t="s">
        <v>70</v>
      </c>
      <c r="N288" s="34"/>
      <c r="O288" s="33">
        <v>35</v>
      </c>
      <c r="P288" s="4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17"/>
      <c r="R288" s="417"/>
      <c r="S288" s="417"/>
      <c r="T288" s="418"/>
      <c r="U288" s="35"/>
      <c r="V288" s="35"/>
      <c r="W288" s="36" t="s">
        <v>71</v>
      </c>
      <c r="X288" s="397">
        <v>0</v>
      </c>
      <c r="Y288" s="398">
        <f>IFERROR(IF(X288="",0,CEILING((X288/$H288),1)*$H288),"")</f>
        <v>0</v>
      </c>
      <c r="Z288" s="37" t="str">
        <f>IFERROR(IF(Y288=0,"",ROUNDUP(Y288/H288,0)*0.00902),"")</f>
        <v/>
      </c>
      <c r="AA288" s="57"/>
      <c r="AB288" s="58"/>
      <c r="AC288" s="322" t="s">
        <v>451</v>
      </c>
      <c r="AG288" s="65"/>
      <c r="AJ288" s="69"/>
      <c r="AK288" s="69">
        <v>0</v>
      </c>
      <c r="BB288" s="323" t="s">
        <v>1</v>
      </c>
      <c r="BM288" s="65">
        <f>IFERROR(X288*I288/H288,"0")</f>
        <v>0</v>
      </c>
      <c r="BN288" s="65">
        <f>IFERROR(Y288*I288/H288,"0")</f>
        <v>0</v>
      </c>
      <c r="BO288" s="65">
        <f>IFERROR(1/J288*(X288/H288),"0")</f>
        <v>0</v>
      </c>
      <c r="BP288" s="65">
        <f>IFERROR(1/J288*(Y288/H288),"0")</f>
        <v>0</v>
      </c>
    </row>
    <row r="289" spans="1:68" x14ac:dyDescent="0.2">
      <c r="A289" s="419"/>
      <c r="B289" s="404"/>
      <c r="C289" s="404"/>
      <c r="D289" s="404"/>
      <c r="E289" s="404"/>
      <c r="F289" s="404"/>
      <c r="G289" s="404"/>
      <c r="H289" s="404"/>
      <c r="I289" s="404"/>
      <c r="J289" s="404"/>
      <c r="K289" s="404"/>
      <c r="L289" s="404"/>
      <c r="M289" s="404"/>
      <c r="N289" s="404"/>
      <c r="O289" s="420"/>
      <c r="P289" s="407" t="s">
        <v>76</v>
      </c>
      <c r="Q289" s="408"/>
      <c r="R289" s="408"/>
      <c r="S289" s="408"/>
      <c r="T289" s="408"/>
      <c r="U289" s="408"/>
      <c r="V289" s="409"/>
      <c r="W289" s="38" t="s">
        <v>77</v>
      </c>
      <c r="X289" s="399">
        <f>IFERROR(X288/H288,"0")</f>
        <v>0</v>
      </c>
      <c r="Y289" s="399">
        <f>IFERROR(Y288/H288,"0")</f>
        <v>0</v>
      </c>
      <c r="Z289" s="399">
        <f>IFERROR(IF(Z288="",0,Z288),"0")</f>
        <v>0</v>
      </c>
      <c r="AA289" s="400"/>
      <c r="AB289" s="400"/>
      <c r="AC289" s="400"/>
    </row>
    <row r="290" spans="1:68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4"/>
      <c r="O290" s="420"/>
      <c r="P290" s="407" t="s">
        <v>76</v>
      </c>
      <c r="Q290" s="408"/>
      <c r="R290" s="408"/>
      <c r="S290" s="408"/>
      <c r="T290" s="408"/>
      <c r="U290" s="408"/>
      <c r="V290" s="409"/>
      <c r="W290" s="38" t="s">
        <v>71</v>
      </c>
      <c r="X290" s="399">
        <f>IFERROR(SUM(X288:X288),"0")</f>
        <v>0</v>
      </c>
      <c r="Y290" s="399">
        <f>IFERROR(SUM(Y288:Y288),"0")</f>
        <v>0</v>
      </c>
      <c r="Z290" s="38"/>
      <c r="AA290" s="400"/>
      <c r="AB290" s="400"/>
      <c r="AC290" s="400"/>
    </row>
    <row r="291" spans="1:68" ht="14.25" customHeight="1" x14ac:dyDescent="0.25">
      <c r="A291" s="403" t="s">
        <v>66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404"/>
      <c r="AA291" s="393"/>
      <c r="AB291" s="393"/>
      <c r="AC291" s="393"/>
    </row>
    <row r="292" spans="1:68" ht="27" customHeight="1" x14ac:dyDescent="0.25">
      <c r="A292" s="55" t="s">
        <v>452</v>
      </c>
      <c r="B292" s="55" t="s">
        <v>453</v>
      </c>
      <c r="C292" s="32">
        <v>4301051899</v>
      </c>
      <c r="D292" s="405">
        <v>4607091384246</v>
      </c>
      <c r="E292" s="406"/>
      <c r="F292" s="396">
        <v>1.5</v>
      </c>
      <c r="G292" s="33">
        <v>6</v>
      </c>
      <c r="H292" s="396">
        <v>9</v>
      </c>
      <c r="I292" s="396">
        <v>9.5190000000000001</v>
      </c>
      <c r="J292" s="33">
        <v>64</v>
      </c>
      <c r="K292" s="33" t="s">
        <v>89</v>
      </c>
      <c r="L292" s="33"/>
      <c r="M292" s="34" t="s">
        <v>95</v>
      </c>
      <c r="N292" s="34"/>
      <c r="O292" s="33">
        <v>40</v>
      </c>
      <c r="P292" s="4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17"/>
      <c r="R292" s="417"/>
      <c r="S292" s="417"/>
      <c r="T292" s="418"/>
      <c r="U292" s="35"/>
      <c r="V292" s="35"/>
      <c r="W292" s="36" t="s">
        <v>71</v>
      </c>
      <c r="X292" s="397">
        <v>1400</v>
      </c>
      <c r="Y292" s="398">
        <f>IFERROR(IF(X292="",0,CEILING((X292/$H292),1)*$H292),"")</f>
        <v>1404</v>
      </c>
      <c r="Z292" s="37">
        <f>IFERROR(IF(Y292=0,"",ROUNDUP(Y292/H292,0)*0.01898),"")</f>
        <v>2.96088</v>
      </c>
      <c r="AA292" s="57"/>
      <c r="AB292" s="58"/>
      <c r="AC292" s="324" t="s">
        <v>454</v>
      </c>
      <c r="AG292" s="65"/>
      <c r="AJ292" s="69"/>
      <c r="AK292" s="69">
        <v>0</v>
      </c>
      <c r="BB292" s="325" t="s">
        <v>1</v>
      </c>
      <c r="BM292" s="65">
        <f>IFERROR(X292*I292/H292,"0")</f>
        <v>1480.7333333333333</v>
      </c>
      <c r="BN292" s="65">
        <f>IFERROR(Y292*I292/H292,"0")</f>
        <v>1484.9639999999999</v>
      </c>
      <c r="BO292" s="65">
        <f>IFERROR(1/J292*(X292/H292),"0")</f>
        <v>2.4305555555555554</v>
      </c>
      <c r="BP292" s="65">
        <f>IFERROR(1/J292*(Y292/H292),"0")</f>
        <v>2.4375</v>
      </c>
    </row>
    <row r="293" spans="1:68" ht="27" customHeight="1" x14ac:dyDescent="0.25">
      <c r="A293" s="55" t="s">
        <v>455</v>
      </c>
      <c r="B293" s="55" t="s">
        <v>456</v>
      </c>
      <c r="C293" s="32">
        <v>4301051660</v>
      </c>
      <c r="D293" s="405">
        <v>4607091384253</v>
      </c>
      <c r="E293" s="406"/>
      <c r="F293" s="396">
        <v>0.4</v>
      </c>
      <c r="G293" s="33">
        <v>6</v>
      </c>
      <c r="H293" s="396">
        <v>2.4</v>
      </c>
      <c r="I293" s="396">
        <v>2.6640000000000001</v>
      </c>
      <c r="J293" s="33">
        <v>182</v>
      </c>
      <c r="K293" s="33" t="s">
        <v>69</v>
      </c>
      <c r="L293" s="33"/>
      <c r="M293" s="34" t="s">
        <v>95</v>
      </c>
      <c r="N293" s="34"/>
      <c r="O293" s="33">
        <v>40</v>
      </c>
      <c r="P293" s="4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17"/>
      <c r="R293" s="417"/>
      <c r="S293" s="417"/>
      <c r="T293" s="418"/>
      <c r="U293" s="35"/>
      <c r="V293" s="35"/>
      <c r="W293" s="36" t="s">
        <v>71</v>
      </c>
      <c r="X293" s="397">
        <v>200</v>
      </c>
      <c r="Y293" s="398">
        <f>IFERROR(IF(X293="",0,CEILING((X293/$H293),1)*$H293),"")</f>
        <v>201.6</v>
      </c>
      <c r="Z293" s="37">
        <f>IFERROR(IF(Y293=0,"",ROUNDUP(Y293/H293,0)*0.00651),"")</f>
        <v>0.54683999999999999</v>
      </c>
      <c r="AA293" s="57"/>
      <c r="AB293" s="58"/>
      <c r="AC293" s="326" t="s">
        <v>454</v>
      </c>
      <c r="AG293" s="65"/>
      <c r="AJ293" s="69"/>
      <c r="AK293" s="69">
        <v>0</v>
      </c>
      <c r="BB293" s="327" t="s">
        <v>1</v>
      </c>
      <c r="BM293" s="65">
        <f>IFERROR(X293*I293/H293,"0")</f>
        <v>222.00000000000003</v>
      </c>
      <c r="BN293" s="65">
        <f>IFERROR(Y293*I293/H293,"0")</f>
        <v>223.77600000000001</v>
      </c>
      <c r="BO293" s="65">
        <f>IFERROR(1/J293*(X293/H293),"0")</f>
        <v>0.45787545787545797</v>
      </c>
      <c r="BP293" s="65">
        <f>IFERROR(1/J293*(Y293/H293),"0")</f>
        <v>0.46153846153846156</v>
      </c>
    </row>
    <row r="294" spans="1:68" x14ac:dyDescent="0.2">
      <c r="A294" s="419"/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20"/>
      <c r="P294" s="407" t="s">
        <v>76</v>
      </c>
      <c r="Q294" s="408"/>
      <c r="R294" s="408"/>
      <c r="S294" s="408"/>
      <c r="T294" s="408"/>
      <c r="U294" s="408"/>
      <c r="V294" s="409"/>
      <c r="W294" s="38" t="s">
        <v>77</v>
      </c>
      <c r="X294" s="399">
        <f>IFERROR(X292/H292,"0")+IFERROR(X293/H293,"0")</f>
        <v>238.88888888888889</v>
      </c>
      <c r="Y294" s="399">
        <f>IFERROR(Y292/H292,"0")+IFERROR(Y293/H293,"0")</f>
        <v>240</v>
      </c>
      <c r="Z294" s="399">
        <f>IFERROR(IF(Z292="",0,Z292),"0")+IFERROR(IF(Z293="",0,Z293),"0")</f>
        <v>3.5077199999999999</v>
      </c>
      <c r="AA294" s="400"/>
      <c r="AB294" s="400"/>
      <c r="AC294" s="400"/>
    </row>
    <row r="295" spans="1:68" x14ac:dyDescent="0.2">
      <c r="A295" s="404"/>
      <c r="B295" s="404"/>
      <c r="C295" s="404"/>
      <c r="D295" s="404"/>
      <c r="E295" s="404"/>
      <c r="F295" s="404"/>
      <c r="G295" s="404"/>
      <c r="H295" s="404"/>
      <c r="I295" s="404"/>
      <c r="J295" s="404"/>
      <c r="K295" s="404"/>
      <c r="L295" s="404"/>
      <c r="M295" s="404"/>
      <c r="N295" s="404"/>
      <c r="O295" s="420"/>
      <c r="P295" s="407" t="s">
        <v>76</v>
      </c>
      <c r="Q295" s="408"/>
      <c r="R295" s="408"/>
      <c r="S295" s="408"/>
      <c r="T295" s="408"/>
      <c r="U295" s="408"/>
      <c r="V295" s="409"/>
      <c r="W295" s="38" t="s">
        <v>71</v>
      </c>
      <c r="X295" s="399">
        <f>IFERROR(SUM(X292:X293),"0")</f>
        <v>1600</v>
      </c>
      <c r="Y295" s="399">
        <f>IFERROR(SUM(Y292:Y293),"0")</f>
        <v>1605.6</v>
      </c>
      <c r="Z295" s="38"/>
      <c r="AA295" s="400"/>
      <c r="AB295" s="400"/>
      <c r="AC295" s="400"/>
    </row>
    <row r="296" spans="1:68" ht="14.25" customHeight="1" x14ac:dyDescent="0.25">
      <c r="A296" s="403" t="s">
        <v>128</v>
      </c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4"/>
      <c r="O296" s="404"/>
      <c r="P296" s="404"/>
      <c r="Q296" s="404"/>
      <c r="R296" s="404"/>
      <c r="S296" s="404"/>
      <c r="T296" s="404"/>
      <c r="U296" s="404"/>
      <c r="V296" s="404"/>
      <c r="W296" s="404"/>
      <c r="X296" s="404"/>
      <c r="Y296" s="404"/>
      <c r="Z296" s="404"/>
      <c r="AA296" s="393"/>
      <c r="AB296" s="393"/>
      <c r="AC296" s="393"/>
    </row>
    <row r="297" spans="1:68" ht="27" customHeight="1" x14ac:dyDescent="0.25">
      <c r="A297" s="55" t="s">
        <v>457</v>
      </c>
      <c r="B297" s="55" t="s">
        <v>458</v>
      </c>
      <c r="C297" s="32">
        <v>4301060441</v>
      </c>
      <c r="D297" s="405">
        <v>4607091389357</v>
      </c>
      <c r="E297" s="406"/>
      <c r="F297" s="396">
        <v>1.5</v>
      </c>
      <c r="G297" s="33">
        <v>6</v>
      </c>
      <c r="H297" s="396">
        <v>9</v>
      </c>
      <c r="I297" s="396">
        <v>9.4350000000000005</v>
      </c>
      <c r="J297" s="33">
        <v>64</v>
      </c>
      <c r="K297" s="33" t="s">
        <v>89</v>
      </c>
      <c r="L297" s="33"/>
      <c r="M297" s="34" t="s">
        <v>95</v>
      </c>
      <c r="N297" s="34"/>
      <c r="O297" s="33">
        <v>40</v>
      </c>
      <c r="P297" s="4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17"/>
      <c r="R297" s="417"/>
      <c r="S297" s="417"/>
      <c r="T297" s="418"/>
      <c r="U297" s="35"/>
      <c r="V297" s="35"/>
      <c r="W297" s="36" t="s">
        <v>71</v>
      </c>
      <c r="X297" s="397">
        <v>400</v>
      </c>
      <c r="Y297" s="398">
        <f>IFERROR(IF(X297="",0,CEILING((X297/$H297),1)*$H297),"")</f>
        <v>405</v>
      </c>
      <c r="Z297" s="37">
        <f>IFERROR(IF(Y297=0,"",ROUNDUP(Y297/H297,0)*0.01898),"")</f>
        <v>0.85409999999999997</v>
      </c>
      <c r="AA297" s="57"/>
      <c r="AB297" s="58"/>
      <c r="AC297" s="328" t="s">
        <v>459</v>
      </c>
      <c r="AG297" s="65"/>
      <c r="AJ297" s="69"/>
      <c r="AK297" s="69">
        <v>0</v>
      </c>
      <c r="BB297" s="329" t="s">
        <v>1</v>
      </c>
      <c r="BM297" s="65">
        <f>IFERROR(X297*I297/H297,"0")</f>
        <v>419.33333333333331</v>
      </c>
      <c r="BN297" s="65">
        <f>IFERROR(Y297*I297/H297,"0")</f>
        <v>424.57500000000005</v>
      </c>
      <c r="BO297" s="65">
        <f>IFERROR(1/J297*(X297/H297),"0")</f>
        <v>0.69444444444444442</v>
      </c>
      <c r="BP297" s="65">
        <f>IFERROR(1/J297*(Y297/H297),"0")</f>
        <v>0.703125</v>
      </c>
    </row>
    <row r="298" spans="1:68" x14ac:dyDescent="0.2">
      <c r="A298" s="419"/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20"/>
      <c r="P298" s="407" t="s">
        <v>76</v>
      </c>
      <c r="Q298" s="408"/>
      <c r="R298" s="408"/>
      <c r="S298" s="408"/>
      <c r="T298" s="408"/>
      <c r="U298" s="408"/>
      <c r="V298" s="409"/>
      <c r="W298" s="38" t="s">
        <v>77</v>
      </c>
      <c r="X298" s="399">
        <f>IFERROR(X297/H297,"0")</f>
        <v>44.444444444444443</v>
      </c>
      <c r="Y298" s="399">
        <f>IFERROR(Y297/H297,"0")</f>
        <v>45</v>
      </c>
      <c r="Z298" s="399">
        <f>IFERROR(IF(Z297="",0,Z297),"0")</f>
        <v>0.85409999999999997</v>
      </c>
      <c r="AA298" s="400"/>
      <c r="AB298" s="400"/>
      <c r="AC298" s="400"/>
    </row>
    <row r="299" spans="1:68" x14ac:dyDescent="0.2">
      <c r="A299" s="404"/>
      <c r="B299" s="404"/>
      <c r="C299" s="404"/>
      <c r="D299" s="404"/>
      <c r="E299" s="404"/>
      <c r="F299" s="404"/>
      <c r="G299" s="404"/>
      <c r="H299" s="404"/>
      <c r="I299" s="404"/>
      <c r="J299" s="404"/>
      <c r="K299" s="404"/>
      <c r="L299" s="404"/>
      <c r="M299" s="404"/>
      <c r="N299" s="404"/>
      <c r="O299" s="420"/>
      <c r="P299" s="407" t="s">
        <v>76</v>
      </c>
      <c r="Q299" s="408"/>
      <c r="R299" s="408"/>
      <c r="S299" s="408"/>
      <c r="T299" s="408"/>
      <c r="U299" s="408"/>
      <c r="V299" s="409"/>
      <c r="W299" s="38" t="s">
        <v>71</v>
      </c>
      <c r="X299" s="399">
        <f>IFERROR(SUM(X297:X297),"0")</f>
        <v>400</v>
      </c>
      <c r="Y299" s="399">
        <f>IFERROR(SUM(Y297:Y297),"0")</f>
        <v>405</v>
      </c>
      <c r="Z299" s="38"/>
      <c r="AA299" s="400"/>
      <c r="AB299" s="400"/>
      <c r="AC299" s="400"/>
    </row>
    <row r="300" spans="1:68" ht="27.75" customHeight="1" x14ac:dyDescent="0.2">
      <c r="A300" s="425" t="s">
        <v>460</v>
      </c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  <c r="V300" s="426"/>
      <c r="W300" s="426"/>
      <c r="X300" s="426"/>
      <c r="Y300" s="426"/>
      <c r="Z300" s="426"/>
      <c r="AA300" s="49"/>
      <c r="AB300" s="49"/>
      <c r="AC300" s="49"/>
    </row>
    <row r="301" spans="1:68" ht="16.5" customHeight="1" x14ac:dyDescent="0.25">
      <c r="A301" s="414" t="s">
        <v>461</v>
      </c>
      <c r="B301" s="404"/>
      <c r="C301" s="404"/>
      <c r="D301" s="404"/>
      <c r="E301" s="404"/>
      <c r="F301" s="404"/>
      <c r="G301" s="404"/>
      <c r="H301" s="404"/>
      <c r="I301" s="404"/>
      <c r="J301" s="404"/>
      <c r="K301" s="404"/>
      <c r="L301" s="404"/>
      <c r="M301" s="404"/>
      <c r="N301" s="404"/>
      <c r="O301" s="404"/>
      <c r="P301" s="404"/>
      <c r="Q301" s="404"/>
      <c r="R301" s="404"/>
      <c r="S301" s="404"/>
      <c r="T301" s="404"/>
      <c r="U301" s="404"/>
      <c r="V301" s="404"/>
      <c r="W301" s="404"/>
      <c r="X301" s="404"/>
      <c r="Y301" s="404"/>
      <c r="Z301" s="404"/>
      <c r="AA301" s="392"/>
      <c r="AB301" s="392"/>
      <c r="AC301" s="392"/>
    </row>
    <row r="302" spans="1:68" ht="14.25" customHeight="1" x14ac:dyDescent="0.25">
      <c r="A302" s="403" t="s">
        <v>182</v>
      </c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4"/>
      <c r="O302" s="404"/>
      <c r="P302" s="404"/>
      <c r="Q302" s="404"/>
      <c r="R302" s="404"/>
      <c r="S302" s="404"/>
      <c r="T302" s="404"/>
      <c r="U302" s="404"/>
      <c r="V302" s="404"/>
      <c r="W302" s="404"/>
      <c r="X302" s="404"/>
      <c r="Y302" s="404"/>
      <c r="Z302" s="404"/>
      <c r="AA302" s="393"/>
      <c r="AB302" s="393"/>
      <c r="AC302" s="393"/>
    </row>
    <row r="303" spans="1:68" ht="27" customHeight="1" x14ac:dyDescent="0.25">
      <c r="A303" s="55" t="s">
        <v>462</v>
      </c>
      <c r="B303" s="55" t="s">
        <v>463</v>
      </c>
      <c r="C303" s="32">
        <v>4301031405</v>
      </c>
      <c r="D303" s="405">
        <v>4680115886100</v>
      </c>
      <c r="E303" s="406"/>
      <c r="F303" s="396">
        <v>0.9</v>
      </c>
      <c r="G303" s="33">
        <v>6</v>
      </c>
      <c r="H303" s="396">
        <v>5.4</v>
      </c>
      <c r="I303" s="39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6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17"/>
      <c r="R303" s="417"/>
      <c r="S303" s="417"/>
      <c r="T303" s="418"/>
      <c r="U303" s="35"/>
      <c r="V303" s="35"/>
      <c r="W303" s="36" t="s">
        <v>71</v>
      </c>
      <c r="X303" s="397">
        <v>0</v>
      </c>
      <c r="Y303" s="39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464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465</v>
      </c>
      <c r="B304" s="55" t="s">
        <v>466</v>
      </c>
      <c r="C304" s="32">
        <v>4301031382</v>
      </c>
      <c r="D304" s="405">
        <v>4680115886117</v>
      </c>
      <c r="E304" s="406"/>
      <c r="F304" s="396">
        <v>0.9</v>
      </c>
      <c r="G304" s="33">
        <v>6</v>
      </c>
      <c r="H304" s="396">
        <v>5.4</v>
      </c>
      <c r="I304" s="39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2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17"/>
      <c r="R304" s="417"/>
      <c r="S304" s="417"/>
      <c r="T304" s="418"/>
      <c r="U304" s="35"/>
      <c r="V304" s="35"/>
      <c r="W304" s="36" t="s">
        <v>71</v>
      </c>
      <c r="X304" s="397">
        <v>0</v>
      </c>
      <c r="Y304" s="39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467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465</v>
      </c>
      <c r="B305" s="55" t="s">
        <v>468</v>
      </c>
      <c r="C305" s="32">
        <v>4301031406</v>
      </c>
      <c r="D305" s="405">
        <v>4680115886117</v>
      </c>
      <c r="E305" s="406"/>
      <c r="F305" s="396">
        <v>0.9</v>
      </c>
      <c r="G305" s="33">
        <v>6</v>
      </c>
      <c r="H305" s="396">
        <v>5.4</v>
      </c>
      <c r="I305" s="396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17"/>
      <c r="R305" s="417"/>
      <c r="S305" s="417"/>
      <c r="T305" s="418"/>
      <c r="U305" s="35"/>
      <c r="V305" s="35"/>
      <c r="W305" s="36" t="s">
        <v>71</v>
      </c>
      <c r="X305" s="397">
        <v>0</v>
      </c>
      <c r="Y305" s="398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467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470</v>
      </c>
      <c r="C306" s="32">
        <v>4301031358</v>
      </c>
      <c r="D306" s="405">
        <v>4607091389531</v>
      </c>
      <c r="E306" s="406"/>
      <c r="F306" s="396">
        <v>0.35</v>
      </c>
      <c r="G306" s="33">
        <v>6</v>
      </c>
      <c r="H306" s="396">
        <v>2.1</v>
      </c>
      <c r="I306" s="396">
        <v>2.23</v>
      </c>
      <c r="J306" s="33">
        <v>234</v>
      </c>
      <c r="K306" s="33" t="s">
        <v>166</v>
      </c>
      <c r="L306" s="33"/>
      <c r="M306" s="34" t="s">
        <v>70</v>
      </c>
      <c r="N306" s="34"/>
      <c r="O306" s="33">
        <v>50</v>
      </c>
      <c r="P306" s="5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17"/>
      <c r="R306" s="417"/>
      <c r="S306" s="417"/>
      <c r="T306" s="418"/>
      <c r="U306" s="35"/>
      <c r="V306" s="35"/>
      <c r="W306" s="36" t="s">
        <v>71</v>
      </c>
      <c r="X306" s="397">
        <v>0</v>
      </c>
      <c r="Y306" s="398">
        <f>IFERROR(IF(X306="",0,CEILING((X306/$H306),1)*$H306),"")</f>
        <v>0</v>
      </c>
      <c r="Z306" s="37" t="str">
        <f>IFERROR(IF(Y306=0,"",ROUNDUP(Y306/H306,0)*0.00502),"")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19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4"/>
      <c r="O307" s="420"/>
      <c r="P307" s="407" t="s">
        <v>76</v>
      </c>
      <c r="Q307" s="408"/>
      <c r="R307" s="408"/>
      <c r="S307" s="408"/>
      <c r="T307" s="408"/>
      <c r="U307" s="408"/>
      <c r="V307" s="409"/>
      <c r="W307" s="38" t="s">
        <v>77</v>
      </c>
      <c r="X307" s="399">
        <f>IFERROR(X303/H303,"0")+IFERROR(X304/H304,"0")+IFERROR(X305/H305,"0")+IFERROR(X306/H306,"0")</f>
        <v>0</v>
      </c>
      <c r="Y307" s="399">
        <f>IFERROR(Y303/H303,"0")+IFERROR(Y304/H304,"0")+IFERROR(Y305/H305,"0")+IFERROR(Y306/H306,"0")</f>
        <v>0</v>
      </c>
      <c r="Z307" s="399">
        <f>IFERROR(IF(Z303="",0,Z303),"0")+IFERROR(IF(Z304="",0,Z304),"0")+IFERROR(IF(Z305="",0,Z305),"0")+IFERROR(IF(Z306="",0,Z306),"0")</f>
        <v>0</v>
      </c>
      <c r="AA307" s="400"/>
      <c r="AB307" s="400"/>
      <c r="AC307" s="400"/>
    </row>
    <row r="308" spans="1:68" x14ac:dyDescent="0.2">
      <c r="A308" s="404"/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20"/>
      <c r="P308" s="407" t="s">
        <v>76</v>
      </c>
      <c r="Q308" s="408"/>
      <c r="R308" s="408"/>
      <c r="S308" s="408"/>
      <c r="T308" s="408"/>
      <c r="U308" s="408"/>
      <c r="V308" s="409"/>
      <c r="W308" s="38" t="s">
        <v>71</v>
      </c>
      <c r="X308" s="399">
        <f>IFERROR(SUM(X303:X306),"0")</f>
        <v>0</v>
      </c>
      <c r="Y308" s="399">
        <f>IFERROR(SUM(Y303:Y306),"0")</f>
        <v>0</v>
      </c>
      <c r="Z308" s="38"/>
      <c r="AA308" s="400"/>
      <c r="AB308" s="400"/>
      <c r="AC308" s="400"/>
    </row>
    <row r="309" spans="1:68" ht="14.25" customHeight="1" x14ac:dyDescent="0.25">
      <c r="A309" s="403" t="s">
        <v>66</v>
      </c>
      <c r="B309" s="404"/>
      <c r="C309" s="404"/>
      <c r="D309" s="404"/>
      <c r="E309" s="404"/>
      <c r="F309" s="404"/>
      <c r="G309" s="404"/>
      <c r="H309" s="404"/>
      <c r="I309" s="404"/>
      <c r="J309" s="404"/>
      <c r="K309" s="404"/>
      <c r="L309" s="404"/>
      <c r="M309" s="404"/>
      <c r="N309" s="404"/>
      <c r="O309" s="404"/>
      <c r="P309" s="404"/>
      <c r="Q309" s="404"/>
      <c r="R309" s="404"/>
      <c r="S309" s="404"/>
      <c r="T309" s="404"/>
      <c r="U309" s="404"/>
      <c r="V309" s="404"/>
      <c r="W309" s="404"/>
      <c r="X309" s="404"/>
      <c r="Y309" s="404"/>
      <c r="Z309" s="404"/>
      <c r="AA309" s="393"/>
      <c r="AB309" s="393"/>
      <c r="AC309" s="393"/>
    </row>
    <row r="310" spans="1:68" ht="27" customHeight="1" x14ac:dyDescent="0.25">
      <c r="A310" s="55" t="s">
        <v>472</v>
      </c>
      <c r="B310" s="55" t="s">
        <v>473</v>
      </c>
      <c r="C310" s="32">
        <v>4301051284</v>
      </c>
      <c r="D310" s="405">
        <v>4607091384352</v>
      </c>
      <c r="E310" s="406"/>
      <c r="F310" s="396">
        <v>0.6</v>
      </c>
      <c r="G310" s="33">
        <v>4</v>
      </c>
      <c r="H310" s="396">
        <v>2.4</v>
      </c>
      <c r="I310" s="396">
        <v>2.6459999999999999</v>
      </c>
      <c r="J310" s="33">
        <v>132</v>
      </c>
      <c r="K310" s="33" t="s">
        <v>94</v>
      </c>
      <c r="L310" s="33"/>
      <c r="M310" s="34" t="s">
        <v>95</v>
      </c>
      <c r="N310" s="34"/>
      <c r="O310" s="33">
        <v>45</v>
      </c>
      <c r="P310" s="5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17"/>
      <c r="R310" s="417"/>
      <c r="S310" s="417"/>
      <c r="T310" s="418"/>
      <c r="U310" s="35"/>
      <c r="V310" s="35"/>
      <c r="W310" s="36" t="s">
        <v>71</v>
      </c>
      <c r="X310" s="397">
        <v>100</v>
      </c>
      <c r="Y310" s="398">
        <f>IFERROR(IF(X310="",0,CEILING((X310/$H310),1)*$H310),"")</f>
        <v>100.8</v>
      </c>
      <c r="Z310" s="37">
        <f>IFERROR(IF(Y310=0,"",ROUNDUP(Y310/H310,0)*0.00902),"")</f>
        <v>0.37884000000000001</v>
      </c>
      <c r="AA310" s="57"/>
      <c r="AB310" s="58"/>
      <c r="AC310" s="338" t="s">
        <v>474</v>
      </c>
      <c r="AG310" s="65"/>
      <c r="AJ310" s="69"/>
      <c r="AK310" s="69">
        <v>0</v>
      </c>
      <c r="BB310" s="339" t="s">
        <v>1</v>
      </c>
      <c r="BM310" s="65">
        <f>IFERROR(X310*I310/H310,"0")</f>
        <v>110.24999999999999</v>
      </c>
      <c r="BN310" s="65">
        <f>IFERROR(Y310*I310/H310,"0")</f>
        <v>111.13199999999999</v>
      </c>
      <c r="BO310" s="65">
        <f>IFERROR(1/J310*(X310/H310),"0")</f>
        <v>0.31565656565656569</v>
      </c>
      <c r="BP310" s="65">
        <f>IFERROR(1/J310*(Y310/H310),"0")</f>
        <v>0.31818181818181818</v>
      </c>
    </row>
    <row r="311" spans="1:68" ht="27" customHeight="1" x14ac:dyDescent="0.25">
      <c r="A311" s="55" t="s">
        <v>475</v>
      </c>
      <c r="B311" s="55" t="s">
        <v>476</v>
      </c>
      <c r="C311" s="32">
        <v>4301051431</v>
      </c>
      <c r="D311" s="405">
        <v>4607091389654</v>
      </c>
      <c r="E311" s="406"/>
      <c r="F311" s="396">
        <v>0.33</v>
      </c>
      <c r="G311" s="33">
        <v>6</v>
      </c>
      <c r="H311" s="396">
        <v>1.98</v>
      </c>
      <c r="I311" s="396">
        <v>2.238</v>
      </c>
      <c r="J311" s="33">
        <v>182</v>
      </c>
      <c r="K311" s="33" t="s">
        <v>69</v>
      </c>
      <c r="L311" s="33"/>
      <c r="M311" s="34" t="s">
        <v>95</v>
      </c>
      <c r="N311" s="34"/>
      <c r="O311" s="33">
        <v>45</v>
      </c>
      <c r="P311" s="5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17"/>
      <c r="R311" s="417"/>
      <c r="S311" s="417"/>
      <c r="T311" s="418"/>
      <c r="U311" s="35"/>
      <c r="V311" s="35"/>
      <c r="W311" s="36" t="s">
        <v>71</v>
      </c>
      <c r="X311" s="397">
        <v>0</v>
      </c>
      <c r="Y311" s="398">
        <f>IFERROR(IF(X311="",0,CEILING((X311/$H311),1)*$H311),"")</f>
        <v>0</v>
      </c>
      <c r="Z311" s="37" t="str">
        <f>IFERROR(IF(Y311=0,"",ROUNDUP(Y311/H311,0)*0.00651),"")</f>
        <v/>
      </c>
      <c r="AA311" s="57"/>
      <c r="AB311" s="58"/>
      <c r="AC311" s="340" t="s">
        <v>477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x14ac:dyDescent="0.2">
      <c r="A312" s="419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20"/>
      <c r="P312" s="407" t="s">
        <v>76</v>
      </c>
      <c r="Q312" s="408"/>
      <c r="R312" s="408"/>
      <c r="S312" s="408"/>
      <c r="T312" s="408"/>
      <c r="U312" s="408"/>
      <c r="V312" s="409"/>
      <c r="W312" s="38" t="s">
        <v>77</v>
      </c>
      <c r="X312" s="399">
        <f>IFERROR(X310/H310,"0")+IFERROR(X311/H311,"0")</f>
        <v>41.666666666666671</v>
      </c>
      <c r="Y312" s="399">
        <f>IFERROR(Y310/H310,"0")+IFERROR(Y311/H311,"0")</f>
        <v>42</v>
      </c>
      <c r="Z312" s="399">
        <f>IFERROR(IF(Z310="",0,Z310),"0")+IFERROR(IF(Z311="",0,Z311),"0")</f>
        <v>0.37884000000000001</v>
      </c>
      <c r="AA312" s="400"/>
      <c r="AB312" s="400"/>
      <c r="AC312" s="400"/>
    </row>
    <row r="313" spans="1:68" x14ac:dyDescent="0.2">
      <c r="A313" s="404"/>
      <c r="B313" s="404"/>
      <c r="C313" s="404"/>
      <c r="D313" s="404"/>
      <c r="E313" s="404"/>
      <c r="F313" s="404"/>
      <c r="G313" s="404"/>
      <c r="H313" s="404"/>
      <c r="I313" s="404"/>
      <c r="J313" s="404"/>
      <c r="K313" s="404"/>
      <c r="L313" s="404"/>
      <c r="M313" s="404"/>
      <c r="N313" s="404"/>
      <c r="O313" s="420"/>
      <c r="P313" s="407" t="s">
        <v>76</v>
      </c>
      <c r="Q313" s="408"/>
      <c r="R313" s="408"/>
      <c r="S313" s="408"/>
      <c r="T313" s="408"/>
      <c r="U313" s="408"/>
      <c r="V313" s="409"/>
      <c r="W313" s="38" t="s">
        <v>71</v>
      </c>
      <c r="X313" s="399">
        <f>IFERROR(SUM(X310:X311),"0")</f>
        <v>100</v>
      </c>
      <c r="Y313" s="399">
        <f>IFERROR(SUM(Y310:Y311),"0")</f>
        <v>100.8</v>
      </c>
      <c r="Z313" s="38"/>
      <c r="AA313" s="400"/>
      <c r="AB313" s="400"/>
      <c r="AC313" s="400"/>
    </row>
    <row r="314" spans="1:68" ht="16.5" customHeight="1" x14ac:dyDescent="0.25">
      <c r="A314" s="414" t="s">
        <v>478</v>
      </c>
      <c r="B314" s="404"/>
      <c r="C314" s="404"/>
      <c r="D314" s="404"/>
      <c r="E314" s="404"/>
      <c r="F314" s="404"/>
      <c r="G314" s="404"/>
      <c r="H314" s="404"/>
      <c r="I314" s="404"/>
      <c r="J314" s="404"/>
      <c r="K314" s="404"/>
      <c r="L314" s="404"/>
      <c r="M314" s="404"/>
      <c r="N314" s="404"/>
      <c r="O314" s="404"/>
      <c r="P314" s="404"/>
      <c r="Q314" s="404"/>
      <c r="R314" s="404"/>
      <c r="S314" s="404"/>
      <c r="T314" s="404"/>
      <c r="U314" s="404"/>
      <c r="V314" s="404"/>
      <c r="W314" s="404"/>
      <c r="X314" s="404"/>
      <c r="Y314" s="404"/>
      <c r="Z314" s="404"/>
      <c r="AA314" s="392"/>
      <c r="AB314" s="392"/>
      <c r="AC314" s="392"/>
    </row>
    <row r="315" spans="1:68" ht="14.25" customHeight="1" x14ac:dyDescent="0.25">
      <c r="A315" s="403" t="s">
        <v>117</v>
      </c>
      <c r="B315" s="404"/>
      <c r="C315" s="404"/>
      <c r="D315" s="404"/>
      <c r="E315" s="404"/>
      <c r="F315" s="404"/>
      <c r="G315" s="404"/>
      <c r="H315" s="404"/>
      <c r="I315" s="404"/>
      <c r="J315" s="404"/>
      <c r="K315" s="404"/>
      <c r="L315" s="404"/>
      <c r="M315" s="404"/>
      <c r="N315" s="404"/>
      <c r="O315" s="404"/>
      <c r="P315" s="404"/>
      <c r="Q315" s="404"/>
      <c r="R315" s="404"/>
      <c r="S315" s="404"/>
      <c r="T315" s="404"/>
      <c r="U315" s="404"/>
      <c r="V315" s="404"/>
      <c r="W315" s="404"/>
      <c r="X315" s="404"/>
      <c r="Y315" s="404"/>
      <c r="Z315" s="404"/>
      <c r="AA315" s="393"/>
      <c r="AB315" s="393"/>
      <c r="AC315" s="393"/>
    </row>
    <row r="316" spans="1:68" ht="27" customHeight="1" x14ac:dyDescent="0.25">
      <c r="A316" s="55" t="s">
        <v>479</v>
      </c>
      <c r="B316" s="55" t="s">
        <v>480</v>
      </c>
      <c r="C316" s="32">
        <v>4301020319</v>
      </c>
      <c r="D316" s="405">
        <v>4680115885240</v>
      </c>
      <c r="E316" s="406"/>
      <c r="F316" s="396">
        <v>0.35</v>
      </c>
      <c r="G316" s="33">
        <v>6</v>
      </c>
      <c r="H316" s="396">
        <v>2.1</v>
      </c>
      <c r="I316" s="396">
        <v>2.31</v>
      </c>
      <c r="J316" s="33">
        <v>182</v>
      </c>
      <c r="K316" s="33" t="s">
        <v>69</v>
      </c>
      <c r="L316" s="33"/>
      <c r="M316" s="34" t="s">
        <v>70</v>
      </c>
      <c r="N316" s="34"/>
      <c r="O316" s="33">
        <v>40</v>
      </c>
      <c r="P316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17"/>
      <c r="R316" s="417"/>
      <c r="S316" s="417"/>
      <c r="T316" s="418"/>
      <c r="U316" s="35"/>
      <c r="V316" s="35"/>
      <c r="W316" s="36" t="s">
        <v>71</v>
      </c>
      <c r="X316" s="397">
        <v>0</v>
      </c>
      <c r="Y316" s="398">
        <f>IFERROR(IF(X316="",0,CEILING((X316/$H316),1)*$H316),"")</f>
        <v>0</v>
      </c>
      <c r="Z316" s="37" t="str">
        <f>IFERROR(IF(Y316=0,"",ROUNDUP(Y316/H316,0)*0.00651),"")</f>
        <v/>
      </c>
      <c r="AA316" s="57"/>
      <c r="AB316" s="58"/>
      <c r="AC316" s="342" t="s">
        <v>481</v>
      </c>
      <c r="AG316" s="65"/>
      <c r="AJ316" s="69"/>
      <c r="AK316" s="69">
        <v>0</v>
      </c>
      <c r="BB316" s="343" t="s">
        <v>1</v>
      </c>
      <c r="BM316" s="65">
        <f>IFERROR(X316*I316/H316,"0")</f>
        <v>0</v>
      </c>
      <c r="BN316" s="65">
        <f>IFERROR(Y316*I316/H316,"0")</f>
        <v>0</v>
      </c>
      <c r="BO316" s="65">
        <f>IFERROR(1/J316*(X316/H316),"0")</f>
        <v>0</v>
      </c>
      <c r="BP316" s="65">
        <f>IFERROR(1/J316*(Y316/H316),"0")</f>
        <v>0</v>
      </c>
    </row>
    <row r="317" spans="1:68" x14ac:dyDescent="0.2">
      <c r="A317" s="419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4"/>
      <c r="O317" s="420"/>
      <c r="P317" s="407" t="s">
        <v>76</v>
      </c>
      <c r="Q317" s="408"/>
      <c r="R317" s="408"/>
      <c r="S317" s="408"/>
      <c r="T317" s="408"/>
      <c r="U317" s="408"/>
      <c r="V317" s="409"/>
      <c r="W317" s="38" t="s">
        <v>77</v>
      </c>
      <c r="X317" s="399">
        <f>IFERROR(X316/H316,"0")</f>
        <v>0</v>
      </c>
      <c r="Y317" s="399">
        <f>IFERROR(Y316/H316,"0")</f>
        <v>0</v>
      </c>
      <c r="Z317" s="399">
        <f>IFERROR(IF(Z316="",0,Z316),"0")</f>
        <v>0</v>
      </c>
      <c r="AA317" s="400"/>
      <c r="AB317" s="400"/>
      <c r="AC317" s="400"/>
    </row>
    <row r="318" spans="1:68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4"/>
      <c r="O318" s="420"/>
      <c r="P318" s="407" t="s">
        <v>76</v>
      </c>
      <c r="Q318" s="408"/>
      <c r="R318" s="408"/>
      <c r="S318" s="408"/>
      <c r="T318" s="408"/>
      <c r="U318" s="408"/>
      <c r="V318" s="409"/>
      <c r="W318" s="38" t="s">
        <v>71</v>
      </c>
      <c r="X318" s="399">
        <f>IFERROR(SUM(X316:X316),"0")</f>
        <v>0</v>
      </c>
      <c r="Y318" s="399">
        <f>IFERROR(SUM(Y316:Y316),"0")</f>
        <v>0</v>
      </c>
      <c r="Z318" s="38"/>
      <c r="AA318" s="400"/>
      <c r="AB318" s="400"/>
      <c r="AC318" s="400"/>
    </row>
    <row r="319" spans="1:68" ht="14.25" customHeight="1" x14ac:dyDescent="0.25">
      <c r="A319" s="403" t="s">
        <v>182</v>
      </c>
      <c r="B319" s="404"/>
      <c r="C319" s="404"/>
      <c r="D319" s="404"/>
      <c r="E319" s="404"/>
      <c r="F319" s="404"/>
      <c r="G319" s="404"/>
      <c r="H319" s="404"/>
      <c r="I319" s="404"/>
      <c r="J319" s="404"/>
      <c r="K319" s="404"/>
      <c r="L319" s="404"/>
      <c r="M319" s="404"/>
      <c r="N319" s="404"/>
      <c r="O319" s="404"/>
      <c r="P319" s="404"/>
      <c r="Q319" s="404"/>
      <c r="R319" s="404"/>
      <c r="S319" s="404"/>
      <c r="T319" s="404"/>
      <c r="U319" s="404"/>
      <c r="V319" s="404"/>
      <c r="W319" s="404"/>
      <c r="X319" s="404"/>
      <c r="Y319" s="404"/>
      <c r="Z319" s="404"/>
      <c r="AA319" s="393"/>
      <c r="AB319" s="393"/>
      <c r="AC319" s="393"/>
    </row>
    <row r="320" spans="1:68" ht="27" customHeight="1" x14ac:dyDescent="0.25">
      <c r="A320" s="55" t="s">
        <v>482</v>
      </c>
      <c r="B320" s="55" t="s">
        <v>483</v>
      </c>
      <c r="C320" s="32">
        <v>4301031403</v>
      </c>
      <c r="D320" s="405">
        <v>4680115886094</v>
      </c>
      <c r="E320" s="406"/>
      <c r="F320" s="396">
        <v>0.9</v>
      </c>
      <c r="G320" s="33">
        <v>6</v>
      </c>
      <c r="H320" s="396">
        <v>5.4</v>
      </c>
      <c r="I320" s="396">
        <v>5.61</v>
      </c>
      <c r="J320" s="33">
        <v>132</v>
      </c>
      <c r="K320" s="33" t="s">
        <v>94</v>
      </c>
      <c r="L320" s="33"/>
      <c r="M320" s="34" t="s">
        <v>90</v>
      </c>
      <c r="N320" s="34"/>
      <c r="O320" s="33">
        <v>50</v>
      </c>
      <c r="P320" s="5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17"/>
      <c r="R320" s="417"/>
      <c r="S320" s="417"/>
      <c r="T320" s="418"/>
      <c r="U320" s="35"/>
      <c r="V320" s="35"/>
      <c r="W320" s="36" t="s">
        <v>71</v>
      </c>
      <c r="X320" s="397">
        <v>0</v>
      </c>
      <c r="Y320" s="398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484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19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4"/>
      <c r="O321" s="420"/>
      <c r="P321" s="407" t="s">
        <v>76</v>
      </c>
      <c r="Q321" s="408"/>
      <c r="R321" s="408"/>
      <c r="S321" s="408"/>
      <c r="T321" s="408"/>
      <c r="U321" s="408"/>
      <c r="V321" s="409"/>
      <c r="W321" s="38" t="s">
        <v>77</v>
      </c>
      <c r="X321" s="399">
        <f>IFERROR(X320/H320,"0")</f>
        <v>0</v>
      </c>
      <c r="Y321" s="399">
        <f>IFERROR(Y320/H320,"0")</f>
        <v>0</v>
      </c>
      <c r="Z321" s="399">
        <f>IFERROR(IF(Z320="",0,Z320),"0")</f>
        <v>0</v>
      </c>
      <c r="AA321" s="400"/>
      <c r="AB321" s="400"/>
      <c r="AC321" s="400"/>
    </row>
    <row r="322" spans="1:68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4"/>
      <c r="O322" s="420"/>
      <c r="P322" s="407" t="s">
        <v>76</v>
      </c>
      <c r="Q322" s="408"/>
      <c r="R322" s="408"/>
      <c r="S322" s="408"/>
      <c r="T322" s="408"/>
      <c r="U322" s="408"/>
      <c r="V322" s="409"/>
      <c r="W322" s="38" t="s">
        <v>71</v>
      </c>
      <c r="X322" s="399">
        <f>IFERROR(SUM(X320:X320),"0")</f>
        <v>0</v>
      </c>
      <c r="Y322" s="399">
        <f>IFERROR(SUM(Y320:Y320),"0")</f>
        <v>0</v>
      </c>
      <c r="Z322" s="38"/>
      <c r="AA322" s="400"/>
      <c r="AB322" s="400"/>
      <c r="AC322" s="400"/>
    </row>
    <row r="323" spans="1:68" ht="27.75" customHeight="1" x14ac:dyDescent="0.2">
      <c r="A323" s="425" t="s">
        <v>485</v>
      </c>
      <c r="B323" s="426"/>
      <c r="C323" s="426"/>
      <c r="D323" s="426"/>
      <c r="E323" s="426"/>
      <c r="F323" s="426"/>
      <c r="G323" s="426"/>
      <c r="H323" s="426"/>
      <c r="I323" s="426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  <c r="V323" s="426"/>
      <c r="W323" s="426"/>
      <c r="X323" s="426"/>
      <c r="Y323" s="426"/>
      <c r="Z323" s="426"/>
      <c r="AA323" s="49"/>
      <c r="AB323" s="49"/>
      <c r="AC323" s="49"/>
    </row>
    <row r="324" spans="1:68" ht="16.5" customHeight="1" x14ac:dyDescent="0.25">
      <c r="A324" s="414" t="s">
        <v>485</v>
      </c>
      <c r="B324" s="404"/>
      <c r="C324" s="404"/>
      <c r="D324" s="404"/>
      <c r="E324" s="404"/>
      <c r="F324" s="404"/>
      <c r="G324" s="404"/>
      <c r="H324" s="404"/>
      <c r="I324" s="404"/>
      <c r="J324" s="404"/>
      <c r="K324" s="404"/>
      <c r="L324" s="404"/>
      <c r="M324" s="404"/>
      <c r="N324" s="404"/>
      <c r="O324" s="404"/>
      <c r="P324" s="404"/>
      <c r="Q324" s="404"/>
      <c r="R324" s="404"/>
      <c r="S324" s="404"/>
      <c r="T324" s="404"/>
      <c r="U324" s="404"/>
      <c r="V324" s="404"/>
      <c r="W324" s="404"/>
      <c r="X324" s="404"/>
      <c r="Y324" s="404"/>
      <c r="Z324" s="404"/>
      <c r="AA324" s="392"/>
      <c r="AB324" s="392"/>
      <c r="AC324" s="392"/>
    </row>
    <row r="325" spans="1:68" ht="14.25" customHeight="1" x14ac:dyDescent="0.25">
      <c r="A325" s="403" t="s">
        <v>86</v>
      </c>
      <c r="B325" s="404"/>
      <c r="C325" s="404"/>
      <c r="D325" s="404"/>
      <c r="E325" s="404"/>
      <c r="F325" s="404"/>
      <c r="G325" s="404"/>
      <c r="H325" s="404"/>
      <c r="I325" s="404"/>
      <c r="J325" s="404"/>
      <c r="K325" s="404"/>
      <c r="L325" s="404"/>
      <c r="M325" s="404"/>
      <c r="N325" s="404"/>
      <c r="O325" s="404"/>
      <c r="P325" s="404"/>
      <c r="Q325" s="404"/>
      <c r="R325" s="404"/>
      <c r="S325" s="404"/>
      <c r="T325" s="404"/>
      <c r="U325" s="404"/>
      <c r="V325" s="404"/>
      <c r="W325" s="404"/>
      <c r="X325" s="404"/>
      <c r="Y325" s="404"/>
      <c r="Z325" s="404"/>
      <c r="AA325" s="393"/>
      <c r="AB325" s="393"/>
      <c r="AC325" s="393"/>
    </row>
    <row r="326" spans="1:68" ht="27" customHeight="1" x14ac:dyDescent="0.25">
      <c r="A326" s="55" t="s">
        <v>486</v>
      </c>
      <c r="B326" s="55" t="s">
        <v>487</v>
      </c>
      <c r="C326" s="32">
        <v>4301011795</v>
      </c>
      <c r="D326" s="405">
        <v>4607091389067</v>
      </c>
      <c r="E326" s="406"/>
      <c r="F326" s="396">
        <v>0.88</v>
      </c>
      <c r="G326" s="33">
        <v>6</v>
      </c>
      <c r="H326" s="396">
        <v>5.28</v>
      </c>
      <c r="I326" s="396">
        <v>5.64</v>
      </c>
      <c r="J326" s="33">
        <v>104</v>
      </c>
      <c r="K326" s="33" t="s">
        <v>89</v>
      </c>
      <c r="L326" s="33"/>
      <c r="M326" s="34" t="s">
        <v>90</v>
      </c>
      <c r="N326" s="34"/>
      <c r="O326" s="33">
        <v>60</v>
      </c>
      <c r="P326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17"/>
      <c r="R326" s="417"/>
      <c r="S326" s="417"/>
      <c r="T326" s="418"/>
      <c r="U326" s="35"/>
      <c r="V326" s="35"/>
      <c r="W326" s="36" t="s">
        <v>71</v>
      </c>
      <c r="X326" s="397">
        <v>0</v>
      </c>
      <c r="Y326" s="398">
        <f t="shared" ref="Y326:Y335" si="30">IFERROR(IF(X326="",0,CEILING((X326/$H326),1)*$H326),"")</f>
        <v>0</v>
      </c>
      <c r="Z326" s="37" t="str">
        <f>IFERROR(IF(Y326=0,"",ROUNDUP(Y326/H326,0)*0.01196),"")</f>
        <v/>
      </c>
      <c r="AA326" s="57"/>
      <c r="AB326" s="58"/>
      <c r="AC326" s="346" t="s">
        <v>488</v>
      </c>
      <c r="AG326" s="65"/>
      <c r="AJ326" s="69"/>
      <c r="AK326" s="69">
        <v>0</v>
      </c>
      <c r="BB326" s="347" t="s">
        <v>1</v>
      </c>
      <c r="BM326" s="65">
        <f t="shared" ref="BM326:BM335" si="31">IFERROR(X326*I326/H326,"0")</f>
        <v>0</v>
      </c>
      <c r="BN326" s="65">
        <f t="shared" ref="BN326:BN335" si="32">IFERROR(Y326*I326/H326,"0")</f>
        <v>0</v>
      </c>
      <c r="BO326" s="65">
        <f t="shared" ref="BO326:BO335" si="33">IFERROR(1/J326*(X326/H326),"0")</f>
        <v>0</v>
      </c>
      <c r="BP326" s="65">
        <f t="shared" ref="BP326:BP335" si="34">IFERROR(1/J326*(Y326/H326),"0")</f>
        <v>0</v>
      </c>
    </row>
    <row r="327" spans="1:68" ht="27" customHeight="1" x14ac:dyDescent="0.25">
      <c r="A327" s="55" t="s">
        <v>489</v>
      </c>
      <c r="B327" s="55" t="s">
        <v>490</v>
      </c>
      <c r="C327" s="32">
        <v>4301011376</v>
      </c>
      <c r="D327" s="405">
        <v>4680115885226</v>
      </c>
      <c r="E327" s="406"/>
      <c r="F327" s="396">
        <v>0.88</v>
      </c>
      <c r="G327" s="33">
        <v>6</v>
      </c>
      <c r="H327" s="396">
        <v>5.28</v>
      </c>
      <c r="I327" s="396">
        <v>5.64</v>
      </c>
      <c r="J327" s="33">
        <v>104</v>
      </c>
      <c r="K327" s="33" t="s">
        <v>89</v>
      </c>
      <c r="L327" s="33"/>
      <c r="M327" s="34" t="s">
        <v>95</v>
      </c>
      <c r="N327" s="34"/>
      <c r="O327" s="33">
        <v>60</v>
      </c>
      <c r="P327" s="5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17"/>
      <c r="R327" s="417"/>
      <c r="S327" s="417"/>
      <c r="T327" s="418"/>
      <c r="U327" s="35"/>
      <c r="V327" s="35"/>
      <c r="W327" s="36" t="s">
        <v>71</v>
      </c>
      <c r="X327" s="397">
        <v>250</v>
      </c>
      <c r="Y327" s="398">
        <f t="shared" si="30"/>
        <v>253.44</v>
      </c>
      <c r="Z327" s="37">
        <f>IFERROR(IF(Y327=0,"",ROUNDUP(Y327/H327,0)*0.01196),"")</f>
        <v>0.57408000000000003</v>
      </c>
      <c r="AA327" s="57"/>
      <c r="AB327" s="58"/>
      <c r="AC327" s="348" t="s">
        <v>491</v>
      </c>
      <c r="AG327" s="65"/>
      <c r="AJ327" s="69"/>
      <c r="AK327" s="69">
        <v>0</v>
      </c>
      <c r="BB327" s="349" t="s">
        <v>1</v>
      </c>
      <c r="BM327" s="65">
        <f t="shared" si="31"/>
        <v>267.04545454545456</v>
      </c>
      <c r="BN327" s="65">
        <f t="shared" si="32"/>
        <v>270.71999999999997</v>
      </c>
      <c r="BO327" s="65">
        <f t="shared" si="33"/>
        <v>0.45527389277389274</v>
      </c>
      <c r="BP327" s="65">
        <f t="shared" si="34"/>
        <v>0.46153846153846156</v>
      </c>
    </row>
    <row r="328" spans="1:68" ht="16.5" customHeight="1" x14ac:dyDescent="0.25">
      <c r="A328" s="55" t="s">
        <v>492</v>
      </c>
      <c r="B328" s="55" t="s">
        <v>493</v>
      </c>
      <c r="C328" s="32">
        <v>4301011774</v>
      </c>
      <c r="D328" s="405">
        <v>4680115884502</v>
      </c>
      <c r="E328" s="406"/>
      <c r="F328" s="396">
        <v>0.88</v>
      </c>
      <c r="G328" s="33">
        <v>6</v>
      </c>
      <c r="H328" s="396">
        <v>5.28</v>
      </c>
      <c r="I328" s="39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17"/>
      <c r="R328" s="417"/>
      <c r="S328" s="417"/>
      <c r="T328" s="418"/>
      <c r="U328" s="35"/>
      <c r="V328" s="35"/>
      <c r="W328" s="36" t="s">
        <v>71</v>
      </c>
      <c r="X328" s="397">
        <v>0</v>
      </c>
      <c r="Y328" s="39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494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27" customHeight="1" x14ac:dyDescent="0.25">
      <c r="A329" s="55" t="s">
        <v>495</v>
      </c>
      <c r="B329" s="55" t="s">
        <v>496</v>
      </c>
      <c r="C329" s="32">
        <v>4301011771</v>
      </c>
      <c r="D329" s="405">
        <v>4607091389104</v>
      </c>
      <c r="E329" s="406"/>
      <c r="F329" s="396">
        <v>0.88</v>
      </c>
      <c r="G329" s="33">
        <v>6</v>
      </c>
      <c r="H329" s="396">
        <v>5.28</v>
      </c>
      <c r="I329" s="396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6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17"/>
      <c r="R329" s="417"/>
      <c r="S329" s="417"/>
      <c r="T329" s="418"/>
      <c r="U329" s="35"/>
      <c r="V329" s="35"/>
      <c r="W329" s="36" t="s">
        <v>71</v>
      </c>
      <c r="X329" s="397">
        <v>0</v>
      </c>
      <c r="Y329" s="39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497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16.5" customHeight="1" x14ac:dyDescent="0.25">
      <c r="A330" s="55" t="s">
        <v>498</v>
      </c>
      <c r="B330" s="55" t="s">
        <v>499</v>
      </c>
      <c r="C330" s="32">
        <v>4301011799</v>
      </c>
      <c r="D330" s="405">
        <v>4680115884519</v>
      </c>
      <c r="E330" s="406"/>
      <c r="F330" s="396">
        <v>0.88</v>
      </c>
      <c r="G330" s="33">
        <v>6</v>
      </c>
      <c r="H330" s="396">
        <v>5.28</v>
      </c>
      <c r="I330" s="396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17"/>
      <c r="R330" s="417"/>
      <c r="S330" s="417"/>
      <c r="T330" s="418"/>
      <c r="U330" s="35"/>
      <c r="V330" s="35"/>
      <c r="W330" s="36" t="s">
        <v>71</v>
      </c>
      <c r="X330" s="397">
        <v>0</v>
      </c>
      <c r="Y330" s="398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501</v>
      </c>
      <c r="B331" s="55" t="s">
        <v>502</v>
      </c>
      <c r="C331" s="32">
        <v>4301011778</v>
      </c>
      <c r="D331" s="405">
        <v>4680115880603</v>
      </c>
      <c r="E331" s="406"/>
      <c r="F331" s="396">
        <v>0.6</v>
      </c>
      <c r="G331" s="33">
        <v>6</v>
      </c>
      <c r="H331" s="396">
        <v>3.6</v>
      </c>
      <c r="I331" s="396">
        <v>3.81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1" s="417"/>
      <c r="R331" s="417"/>
      <c r="S331" s="417"/>
      <c r="T331" s="418"/>
      <c r="U331" s="35"/>
      <c r="V331" s="35"/>
      <c r="W331" s="36" t="s">
        <v>71</v>
      </c>
      <c r="X331" s="397">
        <v>0</v>
      </c>
      <c r="Y331" s="398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488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501</v>
      </c>
      <c r="B332" s="55" t="s">
        <v>503</v>
      </c>
      <c r="C332" s="32">
        <v>4301012035</v>
      </c>
      <c r="D332" s="405">
        <v>4680115880603</v>
      </c>
      <c r="E332" s="406"/>
      <c r="F332" s="396">
        <v>0.6</v>
      </c>
      <c r="G332" s="33">
        <v>8</v>
      </c>
      <c r="H332" s="396">
        <v>4.8</v>
      </c>
      <c r="I332" s="396">
        <v>6.93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2" s="417"/>
      <c r="R332" s="417"/>
      <c r="S332" s="417"/>
      <c r="T332" s="418"/>
      <c r="U332" s="35"/>
      <c r="V332" s="35"/>
      <c r="W332" s="36" t="s">
        <v>71</v>
      </c>
      <c r="X332" s="397">
        <v>0</v>
      </c>
      <c r="Y332" s="398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488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504</v>
      </c>
      <c r="B333" s="55" t="s">
        <v>505</v>
      </c>
      <c r="C333" s="32">
        <v>4301012036</v>
      </c>
      <c r="D333" s="405">
        <v>4680115882782</v>
      </c>
      <c r="E333" s="406"/>
      <c r="F333" s="396">
        <v>0.6</v>
      </c>
      <c r="G333" s="33">
        <v>8</v>
      </c>
      <c r="H333" s="396">
        <v>4.8</v>
      </c>
      <c r="I333" s="396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3" s="417"/>
      <c r="R333" s="417"/>
      <c r="S333" s="417"/>
      <c r="T333" s="418"/>
      <c r="U333" s="35"/>
      <c r="V333" s="35"/>
      <c r="W333" s="36" t="s">
        <v>71</v>
      </c>
      <c r="X333" s="397">
        <v>0</v>
      </c>
      <c r="Y333" s="398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506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507</v>
      </c>
      <c r="B334" s="55" t="s">
        <v>508</v>
      </c>
      <c r="C334" s="32">
        <v>4301011784</v>
      </c>
      <c r="D334" s="405">
        <v>4607091389982</v>
      </c>
      <c r="E334" s="406"/>
      <c r="F334" s="396">
        <v>0.6</v>
      </c>
      <c r="G334" s="33">
        <v>6</v>
      </c>
      <c r="H334" s="396">
        <v>3.6</v>
      </c>
      <c r="I334" s="396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4" s="417"/>
      <c r="R334" s="417"/>
      <c r="S334" s="417"/>
      <c r="T334" s="418"/>
      <c r="U334" s="35"/>
      <c r="V334" s="35"/>
      <c r="W334" s="36" t="s">
        <v>71</v>
      </c>
      <c r="X334" s="397">
        <v>0</v>
      </c>
      <c r="Y334" s="398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497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507</v>
      </c>
      <c r="B335" s="55" t="s">
        <v>509</v>
      </c>
      <c r="C335" s="32">
        <v>4301012034</v>
      </c>
      <c r="D335" s="405">
        <v>4607091389982</v>
      </c>
      <c r="E335" s="406"/>
      <c r="F335" s="396">
        <v>0.6</v>
      </c>
      <c r="G335" s="33">
        <v>8</v>
      </c>
      <c r="H335" s="396">
        <v>4.8</v>
      </c>
      <c r="I335" s="396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5" s="417"/>
      <c r="R335" s="417"/>
      <c r="S335" s="417"/>
      <c r="T335" s="418"/>
      <c r="U335" s="35"/>
      <c r="V335" s="35"/>
      <c r="W335" s="36" t="s">
        <v>71</v>
      </c>
      <c r="X335" s="397">
        <v>0</v>
      </c>
      <c r="Y335" s="398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497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x14ac:dyDescent="0.2">
      <c r="A336" s="419"/>
      <c r="B336" s="404"/>
      <c r="C336" s="404"/>
      <c r="D336" s="404"/>
      <c r="E336" s="404"/>
      <c r="F336" s="404"/>
      <c r="G336" s="404"/>
      <c r="H336" s="404"/>
      <c r="I336" s="404"/>
      <c r="J336" s="404"/>
      <c r="K336" s="404"/>
      <c r="L336" s="404"/>
      <c r="M336" s="404"/>
      <c r="N336" s="404"/>
      <c r="O336" s="420"/>
      <c r="P336" s="407" t="s">
        <v>76</v>
      </c>
      <c r="Q336" s="408"/>
      <c r="R336" s="408"/>
      <c r="S336" s="408"/>
      <c r="T336" s="408"/>
      <c r="U336" s="408"/>
      <c r="V336" s="409"/>
      <c r="W336" s="38" t="s">
        <v>77</v>
      </c>
      <c r="X336" s="399">
        <f>IFERROR(X326/H326,"0")+IFERROR(X327/H327,"0")+IFERROR(X328/H328,"0")+IFERROR(X329/H329,"0")+IFERROR(X330/H330,"0")+IFERROR(X331/H331,"0")+IFERROR(X332/H332,"0")+IFERROR(X333/H333,"0")+IFERROR(X334/H334,"0")+IFERROR(X335/H335,"0")</f>
        <v>47.348484848484844</v>
      </c>
      <c r="Y336" s="399">
        <f>IFERROR(Y326/H326,"0")+IFERROR(Y327/H327,"0")+IFERROR(Y328/H328,"0")+IFERROR(Y329/H329,"0")+IFERROR(Y330/H330,"0")+IFERROR(Y331/H331,"0")+IFERROR(Y332/H332,"0")+IFERROR(Y333/H333,"0")+IFERROR(Y334/H334,"0")+IFERROR(Y335/H335,"0")</f>
        <v>48</v>
      </c>
      <c r="Z336" s="399">
        <f>IFERROR(IF(Z326="",0,Z326),"0")+IFERROR(IF(Z327="",0,Z327),"0")+IFERROR(IF(Z328="",0,Z328),"0")+IFERROR(IF(Z329="",0,Z329),"0")+IFERROR(IF(Z330="",0,Z330),"0")+IFERROR(IF(Z331="",0,Z331),"0")+IFERROR(IF(Z332="",0,Z332),"0")+IFERROR(IF(Z333="",0,Z333),"0")+IFERROR(IF(Z334="",0,Z334),"0")+IFERROR(IF(Z335="",0,Z335),"0")</f>
        <v>0.57408000000000003</v>
      </c>
      <c r="AA336" s="400"/>
      <c r="AB336" s="400"/>
      <c r="AC336" s="400"/>
    </row>
    <row r="337" spans="1:68" x14ac:dyDescent="0.2">
      <c r="A337" s="404"/>
      <c r="B337" s="404"/>
      <c r="C337" s="404"/>
      <c r="D337" s="404"/>
      <c r="E337" s="404"/>
      <c r="F337" s="404"/>
      <c r="G337" s="404"/>
      <c r="H337" s="404"/>
      <c r="I337" s="404"/>
      <c r="J337" s="404"/>
      <c r="K337" s="404"/>
      <c r="L337" s="404"/>
      <c r="M337" s="404"/>
      <c r="N337" s="404"/>
      <c r="O337" s="420"/>
      <c r="P337" s="407" t="s">
        <v>76</v>
      </c>
      <c r="Q337" s="408"/>
      <c r="R337" s="408"/>
      <c r="S337" s="408"/>
      <c r="T337" s="408"/>
      <c r="U337" s="408"/>
      <c r="V337" s="409"/>
      <c r="W337" s="38" t="s">
        <v>71</v>
      </c>
      <c r="X337" s="399">
        <f>IFERROR(SUM(X326:X335),"0")</f>
        <v>250</v>
      </c>
      <c r="Y337" s="399">
        <f>IFERROR(SUM(Y326:Y335),"0")</f>
        <v>253.44</v>
      </c>
      <c r="Z337" s="38"/>
      <c r="AA337" s="400"/>
      <c r="AB337" s="400"/>
      <c r="AC337" s="400"/>
    </row>
    <row r="338" spans="1:68" ht="14.25" customHeight="1" x14ac:dyDescent="0.25">
      <c r="A338" s="403" t="s">
        <v>117</v>
      </c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4"/>
      <c r="O338" s="404"/>
      <c r="P338" s="404"/>
      <c r="Q338" s="404"/>
      <c r="R338" s="404"/>
      <c r="S338" s="404"/>
      <c r="T338" s="404"/>
      <c r="U338" s="404"/>
      <c r="V338" s="404"/>
      <c r="W338" s="404"/>
      <c r="X338" s="404"/>
      <c r="Y338" s="404"/>
      <c r="Z338" s="404"/>
      <c r="AA338" s="393"/>
      <c r="AB338" s="393"/>
      <c r="AC338" s="393"/>
    </row>
    <row r="339" spans="1:68" ht="16.5" customHeight="1" x14ac:dyDescent="0.25">
      <c r="A339" s="55" t="s">
        <v>510</v>
      </c>
      <c r="B339" s="55" t="s">
        <v>511</v>
      </c>
      <c r="C339" s="32">
        <v>4301020334</v>
      </c>
      <c r="D339" s="405">
        <v>4607091388930</v>
      </c>
      <c r="E339" s="406"/>
      <c r="F339" s="396">
        <v>0.88</v>
      </c>
      <c r="G339" s="33">
        <v>6</v>
      </c>
      <c r="H339" s="396">
        <v>5.28</v>
      </c>
      <c r="I339" s="396">
        <v>5.64</v>
      </c>
      <c r="J339" s="33">
        <v>104</v>
      </c>
      <c r="K339" s="33" t="s">
        <v>89</v>
      </c>
      <c r="L339" s="33"/>
      <c r="M339" s="34" t="s">
        <v>95</v>
      </c>
      <c r="N339" s="34"/>
      <c r="O339" s="33">
        <v>70</v>
      </c>
      <c r="P339" s="6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9" s="417"/>
      <c r="R339" s="417"/>
      <c r="S339" s="417"/>
      <c r="T339" s="418"/>
      <c r="U339" s="35"/>
      <c r="V339" s="35"/>
      <c r="W339" s="36" t="s">
        <v>71</v>
      </c>
      <c r="X339" s="397">
        <v>300</v>
      </c>
      <c r="Y339" s="398">
        <f>IFERROR(IF(X339="",0,CEILING((X339/$H339),1)*$H339),"")</f>
        <v>300.96000000000004</v>
      </c>
      <c r="Z339" s="37">
        <f>IFERROR(IF(Y339=0,"",ROUNDUP(Y339/H339,0)*0.01196),"")</f>
        <v>0.68171999999999999</v>
      </c>
      <c r="AA339" s="57"/>
      <c r="AB339" s="58"/>
      <c r="AC339" s="366" t="s">
        <v>512</v>
      </c>
      <c r="AG339" s="65"/>
      <c r="AJ339" s="69"/>
      <c r="AK339" s="69">
        <v>0</v>
      </c>
      <c r="BB339" s="367" t="s">
        <v>1</v>
      </c>
      <c r="BM339" s="65">
        <f>IFERROR(X339*I339/H339,"0")</f>
        <v>320.45454545454544</v>
      </c>
      <c r="BN339" s="65">
        <f>IFERROR(Y339*I339/H339,"0")</f>
        <v>321.48</v>
      </c>
      <c r="BO339" s="65">
        <f>IFERROR(1/J339*(X339/H339),"0")</f>
        <v>0.54632867132867136</v>
      </c>
      <c r="BP339" s="65">
        <f>IFERROR(1/J339*(Y339/H339),"0")</f>
        <v>0.54807692307692313</v>
      </c>
    </row>
    <row r="340" spans="1:68" ht="16.5" customHeight="1" x14ac:dyDescent="0.25">
      <c r="A340" s="55" t="s">
        <v>513</v>
      </c>
      <c r="B340" s="55" t="s">
        <v>514</v>
      </c>
      <c r="C340" s="32">
        <v>4301020385</v>
      </c>
      <c r="D340" s="405">
        <v>4680115880054</v>
      </c>
      <c r="E340" s="406"/>
      <c r="F340" s="396">
        <v>0.6</v>
      </c>
      <c r="G340" s="33">
        <v>8</v>
      </c>
      <c r="H340" s="396">
        <v>4.8</v>
      </c>
      <c r="I340" s="396">
        <v>6.93</v>
      </c>
      <c r="J340" s="33">
        <v>132</v>
      </c>
      <c r="K340" s="33" t="s">
        <v>94</v>
      </c>
      <c r="L340" s="33"/>
      <c r="M340" s="34" t="s">
        <v>90</v>
      </c>
      <c r="N340" s="34"/>
      <c r="O340" s="33">
        <v>70</v>
      </c>
      <c r="P340" s="57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0" s="417"/>
      <c r="R340" s="417"/>
      <c r="S340" s="417"/>
      <c r="T340" s="418"/>
      <c r="U340" s="35"/>
      <c r="V340" s="35"/>
      <c r="W340" s="36" t="s">
        <v>71</v>
      </c>
      <c r="X340" s="397">
        <v>0</v>
      </c>
      <c r="Y340" s="398">
        <f>IFERROR(IF(X340="",0,CEILING((X340/$H340),1)*$H340),"")</f>
        <v>0</v>
      </c>
      <c r="Z340" s="37" t="str">
        <f>IFERROR(IF(Y340=0,"",ROUNDUP(Y340/H340,0)*0.00902),"")</f>
        <v/>
      </c>
      <c r="AA340" s="57"/>
      <c r="AB340" s="58"/>
      <c r="AC340" s="368" t="s">
        <v>512</v>
      </c>
      <c r="AG340" s="65"/>
      <c r="AJ340" s="69"/>
      <c r="AK340" s="69">
        <v>0</v>
      </c>
      <c r="BB340" s="36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19"/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04"/>
      <c r="M341" s="404"/>
      <c r="N341" s="404"/>
      <c r="O341" s="420"/>
      <c r="P341" s="407" t="s">
        <v>76</v>
      </c>
      <c r="Q341" s="408"/>
      <c r="R341" s="408"/>
      <c r="S341" s="408"/>
      <c r="T341" s="408"/>
      <c r="U341" s="408"/>
      <c r="V341" s="409"/>
      <c r="W341" s="38" t="s">
        <v>77</v>
      </c>
      <c r="X341" s="399">
        <f>IFERROR(X339/H339,"0")+IFERROR(X340/H340,"0")</f>
        <v>56.818181818181813</v>
      </c>
      <c r="Y341" s="399">
        <f>IFERROR(Y339/H339,"0")+IFERROR(Y340/H340,"0")</f>
        <v>57.000000000000007</v>
      </c>
      <c r="Z341" s="399">
        <f>IFERROR(IF(Z339="",0,Z339),"0")+IFERROR(IF(Z340="",0,Z340),"0")</f>
        <v>0.68171999999999999</v>
      </c>
      <c r="AA341" s="400"/>
      <c r="AB341" s="400"/>
      <c r="AC341" s="400"/>
    </row>
    <row r="342" spans="1:68" x14ac:dyDescent="0.2">
      <c r="A342" s="404"/>
      <c r="B342" s="404"/>
      <c r="C342" s="404"/>
      <c r="D342" s="404"/>
      <c r="E342" s="404"/>
      <c r="F342" s="404"/>
      <c r="G342" s="404"/>
      <c r="H342" s="404"/>
      <c r="I342" s="404"/>
      <c r="J342" s="404"/>
      <c r="K342" s="404"/>
      <c r="L342" s="404"/>
      <c r="M342" s="404"/>
      <c r="N342" s="404"/>
      <c r="O342" s="420"/>
      <c r="P342" s="407" t="s">
        <v>76</v>
      </c>
      <c r="Q342" s="408"/>
      <c r="R342" s="408"/>
      <c r="S342" s="408"/>
      <c r="T342" s="408"/>
      <c r="U342" s="408"/>
      <c r="V342" s="409"/>
      <c r="W342" s="38" t="s">
        <v>71</v>
      </c>
      <c r="X342" s="399">
        <f>IFERROR(SUM(X339:X340),"0")</f>
        <v>300</v>
      </c>
      <c r="Y342" s="399">
        <f>IFERROR(SUM(Y339:Y340),"0")</f>
        <v>300.96000000000004</v>
      </c>
      <c r="Z342" s="38"/>
      <c r="AA342" s="400"/>
      <c r="AB342" s="400"/>
      <c r="AC342" s="400"/>
    </row>
    <row r="343" spans="1:68" ht="14.25" customHeight="1" x14ac:dyDescent="0.25">
      <c r="A343" s="403" t="s">
        <v>182</v>
      </c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4"/>
      <c r="O343" s="404"/>
      <c r="P343" s="404"/>
      <c r="Q343" s="404"/>
      <c r="R343" s="404"/>
      <c r="S343" s="404"/>
      <c r="T343" s="404"/>
      <c r="U343" s="404"/>
      <c r="V343" s="404"/>
      <c r="W343" s="404"/>
      <c r="X343" s="404"/>
      <c r="Y343" s="404"/>
      <c r="Z343" s="404"/>
      <c r="AA343" s="393"/>
      <c r="AB343" s="393"/>
      <c r="AC343" s="393"/>
    </row>
    <row r="344" spans="1:68" ht="27" customHeight="1" x14ac:dyDescent="0.25">
      <c r="A344" s="55" t="s">
        <v>515</v>
      </c>
      <c r="B344" s="55" t="s">
        <v>516</v>
      </c>
      <c r="C344" s="32">
        <v>4301031349</v>
      </c>
      <c r="D344" s="405">
        <v>4680115883116</v>
      </c>
      <c r="E344" s="406"/>
      <c r="F344" s="396">
        <v>0.88</v>
      </c>
      <c r="G344" s="33">
        <v>6</v>
      </c>
      <c r="H344" s="396">
        <v>5.28</v>
      </c>
      <c r="I344" s="396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70</v>
      </c>
      <c r="P344" s="4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4" s="417"/>
      <c r="R344" s="417"/>
      <c r="S344" s="417"/>
      <c r="T344" s="418"/>
      <c r="U344" s="35"/>
      <c r="V344" s="35"/>
      <c r="W344" s="36" t="s">
        <v>71</v>
      </c>
      <c r="X344" s="397">
        <v>150</v>
      </c>
      <c r="Y344" s="398">
        <f t="shared" ref="Y344:Y350" si="35">IFERROR(IF(X344="",0,CEILING((X344/$H344),1)*$H344),"")</f>
        <v>153.12</v>
      </c>
      <c r="Z344" s="37">
        <f>IFERROR(IF(Y344=0,"",ROUNDUP(Y344/H344,0)*0.01196),"")</f>
        <v>0.34683999999999998</v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ref="BM344:BM350" si="36">IFERROR(X344*I344/H344,"0")</f>
        <v>160.22727272727272</v>
      </c>
      <c r="BN344" s="65">
        <f t="shared" ref="BN344:BN350" si="37">IFERROR(Y344*I344/H344,"0")</f>
        <v>163.56</v>
      </c>
      <c r="BO344" s="65">
        <f t="shared" ref="BO344:BO350" si="38">IFERROR(1/J344*(X344/H344),"0")</f>
        <v>0.27316433566433568</v>
      </c>
      <c r="BP344" s="65">
        <f t="shared" ref="BP344:BP350" si="39">IFERROR(1/J344*(Y344/H344),"0")</f>
        <v>0.27884615384615385</v>
      </c>
    </row>
    <row r="345" spans="1:68" ht="27" customHeight="1" x14ac:dyDescent="0.25">
      <c r="A345" s="55" t="s">
        <v>518</v>
      </c>
      <c r="B345" s="55" t="s">
        <v>519</v>
      </c>
      <c r="C345" s="32">
        <v>4301031350</v>
      </c>
      <c r="D345" s="405">
        <v>4680115883093</v>
      </c>
      <c r="E345" s="406"/>
      <c r="F345" s="396">
        <v>0.88</v>
      </c>
      <c r="G345" s="33">
        <v>6</v>
      </c>
      <c r="H345" s="396">
        <v>5.28</v>
      </c>
      <c r="I345" s="396">
        <v>5.64</v>
      </c>
      <c r="J345" s="33">
        <v>104</v>
      </c>
      <c r="K345" s="33" t="s">
        <v>89</v>
      </c>
      <c r="L345" s="33"/>
      <c r="M345" s="34" t="s">
        <v>70</v>
      </c>
      <c r="N345" s="34"/>
      <c r="O345" s="33">
        <v>70</v>
      </c>
      <c r="P345" s="4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5" s="417"/>
      <c r="R345" s="417"/>
      <c r="S345" s="417"/>
      <c r="T345" s="418"/>
      <c r="U345" s="35"/>
      <c r="V345" s="35"/>
      <c r="W345" s="36" t="s">
        <v>71</v>
      </c>
      <c r="X345" s="397">
        <v>200</v>
      </c>
      <c r="Y345" s="398">
        <f t="shared" si="35"/>
        <v>200.64000000000001</v>
      </c>
      <c r="Z345" s="37">
        <f>IFERROR(IF(Y345=0,"",ROUNDUP(Y345/H345,0)*0.01196),"")</f>
        <v>0.45448</v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213.63636363636363</v>
      </c>
      <c r="BN345" s="65">
        <f t="shared" si="37"/>
        <v>214.32</v>
      </c>
      <c r="BO345" s="65">
        <f t="shared" si="38"/>
        <v>0.36421911421911418</v>
      </c>
      <c r="BP345" s="65">
        <f t="shared" si="39"/>
        <v>0.36538461538461542</v>
      </c>
    </row>
    <row r="346" spans="1:68" ht="27" customHeight="1" x14ac:dyDescent="0.25">
      <c r="A346" s="55" t="s">
        <v>521</v>
      </c>
      <c r="B346" s="55" t="s">
        <v>522</v>
      </c>
      <c r="C346" s="32">
        <v>4301031353</v>
      </c>
      <c r="D346" s="405">
        <v>4680115883109</v>
      </c>
      <c r="E346" s="406"/>
      <c r="F346" s="396">
        <v>0.88</v>
      </c>
      <c r="G346" s="33">
        <v>6</v>
      </c>
      <c r="H346" s="396">
        <v>5.28</v>
      </c>
      <c r="I346" s="396">
        <v>5.64</v>
      </c>
      <c r="J346" s="33">
        <v>104</v>
      </c>
      <c r="K346" s="33" t="s">
        <v>89</v>
      </c>
      <c r="L346" s="33"/>
      <c r="M346" s="34" t="s">
        <v>70</v>
      </c>
      <c r="N346" s="34"/>
      <c r="O346" s="33">
        <v>70</v>
      </c>
      <c r="P346" s="4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6" s="417"/>
      <c r="R346" s="417"/>
      <c r="S346" s="417"/>
      <c r="T346" s="418"/>
      <c r="U346" s="35"/>
      <c r="V346" s="35"/>
      <c r="W346" s="36" t="s">
        <v>71</v>
      </c>
      <c r="X346" s="397">
        <v>0</v>
      </c>
      <c r="Y346" s="398">
        <f t="shared" si="35"/>
        <v>0</v>
      </c>
      <c r="Z346" s="37" t="str">
        <f>IFERROR(IF(Y346=0,"",ROUNDUP(Y346/H346,0)*0.01196),"")</f>
        <v/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524</v>
      </c>
      <c r="B347" s="55" t="s">
        <v>525</v>
      </c>
      <c r="C347" s="32">
        <v>4301031351</v>
      </c>
      <c r="D347" s="405">
        <v>4680115882072</v>
      </c>
      <c r="E347" s="406"/>
      <c r="F347" s="396">
        <v>0.6</v>
      </c>
      <c r="G347" s="33">
        <v>6</v>
      </c>
      <c r="H347" s="396">
        <v>3.6</v>
      </c>
      <c r="I347" s="396">
        <v>3.81</v>
      </c>
      <c r="J347" s="33">
        <v>132</v>
      </c>
      <c r="K347" s="33" t="s">
        <v>94</v>
      </c>
      <c r="L347" s="33"/>
      <c r="M347" s="34" t="s">
        <v>90</v>
      </c>
      <c r="N347" s="34"/>
      <c r="O347" s="33">
        <v>70</v>
      </c>
      <c r="P347" s="4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7" s="417"/>
      <c r="R347" s="417"/>
      <c r="S347" s="417"/>
      <c r="T347" s="418"/>
      <c r="U347" s="35"/>
      <c r="V347" s="35"/>
      <c r="W347" s="36" t="s">
        <v>71</v>
      </c>
      <c r="X347" s="397">
        <v>0</v>
      </c>
      <c r="Y347" s="398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517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524</v>
      </c>
      <c r="B348" s="55" t="s">
        <v>526</v>
      </c>
      <c r="C348" s="32">
        <v>4301031419</v>
      </c>
      <c r="D348" s="405">
        <v>4680115882072</v>
      </c>
      <c r="E348" s="406"/>
      <c r="F348" s="396">
        <v>0.6</v>
      </c>
      <c r="G348" s="33">
        <v>8</v>
      </c>
      <c r="H348" s="396">
        <v>4.8</v>
      </c>
      <c r="I348" s="396">
        <v>6.93</v>
      </c>
      <c r="J348" s="33">
        <v>132</v>
      </c>
      <c r="K348" s="33" t="s">
        <v>94</v>
      </c>
      <c r="L348" s="33"/>
      <c r="M348" s="34" t="s">
        <v>90</v>
      </c>
      <c r="N348" s="34"/>
      <c r="O348" s="33">
        <v>70</v>
      </c>
      <c r="P348" s="4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8" s="417"/>
      <c r="R348" s="417"/>
      <c r="S348" s="417"/>
      <c r="T348" s="418"/>
      <c r="U348" s="35"/>
      <c r="V348" s="35"/>
      <c r="W348" s="36" t="s">
        <v>71</v>
      </c>
      <c r="X348" s="397">
        <v>0</v>
      </c>
      <c r="Y348" s="398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517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ht="27" customHeight="1" x14ac:dyDescent="0.25">
      <c r="A349" s="55" t="s">
        <v>527</v>
      </c>
      <c r="B349" s="55" t="s">
        <v>528</v>
      </c>
      <c r="C349" s="32">
        <v>4301031418</v>
      </c>
      <c r="D349" s="405">
        <v>4680115882102</v>
      </c>
      <c r="E349" s="406"/>
      <c r="F349" s="396">
        <v>0.6</v>
      </c>
      <c r="G349" s="33">
        <v>8</v>
      </c>
      <c r="H349" s="396">
        <v>4.8</v>
      </c>
      <c r="I349" s="396">
        <v>6.69</v>
      </c>
      <c r="J349" s="33">
        <v>132</v>
      </c>
      <c r="K349" s="33" t="s">
        <v>94</v>
      </c>
      <c r="L349" s="33"/>
      <c r="M349" s="34" t="s">
        <v>70</v>
      </c>
      <c r="N349" s="34"/>
      <c r="O349" s="33">
        <v>70</v>
      </c>
      <c r="P349" s="47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9" s="417"/>
      <c r="R349" s="417"/>
      <c r="S349" s="417"/>
      <c r="T349" s="418"/>
      <c r="U349" s="35"/>
      <c r="V349" s="35"/>
      <c r="W349" s="36" t="s">
        <v>71</v>
      </c>
      <c r="X349" s="397">
        <v>0</v>
      </c>
      <c r="Y349" s="398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520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529</v>
      </c>
      <c r="B350" s="55" t="s">
        <v>530</v>
      </c>
      <c r="C350" s="32">
        <v>4301031417</v>
      </c>
      <c r="D350" s="405">
        <v>4680115882096</v>
      </c>
      <c r="E350" s="406"/>
      <c r="F350" s="396">
        <v>0.6</v>
      </c>
      <c r="G350" s="33">
        <v>8</v>
      </c>
      <c r="H350" s="396">
        <v>4.8</v>
      </c>
      <c r="I350" s="396">
        <v>6.69</v>
      </c>
      <c r="J350" s="33">
        <v>132</v>
      </c>
      <c r="K350" s="33" t="s">
        <v>94</v>
      </c>
      <c r="L350" s="33"/>
      <c r="M350" s="34" t="s">
        <v>70</v>
      </c>
      <c r="N350" s="34"/>
      <c r="O350" s="33">
        <v>70</v>
      </c>
      <c r="P350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0" s="417"/>
      <c r="R350" s="417"/>
      <c r="S350" s="417"/>
      <c r="T350" s="418"/>
      <c r="U350" s="35"/>
      <c r="V350" s="35"/>
      <c r="W350" s="36" t="s">
        <v>71</v>
      </c>
      <c r="X350" s="397">
        <v>0</v>
      </c>
      <c r="Y350" s="398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523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x14ac:dyDescent="0.2">
      <c r="A351" s="419"/>
      <c r="B351" s="404"/>
      <c r="C351" s="404"/>
      <c r="D351" s="404"/>
      <c r="E351" s="404"/>
      <c r="F351" s="404"/>
      <c r="G351" s="404"/>
      <c r="H351" s="404"/>
      <c r="I351" s="404"/>
      <c r="J351" s="404"/>
      <c r="K351" s="404"/>
      <c r="L351" s="404"/>
      <c r="M351" s="404"/>
      <c r="N351" s="404"/>
      <c r="O351" s="420"/>
      <c r="P351" s="407" t="s">
        <v>76</v>
      </c>
      <c r="Q351" s="408"/>
      <c r="R351" s="408"/>
      <c r="S351" s="408"/>
      <c r="T351" s="408"/>
      <c r="U351" s="408"/>
      <c r="V351" s="409"/>
      <c r="W351" s="38" t="s">
        <v>77</v>
      </c>
      <c r="X351" s="399">
        <f>IFERROR(X344/H344,"0")+IFERROR(X345/H345,"0")+IFERROR(X346/H346,"0")+IFERROR(X347/H347,"0")+IFERROR(X348/H348,"0")+IFERROR(X349/H349,"0")+IFERROR(X350/H350,"0")</f>
        <v>66.287878787878782</v>
      </c>
      <c r="Y351" s="399">
        <f>IFERROR(Y344/H344,"0")+IFERROR(Y345/H345,"0")+IFERROR(Y346/H346,"0")+IFERROR(Y347/H347,"0")+IFERROR(Y348/H348,"0")+IFERROR(Y349/H349,"0")+IFERROR(Y350/H350,"0")</f>
        <v>67</v>
      </c>
      <c r="Z351" s="399">
        <f>IFERROR(IF(Z344="",0,Z344),"0")+IFERROR(IF(Z345="",0,Z345),"0")+IFERROR(IF(Z346="",0,Z346),"0")+IFERROR(IF(Z347="",0,Z347),"0")+IFERROR(IF(Z348="",0,Z348),"0")+IFERROR(IF(Z349="",0,Z349),"0")+IFERROR(IF(Z350="",0,Z350),"0")</f>
        <v>0.80132000000000003</v>
      </c>
      <c r="AA351" s="400"/>
      <c r="AB351" s="400"/>
      <c r="AC351" s="400"/>
    </row>
    <row r="352" spans="1:68" x14ac:dyDescent="0.2">
      <c r="A352" s="404"/>
      <c r="B352" s="404"/>
      <c r="C352" s="404"/>
      <c r="D352" s="404"/>
      <c r="E352" s="404"/>
      <c r="F352" s="404"/>
      <c r="G352" s="404"/>
      <c r="H352" s="404"/>
      <c r="I352" s="404"/>
      <c r="J352" s="404"/>
      <c r="K352" s="404"/>
      <c r="L352" s="404"/>
      <c r="M352" s="404"/>
      <c r="N352" s="404"/>
      <c r="O352" s="420"/>
      <c r="P352" s="407" t="s">
        <v>76</v>
      </c>
      <c r="Q352" s="408"/>
      <c r="R352" s="408"/>
      <c r="S352" s="408"/>
      <c r="T352" s="408"/>
      <c r="U352" s="408"/>
      <c r="V352" s="409"/>
      <c r="W352" s="38" t="s">
        <v>71</v>
      </c>
      <c r="X352" s="399">
        <f>IFERROR(SUM(X344:X350),"0")</f>
        <v>350</v>
      </c>
      <c r="Y352" s="399">
        <f>IFERROR(SUM(Y344:Y350),"0")</f>
        <v>353.76</v>
      </c>
      <c r="Z352" s="38"/>
      <c r="AA352" s="400"/>
      <c r="AB352" s="400"/>
      <c r="AC352" s="400"/>
    </row>
    <row r="353" spans="1:68" ht="14.25" customHeight="1" x14ac:dyDescent="0.25">
      <c r="A353" s="403" t="s">
        <v>66</v>
      </c>
      <c r="B353" s="404"/>
      <c r="C353" s="404"/>
      <c r="D353" s="404"/>
      <c r="E353" s="404"/>
      <c r="F353" s="404"/>
      <c r="G353" s="404"/>
      <c r="H353" s="404"/>
      <c r="I353" s="404"/>
      <c r="J353" s="404"/>
      <c r="K353" s="404"/>
      <c r="L353" s="404"/>
      <c r="M353" s="404"/>
      <c r="N353" s="404"/>
      <c r="O353" s="404"/>
      <c r="P353" s="404"/>
      <c r="Q353" s="404"/>
      <c r="R353" s="404"/>
      <c r="S353" s="404"/>
      <c r="T353" s="404"/>
      <c r="U353" s="404"/>
      <c r="V353" s="404"/>
      <c r="W353" s="404"/>
      <c r="X353" s="404"/>
      <c r="Y353" s="404"/>
      <c r="Z353" s="404"/>
      <c r="AA353" s="393"/>
      <c r="AB353" s="393"/>
      <c r="AC353" s="393"/>
    </row>
    <row r="354" spans="1:68" ht="16.5" customHeight="1" x14ac:dyDescent="0.25">
      <c r="A354" s="55" t="s">
        <v>531</v>
      </c>
      <c r="B354" s="55" t="s">
        <v>532</v>
      </c>
      <c r="C354" s="32">
        <v>4301051232</v>
      </c>
      <c r="D354" s="405">
        <v>4607091383409</v>
      </c>
      <c r="E354" s="406"/>
      <c r="F354" s="396">
        <v>1.3</v>
      </c>
      <c r="G354" s="33">
        <v>6</v>
      </c>
      <c r="H354" s="396">
        <v>7.8</v>
      </c>
      <c r="I354" s="396">
        <v>8.3010000000000002</v>
      </c>
      <c r="J354" s="33">
        <v>64</v>
      </c>
      <c r="K354" s="33" t="s">
        <v>89</v>
      </c>
      <c r="L354" s="33"/>
      <c r="M354" s="34" t="s">
        <v>95</v>
      </c>
      <c r="N354" s="34"/>
      <c r="O354" s="33">
        <v>45</v>
      </c>
      <c r="P354" s="4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4" s="417"/>
      <c r="R354" s="417"/>
      <c r="S354" s="417"/>
      <c r="T354" s="418"/>
      <c r="U354" s="35"/>
      <c r="V354" s="35"/>
      <c r="W354" s="36" t="s">
        <v>71</v>
      </c>
      <c r="X354" s="397">
        <v>0</v>
      </c>
      <c r="Y354" s="398">
        <f>IFERROR(IF(X354="",0,CEILING((X354/$H354),1)*$H354),"")</f>
        <v>0</v>
      </c>
      <c r="Z354" s="37" t="str">
        <f>IFERROR(IF(Y354=0,"",ROUNDUP(Y354/H354,0)*0.01898),"")</f>
        <v/>
      </c>
      <c r="AA354" s="57"/>
      <c r="AB354" s="58"/>
      <c r="AC354" s="384" t="s">
        <v>533</v>
      </c>
      <c r="AG354" s="65"/>
      <c r="AJ354" s="69"/>
      <c r="AK354" s="69">
        <v>0</v>
      </c>
      <c r="BB354" s="385" t="s">
        <v>1</v>
      </c>
      <c r="BM354" s="65">
        <f>IFERROR(X354*I354/H354,"0")</f>
        <v>0</v>
      </c>
      <c r="BN354" s="65">
        <f>IFERROR(Y354*I354/H354,"0")</f>
        <v>0</v>
      </c>
      <c r="BO354" s="65">
        <f>IFERROR(1/J354*(X354/H354),"0")</f>
        <v>0</v>
      </c>
      <c r="BP354" s="65">
        <f>IFERROR(1/J354*(Y354/H354),"0")</f>
        <v>0</v>
      </c>
    </row>
    <row r="355" spans="1:68" ht="16.5" customHeight="1" x14ac:dyDescent="0.25">
      <c r="A355" s="55" t="s">
        <v>534</v>
      </c>
      <c r="B355" s="55" t="s">
        <v>535</v>
      </c>
      <c r="C355" s="32">
        <v>4301051233</v>
      </c>
      <c r="D355" s="405">
        <v>4607091383416</v>
      </c>
      <c r="E355" s="406"/>
      <c r="F355" s="396">
        <v>1.3</v>
      </c>
      <c r="G355" s="33">
        <v>6</v>
      </c>
      <c r="H355" s="396">
        <v>7.8</v>
      </c>
      <c r="I355" s="396">
        <v>8.3010000000000002</v>
      </c>
      <c r="J355" s="33">
        <v>64</v>
      </c>
      <c r="K355" s="33" t="s">
        <v>89</v>
      </c>
      <c r="L355" s="33"/>
      <c r="M355" s="34" t="s">
        <v>95</v>
      </c>
      <c r="N355" s="34"/>
      <c r="O355" s="33">
        <v>45</v>
      </c>
      <c r="P355" s="4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5" s="417"/>
      <c r="R355" s="417"/>
      <c r="S355" s="417"/>
      <c r="T355" s="418"/>
      <c r="U355" s="35"/>
      <c r="V355" s="35"/>
      <c r="W355" s="36" t="s">
        <v>71</v>
      </c>
      <c r="X355" s="397">
        <v>150</v>
      </c>
      <c r="Y355" s="398">
        <f>IFERROR(IF(X355="",0,CEILING((X355/$H355),1)*$H355),"")</f>
        <v>156</v>
      </c>
      <c r="Z355" s="37">
        <f>IFERROR(IF(Y355=0,"",ROUNDUP(Y355/H355,0)*0.01898),"")</f>
        <v>0.37959999999999999</v>
      </c>
      <c r="AA355" s="57"/>
      <c r="AB355" s="58"/>
      <c r="AC355" s="386" t="s">
        <v>536</v>
      </c>
      <c r="AG355" s="65"/>
      <c r="AJ355" s="69"/>
      <c r="AK355" s="69">
        <v>0</v>
      </c>
      <c r="BB355" s="387" t="s">
        <v>1</v>
      </c>
      <c r="BM355" s="65">
        <f>IFERROR(X355*I355/H355,"0")</f>
        <v>159.63461538461539</v>
      </c>
      <c r="BN355" s="65">
        <f>IFERROR(Y355*I355/H355,"0")</f>
        <v>166.02</v>
      </c>
      <c r="BO355" s="65">
        <f>IFERROR(1/J355*(X355/H355),"0")</f>
        <v>0.30048076923076922</v>
      </c>
      <c r="BP355" s="65">
        <f>IFERROR(1/J355*(Y355/H355),"0")</f>
        <v>0.3125</v>
      </c>
    </row>
    <row r="356" spans="1:68" x14ac:dyDescent="0.2">
      <c r="A356" s="419"/>
      <c r="B356" s="404"/>
      <c r="C356" s="404"/>
      <c r="D356" s="404"/>
      <c r="E356" s="404"/>
      <c r="F356" s="404"/>
      <c r="G356" s="404"/>
      <c r="H356" s="404"/>
      <c r="I356" s="404"/>
      <c r="J356" s="404"/>
      <c r="K356" s="404"/>
      <c r="L356" s="404"/>
      <c r="M356" s="404"/>
      <c r="N356" s="404"/>
      <c r="O356" s="420"/>
      <c r="P356" s="407" t="s">
        <v>76</v>
      </c>
      <c r="Q356" s="408"/>
      <c r="R356" s="408"/>
      <c r="S356" s="408"/>
      <c r="T356" s="408"/>
      <c r="U356" s="408"/>
      <c r="V356" s="409"/>
      <c r="W356" s="38" t="s">
        <v>77</v>
      </c>
      <c r="X356" s="399">
        <f>IFERROR(X354/H354,"0")+IFERROR(X355/H355,"0")</f>
        <v>19.23076923076923</v>
      </c>
      <c r="Y356" s="399">
        <f>IFERROR(Y354/H354,"0")+IFERROR(Y355/H355,"0")</f>
        <v>20</v>
      </c>
      <c r="Z356" s="399">
        <f>IFERROR(IF(Z354="",0,Z354),"0")+IFERROR(IF(Z355="",0,Z355),"0")</f>
        <v>0.37959999999999999</v>
      </c>
      <c r="AA356" s="400"/>
      <c r="AB356" s="400"/>
      <c r="AC356" s="400"/>
    </row>
    <row r="357" spans="1:68" x14ac:dyDescent="0.2">
      <c r="A357" s="404"/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20"/>
      <c r="P357" s="407" t="s">
        <v>76</v>
      </c>
      <c r="Q357" s="408"/>
      <c r="R357" s="408"/>
      <c r="S357" s="408"/>
      <c r="T357" s="408"/>
      <c r="U357" s="408"/>
      <c r="V357" s="409"/>
      <c r="W357" s="38" t="s">
        <v>71</v>
      </c>
      <c r="X357" s="399">
        <f>IFERROR(SUM(X354:X355),"0")</f>
        <v>150</v>
      </c>
      <c r="Y357" s="399">
        <f>IFERROR(SUM(Y354:Y355),"0")</f>
        <v>156</v>
      </c>
      <c r="Z357" s="38"/>
      <c r="AA357" s="400"/>
      <c r="AB357" s="400"/>
      <c r="AC357" s="400"/>
    </row>
    <row r="358" spans="1:68" ht="27.75" customHeight="1" x14ac:dyDescent="0.2">
      <c r="A358" s="425" t="s">
        <v>537</v>
      </c>
      <c r="B358" s="426"/>
      <c r="C358" s="426"/>
      <c r="D358" s="426"/>
      <c r="E358" s="426"/>
      <c r="F358" s="426"/>
      <c r="G358" s="426"/>
      <c r="H358" s="426"/>
      <c r="I358" s="426"/>
      <c r="J358" s="426"/>
      <c r="K358" s="426"/>
      <c r="L358" s="426"/>
      <c r="M358" s="426"/>
      <c r="N358" s="426"/>
      <c r="O358" s="426"/>
      <c r="P358" s="426"/>
      <c r="Q358" s="426"/>
      <c r="R358" s="426"/>
      <c r="S358" s="426"/>
      <c r="T358" s="426"/>
      <c r="U358" s="426"/>
      <c r="V358" s="426"/>
      <c r="W358" s="426"/>
      <c r="X358" s="426"/>
      <c r="Y358" s="426"/>
      <c r="Z358" s="426"/>
      <c r="AA358" s="49"/>
      <c r="AB358" s="49"/>
      <c r="AC358" s="49"/>
    </row>
    <row r="359" spans="1:68" ht="16.5" customHeight="1" x14ac:dyDescent="0.25">
      <c r="A359" s="414" t="s">
        <v>537</v>
      </c>
      <c r="B359" s="404"/>
      <c r="C359" s="404"/>
      <c r="D359" s="404"/>
      <c r="E359" s="404"/>
      <c r="F359" s="404"/>
      <c r="G359" s="404"/>
      <c r="H359" s="404"/>
      <c r="I359" s="404"/>
      <c r="J359" s="404"/>
      <c r="K359" s="404"/>
      <c r="L359" s="404"/>
      <c r="M359" s="404"/>
      <c r="N359" s="404"/>
      <c r="O359" s="404"/>
      <c r="P359" s="404"/>
      <c r="Q359" s="404"/>
      <c r="R359" s="404"/>
      <c r="S359" s="404"/>
      <c r="T359" s="404"/>
      <c r="U359" s="404"/>
      <c r="V359" s="404"/>
      <c r="W359" s="404"/>
      <c r="X359" s="404"/>
      <c r="Y359" s="404"/>
      <c r="Z359" s="404"/>
      <c r="AA359" s="392"/>
      <c r="AB359" s="392"/>
      <c r="AC359" s="392"/>
    </row>
    <row r="360" spans="1:68" ht="14.25" customHeight="1" x14ac:dyDescent="0.25">
      <c r="A360" s="403" t="s">
        <v>66</v>
      </c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4"/>
      <c r="O360" s="404"/>
      <c r="P360" s="404"/>
      <c r="Q360" s="404"/>
      <c r="R360" s="404"/>
      <c r="S360" s="404"/>
      <c r="T360" s="404"/>
      <c r="U360" s="404"/>
      <c r="V360" s="404"/>
      <c r="W360" s="404"/>
      <c r="X360" s="404"/>
      <c r="Y360" s="404"/>
      <c r="Z360" s="404"/>
      <c r="AA360" s="393"/>
      <c r="AB360" s="393"/>
      <c r="AC360" s="393"/>
    </row>
    <row r="361" spans="1:68" ht="27" customHeight="1" x14ac:dyDescent="0.25">
      <c r="A361" s="55" t="s">
        <v>538</v>
      </c>
      <c r="B361" s="55" t="s">
        <v>539</v>
      </c>
      <c r="C361" s="32">
        <v>4301051933</v>
      </c>
      <c r="D361" s="405">
        <v>4640242180540</v>
      </c>
      <c r="E361" s="406"/>
      <c r="F361" s="396">
        <v>1.3</v>
      </c>
      <c r="G361" s="33">
        <v>6</v>
      </c>
      <c r="H361" s="396">
        <v>7.8</v>
      </c>
      <c r="I361" s="396">
        <v>8.3190000000000008</v>
      </c>
      <c r="J361" s="33">
        <v>64</v>
      </c>
      <c r="K361" s="33" t="s">
        <v>89</v>
      </c>
      <c r="L361" s="33"/>
      <c r="M361" s="34" t="s">
        <v>95</v>
      </c>
      <c r="N361" s="34"/>
      <c r="O361" s="33">
        <v>45</v>
      </c>
      <c r="P361" s="557" t="s">
        <v>540</v>
      </c>
      <c r="Q361" s="417"/>
      <c r="R361" s="417"/>
      <c r="S361" s="417"/>
      <c r="T361" s="418"/>
      <c r="U361" s="35"/>
      <c r="V361" s="35"/>
      <c r="W361" s="36" t="s">
        <v>71</v>
      </c>
      <c r="X361" s="397">
        <v>0</v>
      </c>
      <c r="Y361" s="398">
        <f>IFERROR(IF(X361="",0,CEILING((X361/$H361),1)*$H361),"")</f>
        <v>0</v>
      </c>
      <c r="Z361" s="37" t="str">
        <f>IFERROR(IF(Y361=0,"",ROUNDUP(Y361/H361,0)*0.01898),"")</f>
        <v/>
      </c>
      <c r="AA361" s="57"/>
      <c r="AB361" s="58"/>
      <c r="AC361" s="388" t="s">
        <v>541</v>
      </c>
      <c r="AG361" s="65"/>
      <c r="AJ361" s="69"/>
      <c r="AK361" s="69">
        <v>0</v>
      </c>
      <c r="BB361" s="389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19"/>
      <c r="B362" s="404"/>
      <c r="C362" s="404"/>
      <c r="D362" s="404"/>
      <c r="E362" s="404"/>
      <c r="F362" s="404"/>
      <c r="G362" s="404"/>
      <c r="H362" s="404"/>
      <c r="I362" s="404"/>
      <c r="J362" s="404"/>
      <c r="K362" s="404"/>
      <c r="L362" s="404"/>
      <c r="M362" s="404"/>
      <c r="N362" s="404"/>
      <c r="O362" s="420"/>
      <c r="P362" s="407" t="s">
        <v>76</v>
      </c>
      <c r="Q362" s="408"/>
      <c r="R362" s="408"/>
      <c r="S362" s="408"/>
      <c r="T362" s="408"/>
      <c r="U362" s="408"/>
      <c r="V362" s="409"/>
      <c r="W362" s="38" t="s">
        <v>77</v>
      </c>
      <c r="X362" s="399">
        <f>IFERROR(X361/H361,"0")</f>
        <v>0</v>
      </c>
      <c r="Y362" s="399">
        <f>IFERROR(Y361/H361,"0")</f>
        <v>0</v>
      </c>
      <c r="Z362" s="399">
        <f>IFERROR(IF(Z361="",0,Z361),"0")</f>
        <v>0</v>
      </c>
      <c r="AA362" s="400"/>
      <c r="AB362" s="400"/>
      <c r="AC362" s="400"/>
    </row>
    <row r="363" spans="1:68" x14ac:dyDescent="0.2">
      <c r="A363" s="404"/>
      <c r="B363" s="404"/>
      <c r="C363" s="404"/>
      <c r="D363" s="404"/>
      <c r="E363" s="404"/>
      <c r="F363" s="404"/>
      <c r="G363" s="404"/>
      <c r="H363" s="404"/>
      <c r="I363" s="404"/>
      <c r="J363" s="404"/>
      <c r="K363" s="404"/>
      <c r="L363" s="404"/>
      <c r="M363" s="404"/>
      <c r="N363" s="404"/>
      <c r="O363" s="420"/>
      <c r="P363" s="407" t="s">
        <v>76</v>
      </c>
      <c r="Q363" s="408"/>
      <c r="R363" s="408"/>
      <c r="S363" s="408"/>
      <c r="T363" s="408"/>
      <c r="U363" s="408"/>
      <c r="V363" s="409"/>
      <c r="W363" s="38" t="s">
        <v>71</v>
      </c>
      <c r="X363" s="399">
        <f>IFERROR(SUM(X361:X361),"0")</f>
        <v>0</v>
      </c>
      <c r="Y363" s="399">
        <f>IFERROR(SUM(Y361:Y361),"0")</f>
        <v>0</v>
      </c>
      <c r="Z363" s="38"/>
      <c r="AA363" s="400"/>
      <c r="AB363" s="400"/>
      <c r="AC363" s="400"/>
    </row>
    <row r="364" spans="1:68" ht="15" customHeight="1" x14ac:dyDescent="0.2">
      <c r="A364" s="603"/>
      <c r="B364" s="404"/>
      <c r="C364" s="404"/>
      <c r="D364" s="404"/>
      <c r="E364" s="404"/>
      <c r="F364" s="404"/>
      <c r="G364" s="404"/>
      <c r="H364" s="404"/>
      <c r="I364" s="404"/>
      <c r="J364" s="404"/>
      <c r="K364" s="404"/>
      <c r="L364" s="404"/>
      <c r="M364" s="404"/>
      <c r="N364" s="404"/>
      <c r="O364" s="541"/>
      <c r="P364" s="456" t="s">
        <v>542</v>
      </c>
      <c r="Q364" s="457"/>
      <c r="R364" s="457"/>
      <c r="S364" s="457"/>
      <c r="T364" s="457"/>
      <c r="U364" s="457"/>
      <c r="V364" s="428"/>
      <c r="W364" s="38" t="s">
        <v>71</v>
      </c>
      <c r="X364" s="399">
        <f>IFERROR(X25+X29+X37+X47+X54+X59+X65+X72+X80+X86+X92+X96+X101+X107+X120+X126+X130+X136+X141+X148+X159+X163+X173+X182+X187+X192+X197+X202+X211+X220+X228+X234+X241+X247+X253+X264+X269+X274+X278+X286+X290+X295+X299+X308+X313+X318+X322+X337+X342+X352+X357+X363,"0")</f>
        <v>8400</v>
      </c>
      <c r="Y364" s="399">
        <f>IFERROR(Y25+Y29+Y37+Y47+Y54+Y59+Y65+Y72+Y80+Y86+Y92+Y96+Y101+Y107+Y120+Y126+Y130+Y136+Y141+Y148+Y159+Y163+Y173+Y182+Y187+Y192+Y197+Y202+Y211+Y220+Y228+Y234+Y241+Y247+Y253+Y264+Y269+Y274+Y278+Y286+Y290+Y295+Y299+Y308+Y313+Y318+Y322+Y337+Y342+Y352+Y357+Y363,"0")</f>
        <v>8501.66</v>
      </c>
      <c r="Z364" s="38"/>
      <c r="AA364" s="400"/>
      <c r="AB364" s="400"/>
      <c r="AC364" s="400"/>
    </row>
    <row r="365" spans="1:68" x14ac:dyDescent="0.2">
      <c r="A365" s="404"/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541"/>
      <c r="P365" s="456" t="s">
        <v>543</v>
      </c>
      <c r="Q365" s="457"/>
      <c r="R365" s="457"/>
      <c r="S365" s="457"/>
      <c r="T365" s="457"/>
      <c r="U365" s="457"/>
      <c r="V365" s="428"/>
      <c r="W365" s="38" t="s">
        <v>71</v>
      </c>
      <c r="X365" s="399">
        <f>IFERROR(SUM(BM22:BM361),"0")</f>
        <v>8879.6313775464641</v>
      </c>
      <c r="Y365" s="399">
        <f>IFERROR(SUM(BN22:BN361),"0")</f>
        <v>8986.8179999999993</v>
      </c>
      <c r="Z365" s="38"/>
      <c r="AA365" s="400"/>
      <c r="AB365" s="400"/>
      <c r="AC365" s="400"/>
    </row>
    <row r="366" spans="1:68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4"/>
      <c r="O366" s="541"/>
      <c r="P366" s="456" t="s">
        <v>544</v>
      </c>
      <c r="Q366" s="457"/>
      <c r="R366" s="457"/>
      <c r="S366" s="457"/>
      <c r="T366" s="457"/>
      <c r="U366" s="457"/>
      <c r="V366" s="428"/>
      <c r="W366" s="38" t="s">
        <v>545</v>
      </c>
      <c r="X366" s="39">
        <f>ROUNDUP(SUM(BO22:BO361),0)</f>
        <v>15</v>
      </c>
      <c r="Y366" s="39">
        <f>ROUNDUP(SUM(BP22:BP361),0)</f>
        <v>16</v>
      </c>
      <c r="Z366" s="38"/>
      <c r="AA366" s="400"/>
      <c r="AB366" s="400"/>
      <c r="AC366" s="400"/>
    </row>
    <row r="367" spans="1:68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4"/>
      <c r="O367" s="541"/>
      <c r="P367" s="456" t="s">
        <v>546</v>
      </c>
      <c r="Q367" s="457"/>
      <c r="R367" s="457"/>
      <c r="S367" s="457"/>
      <c r="T367" s="457"/>
      <c r="U367" s="457"/>
      <c r="V367" s="428"/>
      <c r="W367" s="38" t="s">
        <v>71</v>
      </c>
      <c r="X367" s="399">
        <f>GrossWeightTotal+PalletQtyTotal*25</f>
        <v>9254.6313775464641</v>
      </c>
      <c r="Y367" s="399">
        <f>GrossWeightTotalR+PalletQtyTotalR*25</f>
        <v>9386.8179999999993</v>
      </c>
      <c r="Z367" s="38"/>
      <c r="AA367" s="400"/>
      <c r="AB367" s="400"/>
      <c r="AC367" s="400"/>
    </row>
    <row r="368" spans="1:68" x14ac:dyDescent="0.2">
      <c r="A368" s="404"/>
      <c r="B368" s="404"/>
      <c r="C368" s="404"/>
      <c r="D368" s="404"/>
      <c r="E368" s="404"/>
      <c r="F368" s="404"/>
      <c r="G368" s="404"/>
      <c r="H368" s="404"/>
      <c r="I368" s="404"/>
      <c r="J368" s="404"/>
      <c r="K368" s="404"/>
      <c r="L368" s="404"/>
      <c r="M368" s="404"/>
      <c r="N368" s="404"/>
      <c r="O368" s="541"/>
      <c r="P368" s="456" t="s">
        <v>547</v>
      </c>
      <c r="Q368" s="457"/>
      <c r="R368" s="457"/>
      <c r="S368" s="457"/>
      <c r="T368" s="457"/>
      <c r="U368" s="457"/>
      <c r="V368" s="428"/>
      <c r="W368" s="38" t="s">
        <v>545</v>
      </c>
      <c r="X368" s="399">
        <f>IFERROR(X24+X28+X36+X46+X53+X58+X64+X71+X79+X85+X91+X95+X100+X106+X119+X125+X129+X135+X140+X147+X158+X162+X172+X181+X186+X191+X196+X201+X210+X219+X227+X233+X240+X246+X252+X263+X268+X273+X277+X285+X289+X294+X298+X307+X312+X317+X321+X336+X341+X351+X356+X362,"0")</f>
        <v>1428.8506129885438</v>
      </c>
      <c r="Y368" s="399">
        <f>IFERROR(Y24+Y28+Y36+Y46+Y53+Y58+Y64+Y71+Y79+Y85+Y91+Y95+Y100+Y106+Y119+Y125+Y129+Y135+Y140+Y147+Y158+Y162+Y172+Y181+Y186+Y191+Y196+Y201+Y210+Y219+Y227+Y233+Y240+Y246+Y252+Y263+Y268+Y273+Y277+Y285+Y289+Y294+Y298+Y307+Y312+Y317+Y321+Y336+Y341+Y351+Y356+Y362,"0")</f>
        <v>1445</v>
      </c>
      <c r="Z368" s="38"/>
      <c r="AA368" s="400"/>
      <c r="AB368" s="400"/>
      <c r="AC368" s="400"/>
    </row>
    <row r="369" spans="1:32" ht="14.25" customHeight="1" x14ac:dyDescent="0.2">
      <c r="A369" s="404"/>
      <c r="B369" s="404"/>
      <c r="C369" s="404"/>
      <c r="D369" s="404"/>
      <c r="E369" s="404"/>
      <c r="F369" s="404"/>
      <c r="G369" s="404"/>
      <c r="H369" s="404"/>
      <c r="I369" s="404"/>
      <c r="J369" s="404"/>
      <c r="K369" s="404"/>
      <c r="L369" s="404"/>
      <c r="M369" s="404"/>
      <c r="N369" s="404"/>
      <c r="O369" s="541"/>
      <c r="P369" s="456" t="s">
        <v>548</v>
      </c>
      <c r="Q369" s="457"/>
      <c r="R369" s="457"/>
      <c r="S369" s="457"/>
      <c r="T369" s="457"/>
      <c r="U369" s="457"/>
      <c r="V369" s="428"/>
      <c r="W369" s="40" t="s">
        <v>549</v>
      </c>
      <c r="X369" s="38"/>
      <c r="Y369" s="38"/>
      <c r="Z369" s="38">
        <f>IFERROR(Z24+Z28+Z36+Z46+Z53+Z58+Z64+Z71+Z79+Z85+Z91+Z95+Z100+Z106+Z119+Z125+Z129+Z135+Z140+Z147+Z158+Z162+Z172+Z181+Z186+Z191+Z196+Z201+Z210+Z219+Z227+Z233+Z240+Z246+Z252+Z263+Z268+Z273+Z277+Z285+Z289+Z294+Z298+Z307+Z312+Z317+Z321+Z336+Z341+Z351+Z356+Z362,"0")</f>
        <v>17.89697</v>
      </c>
      <c r="AA369" s="400"/>
      <c r="AB369" s="400"/>
      <c r="AC369" s="400"/>
    </row>
    <row r="370" spans="1:32" ht="13.5" customHeight="1" thickBot="1" x14ac:dyDescent="0.25"/>
    <row r="371" spans="1:32" ht="27" customHeight="1" thickTop="1" thickBot="1" x14ac:dyDescent="0.25">
      <c r="A371" s="41" t="s">
        <v>550</v>
      </c>
      <c r="B371" s="390" t="s">
        <v>65</v>
      </c>
      <c r="C371" s="401" t="s">
        <v>84</v>
      </c>
      <c r="D371" s="439"/>
      <c r="E371" s="439"/>
      <c r="F371" s="439"/>
      <c r="G371" s="440"/>
      <c r="H371" s="401" t="s">
        <v>192</v>
      </c>
      <c r="I371" s="439"/>
      <c r="J371" s="439"/>
      <c r="K371" s="439"/>
      <c r="L371" s="439"/>
      <c r="M371" s="439"/>
      <c r="N371" s="439"/>
      <c r="O371" s="439"/>
      <c r="P371" s="439"/>
      <c r="Q371" s="439"/>
      <c r="R371" s="440"/>
      <c r="S371" s="401" t="s">
        <v>406</v>
      </c>
      <c r="T371" s="440"/>
      <c r="U371" s="401" t="s">
        <v>460</v>
      </c>
      <c r="V371" s="440"/>
      <c r="W371" s="390" t="s">
        <v>485</v>
      </c>
      <c r="X371" s="390" t="s">
        <v>537</v>
      </c>
      <c r="AB371" s="53"/>
      <c r="AC371" s="53"/>
      <c r="AF371" s="391"/>
    </row>
    <row r="372" spans="1:32" ht="14.25" customHeight="1" thickTop="1" x14ac:dyDescent="0.2">
      <c r="A372" s="552" t="s">
        <v>551</v>
      </c>
      <c r="B372" s="401" t="s">
        <v>65</v>
      </c>
      <c r="C372" s="401" t="s">
        <v>85</v>
      </c>
      <c r="D372" s="401" t="s">
        <v>98</v>
      </c>
      <c r="E372" s="401" t="s">
        <v>135</v>
      </c>
      <c r="F372" s="401" t="s">
        <v>151</v>
      </c>
      <c r="G372" s="401" t="s">
        <v>84</v>
      </c>
      <c r="H372" s="401" t="s">
        <v>193</v>
      </c>
      <c r="I372" s="401" t="s">
        <v>227</v>
      </c>
      <c r="J372" s="401" t="s">
        <v>274</v>
      </c>
      <c r="K372" s="401" t="s">
        <v>290</v>
      </c>
      <c r="L372" s="401" t="s">
        <v>306</v>
      </c>
      <c r="M372" s="401" t="s">
        <v>309</v>
      </c>
      <c r="N372" s="391"/>
      <c r="O372" s="401" t="s">
        <v>313</v>
      </c>
      <c r="P372" s="401" t="s">
        <v>317</v>
      </c>
      <c r="Q372" s="401" t="s">
        <v>322</v>
      </c>
      <c r="R372" s="401" t="s">
        <v>399</v>
      </c>
      <c r="S372" s="401" t="s">
        <v>407</v>
      </c>
      <c r="T372" s="401" t="s">
        <v>438</v>
      </c>
      <c r="U372" s="401" t="s">
        <v>461</v>
      </c>
      <c r="V372" s="401" t="s">
        <v>478</v>
      </c>
      <c r="W372" s="401" t="s">
        <v>485</v>
      </c>
      <c r="X372" s="401" t="s">
        <v>537</v>
      </c>
      <c r="AB372" s="53"/>
      <c r="AC372" s="53"/>
      <c r="AF372" s="391"/>
    </row>
    <row r="373" spans="1:32" ht="13.5" customHeight="1" thickBot="1" x14ac:dyDescent="0.25">
      <c r="A373" s="553"/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391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AB373" s="53"/>
      <c r="AC373" s="53"/>
      <c r="AF373" s="391"/>
    </row>
    <row r="374" spans="1:32" ht="18" customHeight="1" thickTop="1" thickBot="1" x14ac:dyDescent="0.25">
      <c r="A374" s="41" t="s">
        <v>552</v>
      </c>
      <c r="B374" s="47">
        <f>IFERROR(Y22*1,"0")+IFERROR(Y23*1,"0")+IFERROR(Y27*1,"0")</f>
        <v>0</v>
      </c>
      <c r="C374" s="47">
        <f>IFERROR(Y33*1,"0")+IFERROR(Y34*1,"0")+IFERROR(Y35*1,"0")</f>
        <v>100</v>
      </c>
      <c r="D374" s="47">
        <f>IFERROR(Y40*1,"0")+IFERROR(Y41*1,"0")+IFERROR(Y42*1,"0")+IFERROR(Y43*1,"0")+IFERROR(Y44*1,"0")+IFERROR(Y45*1,"0")+IFERROR(Y49*1,"0")+IFERROR(Y50*1,"0")+IFERROR(Y51*1,"0")+IFERROR(Y52*1,"0")+IFERROR(Y56*1,"0")+IFERROR(Y57*1,"0")</f>
        <v>261</v>
      </c>
      <c r="E374" s="47">
        <f>IFERROR(Y62*1,"0")+IFERROR(Y63*1,"0")+IFERROR(Y67*1,"0")+IFERROR(Y68*1,"0")+IFERROR(Y69*1,"0")+IFERROR(Y70*1,"0")</f>
        <v>310.5</v>
      </c>
      <c r="F374" s="47">
        <f>IFERROR(Y75*1,"0")+IFERROR(Y76*1,"0")+IFERROR(Y77*1,"0")+IFERROR(Y78*1,"0")+IFERROR(Y82*1,"0")+IFERROR(Y83*1,"0")+IFERROR(Y84*1,"0")+IFERROR(Y88*1,"0")+IFERROR(Y89*1,"0")+IFERROR(Y90*1,"0")+IFERROR(Y94*1,"0")</f>
        <v>807.30000000000007</v>
      </c>
      <c r="G374" s="47">
        <f>IFERROR(Y99*1,"0")+IFERROR(Y103*1,"0")+IFERROR(Y104*1,"0")+IFERROR(Y105*1,"0")</f>
        <v>0</v>
      </c>
      <c r="H374" s="47">
        <f>IFERROR(Y111*1,"0")+IFERROR(Y112*1,"0")+IFERROR(Y113*1,"0")+IFERROR(Y114*1,"0")+IFERROR(Y115*1,"0")+IFERROR(Y116*1,"0")+IFERROR(Y117*1,"0")+IFERROR(Y118*1,"0")+IFERROR(Y122*1,"0")+IFERROR(Y123*1,"0")+IFERROR(Y124*1,"0")+IFERROR(Y128*1,"0")</f>
        <v>474.60000000000008</v>
      </c>
      <c r="I374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1074.9000000000001</v>
      </c>
      <c r="J374" s="47">
        <f>IFERROR(Y166*1,"0")+IFERROR(Y167*1,"0")+IFERROR(Y168*1,"0")+IFERROR(Y169*1,"0")+IFERROR(Y170*1,"0")+IFERROR(Y171*1,"0")</f>
        <v>0</v>
      </c>
      <c r="K374" s="47">
        <f>IFERROR(Y176*1,"0")+IFERROR(Y177*1,"0")+IFERROR(Y178*1,"0")+IFERROR(Y179*1,"0")+IFERROR(Y180*1,"0")</f>
        <v>152</v>
      </c>
      <c r="L374" s="47">
        <f>IFERROR(Y185*1,"0")</f>
        <v>0</v>
      </c>
      <c r="M374" s="47">
        <f>IFERROR(Y190*1,"0")</f>
        <v>0</v>
      </c>
      <c r="N374" s="391"/>
      <c r="O374" s="47">
        <f>IFERROR(Y195*1,"0")</f>
        <v>0</v>
      </c>
      <c r="P374" s="47">
        <f>IFERROR(Y200*1,"0")</f>
        <v>0</v>
      </c>
      <c r="Q37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81</v>
      </c>
      <c r="R374" s="47">
        <f>IFERROR(Y250*1,"0")+IFERROR(Y251*1,"0")</f>
        <v>100.80000000000001</v>
      </c>
      <c r="S374" s="47">
        <f>IFERROR(Y257*1,"0")+IFERROR(Y258*1,"0")+IFERROR(Y259*1,"0")+IFERROR(Y260*1,"0")+IFERROR(Y261*1,"0")+IFERROR(Y262*1,"0")+IFERROR(Y266*1,"0")+IFERROR(Y267*1,"0")+IFERROR(Y271*1,"0")+IFERROR(Y272*1,"0")+IFERROR(Y276*1,"0")</f>
        <v>1560</v>
      </c>
      <c r="T374" s="47">
        <f>IFERROR(Y281*1,"0")+IFERROR(Y282*1,"0")+IFERROR(Y283*1,"0")+IFERROR(Y284*1,"0")+IFERROR(Y288*1,"0")+IFERROR(Y292*1,"0")+IFERROR(Y293*1,"0")+IFERROR(Y297*1,"0")</f>
        <v>2414.6</v>
      </c>
      <c r="U374" s="47">
        <f>IFERROR(Y303*1,"0")+IFERROR(Y304*1,"0")+IFERROR(Y305*1,"0")+IFERROR(Y306*1,"0")+IFERROR(Y310*1,"0")+IFERROR(Y311*1,"0")</f>
        <v>100.8</v>
      </c>
      <c r="V374" s="47">
        <f>IFERROR(Y316*1,"0")+IFERROR(Y320*1,"0")</f>
        <v>0</v>
      </c>
      <c r="W374" s="47">
        <f>IFERROR(Y326*1,"0")+IFERROR(Y327*1,"0")+IFERROR(Y328*1,"0")+IFERROR(Y329*1,"0")+IFERROR(Y330*1,"0")+IFERROR(Y331*1,"0")+IFERROR(Y332*1,"0")+IFERROR(Y333*1,"0")+IFERROR(Y334*1,"0")+IFERROR(Y335*1,"0")+IFERROR(Y339*1,"0")+IFERROR(Y340*1,"0")+IFERROR(Y344*1,"0")+IFERROR(Y345*1,"0")+IFERROR(Y346*1,"0")+IFERROR(Y347*1,"0")+IFERROR(Y348*1,"0")+IFERROR(Y349*1,"0")+IFERROR(Y350*1,"0")+IFERROR(Y354*1,"0")+IFERROR(Y355*1,"0")</f>
        <v>1064.1600000000001</v>
      </c>
      <c r="X374" s="47">
        <f>IFERROR(Y361*1,"0")</f>
        <v>0</v>
      </c>
      <c r="AB374" s="53"/>
      <c r="AC374" s="53"/>
      <c r="AF374" s="391"/>
    </row>
  </sheetData>
  <sheetProtection algorithmName="SHA-512" hashValue="PTAjG9PoUSPlJSaxdTGZpxD7ernBENTAExRnM7CE7P9Qhl91867KSKSxRFp7YCki8VyCltDE9ebbqL5yFxTztg==" saltValue="NXmpt4h9lfZ33PKahAm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7">
    <mergeCell ref="P244:T244"/>
    <mergeCell ref="P144:T144"/>
    <mergeCell ref="P231:T231"/>
    <mergeCell ref="W372:W373"/>
    <mergeCell ref="A270:Z270"/>
    <mergeCell ref="D45:E45"/>
    <mergeCell ref="H9:I9"/>
    <mergeCell ref="P24:V24"/>
    <mergeCell ref="D281:E281"/>
    <mergeCell ref="P322:V322"/>
    <mergeCell ref="P211:V211"/>
    <mergeCell ref="D297:E297"/>
    <mergeCell ref="P155:T155"/>
    <mergeCell ref="A79:O80"/>
    <mergeCell ref="D70:E70"/>
    <mergeCell ref="D238:E238"/>
    <mergeCell ref="D78:E78"/>
    <mergeCell ref="D134:E134"/>
    <mergeCell ref="P157:T157"/>
    <mergeCell ref="D205:E205"/>
    <mergeCell ref="P213:T213"/>
    <mergeCell ref="P328:T328"/>
    <mergeCell ref="A55:Z55"/>
    <mergeCell ref="T372:T373"/>
    <mergeCell ref="R1:T1"/>
    <mergeCell ref="A158:O159"/>
    <mergeCell ref="P150:T150"/>
    <mergeCell ref="A351:O352"/>
    <mergeCell ref="P326:T326"/>
    <mergeCell ref="D332:E332"/>
    <mergeCell ref="P215:T215"/>
    <mergeCell ref="A46:O47"/>
    <mergeCell ref="P152:T152"/>
    <mergeCell ref="A147:O148"/>
    <mergeCell ref="P141:V141"/>
    <mergeCell ref="A140:O141"/>
    <mergeCell ref="P233:V233"/>
    <mergeCell ref="P37:V37"/>
    <mergeCell ref="P104:T104"/>
    <mergeCell ref="B17:B18"/>
    <mergeCell ref="A73:Z73"/>
    <mergeCell ref="D7:M7"/>
    <mergeCell ref="D144:E144"/>
    <mergeCell ref="P271:T271"/>
    <mergeCell ref="P94:T94"/>
    <mergeCell ref="D208:E208"/>
    <mergeCell ref="D8:M8"/>
    <mergeCell ref="P44:T44"/>
    <mergeCell ref="J372:J373"/>
    <mergeCell ref="D258:E258"/>
    <mergeCell ref="A60:Z60"/>
    <mergeCell ref="A358:Z358"/>
    <mergeCell ref="D124:E124"/>
    <mergeCell ref="P56:T56"/>
    <mergeCell ref="V10:W10"/>
    <mergeCell ref="D195:E195"/>
    <mergeCell ref="P299:V299"/>
    <mergeCell ref="P99:T99"/>
    <mergeCell ref="P170:T170"/>
    <mergeCell ref="A360:Z360"/>
    <mergeCell ref="P145:T145"/>
    <mergeCell ref="P316:T316"/>
    <mergeCell ref="P159:V159"/>
    <mergeCell ref="A149:Z149"/>
    <mergeCell ref="P209:T209"/>
    <mergeCell ref="W17:W18"/>
    <mergeCell ref="P96:V96"/>
    <mergeCell ref="U371:V371"/>
    <mergeCell ref="P91:V91"/>
    <mergeCell ref="P236:T236"/>
    <mergeCell ref="A81:Z81"/>
    <mergeCell ref="P334:T334"/>
    <mergeCell ref="P237:T237"/>
    <mergeCell ref="A291:Z291"/>
    <mergeCell ref="P329:T329"/>
    <mergeCell ref="D139:E139"/>
    <mergeCell ref="L372:L373"/>
    <mergeCell ref="P266:T266"/>
    <mergeCell ref="P331:T331"/>
    <mergeCell ref="P182:V182"/>
    <mergeCell ref="H1:Q1"/>
    <mergeCell ref="P274:V274"/>
    <mergeCell ref="D214:E214"/>
    <mergeCell ref="D284:E284"/>
    <mergeCell ref="A74:Z74"/>
    <mergeCell ref="P246:V246"/>
    <mergeCell ref="D259:E259"/>
    <mergeCell ref="D326:E326"/>
    <mergeCell ref="D236:E236"/>
    <mergeCell ref="D117:E117"/>
    <mergeCell ref="P171:T171"/>
    <mergeCell ref="A95:O96"/>
    <mergeCell ref="D67:E67"/>
    <mergeCell ref="D5:E5"/>
    <mergeCell ref="D303:E303"/>
    <mergeCell ref="P42:T42"/>
    <mergeCell ref="K372:K373"/>
    <mergeCell ref="M372:M373"/>
    <mergeCell ref="D94:E94"/>
    <mergeCell ref="D361:E361"/>
    <mergeCell ref="P259:T259"/>
    <mergeCell ref="D69:E69"/>
    <mergeCell ref="A240:O241"/>
    <mergeCell ref="D354:E354"/>
    <mergeCell ref="P162:V162"/>
    <mergeCell ref="A279:Z279"/>
    <mergeCell ref="P106:V106"/>
    <mergeCell ref="P264:V264"/>
    <mergeCell ref="A300:Z300"/>
    <mergeCell ref="P269:V269"/>
    <mergeCell ref="A287:Z287"/>
    <mergeCell ref="A343:Z343"/>
    <mergeCell ref="A87:Z87"/>
    <mergeCell ref="D145:E145"/>
    <mergeCell ref="D316:E316"/>
    <mergeCell ref="D272:E272"/>
    <mergeCell ref="P166:T166"/>
    <mergeCell ref="D209:E209"/>
    <mergeCell ref="D245:E245"/>
    <mergeCell ref="P116:T116"/>
    <mergeCell ref="D224:E224"/>
    <mergeCell ref="A26:Z26"/>
    <mergeCell ref="P103:T103"/>
    <mergeCell ref="A227:O228"/>
    <mergeCell ref="P59:V59"/>
    <mergeCell ref="P230:T230"/>
    <mergeCell ref="P130:V130"/>
    <mergeCell ref="P168:T168"/>
    <mergeCell ref="A191:O192"/>
    <mergeCell ref="D1:F1"/>
    <mergeCell ref="A233:O234"/>
    <mergeCell ref="P46:V46"/>
    <mergeCell ref="A242:Z242"/>
    <mergeCell ref="P339:T339"/>
    <mergeCell ref="A364:O369"/>
    <mergeCell ref="J17:J18"/>
    <mergeCell ref="D82:E82"/>
    <mergeCell ref="A91:O92"/>
    <mergeCell ref="L17:L18"/>
    <mergeCell ref="A85:O86"/>
    <mergeCell ref="A184:Z184"/>
    <mergeCell ref="P17:T18"/>
    <mergeCell ref="P63:T63"/>
    <mergeCell ref="A53:O54"/>
    <mergeCell ref="P50:T50"/>
    <mergeCell ref="D77:E77"/>
    <mergeCell ref="P52:T52"/>
    <mergeCell ref="I17:I18"/>
    <mergeCell ref="Q9:R9"/>
    <mergeCell ref="P36:V36"/>
    <mergeCell ref="A32:Z32"/>
    <mergeCell ref="P78:T78"/>
    <mergeCell ref="A97:Z97"/>
    <mergeCell ref="V372:V373"/>
    <mergeCell ref="D334:E334"/>
    <mergeCell ref="A165:Z165"/>
    <mergeCell ref="P321:V321"/>
    <mergeCell ref="P125:V125"/>
    <mergeCell ref="P277:V277"/>
    <mergeCell ref="A102:Z102"/>
    <mergeCell ref="P113:T113"/>
    <mergeCell ref="P284:T284"/>
    <mergeCell ref="A229:Z229"/>
    <mergeCell ref="P250:T250"/>
    <mergeCell ref="D329:E329"/>
    <mergeCell ref="P258:T258"/>
    <mergeCell ref="P223:T223"/>
    <mergeCell ref="P350:T350"/>
    <mergeCell ref="P201:V201"/>
    <mergeCell ref="D306:E306"/>
    <mergeCell ref="A119:O120"/>
    <mergeCell ref="A246:O247"/>
    <mergeCell ref="P281:T281"/>
    <mergeCell ref="P295:V295"/>
    <mergeCell ref="A301:Z301"/>
    <mergeCell ref="P278:V278"/>
    <mergeCell ref="P336:V336"/>
    <mergeCell ref="Q11:R11"/>
    <mergeCell ref="P205:T205"/>
    <mergeCell ref="D260:E260"/>
    <mergeCell ref="A6:C6"/>
    <mergeCell ref="D113:E113"/>
    <mergeCell ref="P180:T180"/>
    <mergeCell ref="P118:T118"/>
    <mergeCell ref="D88:E88"/>
    <mergeCell ref="P167:T167"/>
    <mergeCell ref="P117:T117"/>
    <mergeCell ref="P185:T185"/>
    <mergeCell ref="A13:M13"/>
    <mergeCell ref="A15:M15"/>
    <mergeCell ref="J9:M9"/>
    <mergeCell ref="H17:H18"/>
    <mergeCell ref="P27:T27"/>
    <mergeCell ref="P41:T41"/>
    <mergeCell ref="D22:E22"/>
    <mergeCell ref="P34:T34"/>
    <mergeCell ref="D257:E257"/>
    <mergeCell ref="D213:E213"/>
    <mergeCell ref="A64:O65"/>
    <mergeCell ref="D151:E151"/>
    <mergeCell ref="P192:V192"/>
    <mergeCell ref="D311:E311"/>
    <mergeCell ref="D115:E115"/>
    <mergeCell ref="Q12:R12"/>
    <mergeCell ref="D90:E90"/>
    <mergeCell ref="P169:T169"/>
    <mergeCell ref="D261:E261"/>
    <mergeCell ref="P196:V196"/>
    <mergeCell ref="P298:V298"/>
    <mergeCell ref="P369:V369"/>
    <mergeCell ref="P367:V367"/>
    <mergeCell ref="A98:Z98"/>
    <mergeCell ref="A201:O202"/>
    <mergeCell ref="D52:E52"/>
    <mergeCell ref="D350:E350"/>
    <mergeCell ref="D27:E27"/>
    <mergeCell ref="P208:T208"/>
    <mergeCell ref="P15:T16"/>
    <mergeCell ref="D116:E116"/>
    <mergeCell ref="P23:T23"/>
    <mergeCell ref="A164:Z164"/>
    <mergeCell ref="P272:T272"/>
    <mergeCell ref="D156:E156"/>
    <mergeCell ref="D327:E327"/>
    <mergeCell ref="A196:O197"/>
    <mergeCell ref="A5:C5"/>
    <mergeCell ref="A110:Z110"/>
    <mergeCell ref="P64:V64"/>
    <mergeCell ref="P340:T340"/>
    <mergeCell ref="P135:V135"/>
    <mergeCell ref="P191:V191"/>
    <mergeCell ref="P362:V362"/>
    <mergeCell ref="D179:E179"/>
    <mergeCell ref="A174:Z174"/>
    <mergeCell ref="A108:Z108"/>
    <mergeCell ref="D166:E166"/>
    <mergeCell ref="A17:A18"/>
    <mergeCell ref="K17:K18"/>
    <mergeCell ref="A189:Z189"/>
    <mergeCell ref="C17:C18"/>
    <mergeCell ref="P195:T195"/>
    <mergeCell ref="A121:Z121"/>
    <mergeCell ref="P342:V342"/>
    <mergeCell ref="P317:V317"/>
    <mergeCell ref="D63:E63"/>
    <mergeCell ref="A31:Z31"/>
    <mergeCell ref="D330:E330"/>
    <mergeCell ref="P181:V181"/>
    <mergeCell ref="P305:T305"/>
    <mergeCell ref="S372:S373"/>
    <mergeCell ref="D103:E103"/>
    <mergeCell ref="P364:V364"/>
    <mergeCell ref="U372:U373"/>
    <mergeCell ref="D230:E230"/>
    <mergeCell ref="D168:E168"/>
    <mergeCell ref="D339:E339"/>
    <mergeCell ref="D9:E9"/>
    <mergeCell ref="D180:E180"/>
    <mergeCell ref="D118:E118"/>
    <mergeCell ref="F9:G9"/>
    <mergeCell ref="D167:E167"/>
    <mergeCell ref="D161:E161"/>
    <mergeCell ref="D232:E232"/>
    <mergeCell ref="A210:O211"/>
    <mergeCell ref="P68:T68"/>
    <mergeCell ref="P239:T239"/>
    <mergeCell ref="P186:V186"/>
    <mergeCell ref="A356:O357"/>
    <mergeCell ref="D169:E169"/>
    <mergeCell ref="A312:O313"/>
    <mergeCell ref="P253:V253"/>
    <mergeCell ref="A265:Z265"/>
    <mergeCell ref="P303:T303"/>
    <mergeCell ref="P72:V72"/>
    <mergeCell ref="P122:T122"/>
    <mergeCell ref="A309:Z309"/>
    <mergeCell ref="P43:T43"/>
    <mergeCell ref="P65:V65"/>
    <mergeCell ref="D157:E157"/>
    <mergeCell ref="P136:V136"/>
    <mergeCell ref="P80:V80"/>
    <mergeCell ref="D68:E68"/>
    <mergeCell ref="A203:Z203"/>
    <mergeCell ref="P88:T88"/>
    <mergeCell ref="P51:T51"/>
    <mergeCell ref="P71:V71"/>
    <mergeCell ref="P58:V58"/>
    <mergeCell ref="P79:V79"/>
    <mergeCell ref="P77:T77"/>
    <mergeCell ref="P179:T179"/>
    <mergeCell ref="A198:Z198"/>
    <mergeCell ref="D112:E112"/>
    <mergeCell ref="D283:E283"/>
    <mergeCell ref="D51:E51"/>
    <mergeCell ref="P214:T214"/>
    <mergeCell ref="D122:E122"/>
    <mergeCell ref="A162:O163"/>
    <mergeCell ref="D328:E328"/>
    <mergeCell ref="A135:O136"/>
    <mergeCell ref="A188:Z188"/>
    <mergeCell ref="P263:V263"/>
    <mergeCell ref="A372:A373"/>
    <mergeCell ref="P228:V228"/>
    <mergeCell ref="A324:Z324"/>
    <mergeCell ref="A12:M12"/>
    <mergeCell ref="A109:Z109"/>
    <mergeCell ref="D251:E251"/>
    <mergeCell ref="A19:Z19"/>
    <mergeCell ref="P310:T310"/>
    <mergeCell ref="A14:M14"/>
    <mergeCell ref="A353:Z353"/>
    <mergeCell ref="D345:E345"/>
    <mergeCell ref="P138:T138"/>
    <mergeCell ref="P361:T361"/>
    <mergeCell ref="D340:E340"/>
    <mergeCell ref="P368:V368"/>
    <mergeCell ref="P85:V85"/>
    <mergeCell ref="A137:Z137"/>
    <mergeCell ref="A252:O253"/>
    <mergeCell ref="D43:E43"/>
    <mergeCell ref="P216:T216"/>
    <mergeCell ref="T5:U5"/>
    <mergeCell ref="P76:T76"/>
    <mergeCell ref="V5:W5"/>
    <mergeCell ref="D190:E190"/>
    <mergeCell ref="A48:Z48"/>
    <mergeCell ref="P294:V294"/>
    <mergeCell ref="A319:Z319"/>
    <mergeCell ref="D40:E40"/>
    <mergeCell ref="D111:E111"/>
    <mergeCell ref="D282:E282"/>
    <mergeCell ref="A142:Z142"/>
    <mergeCell ref="Q8:R8"/>
    <mergeCell ref="A28:O29"/>
    <mergeCell ref="P69:T69"/>
    <mergeCell ref="P311:T311"/>
    <mergeCell ref="A186:O187"/>
    <mergeCell ref="P267:T267"/>
    <mergeCell ref="D104:E104"/>
    <mergeCell ref="T6:U9"/>
    <mergeCell ref="Q10:R10"/>
    <mergeCell ref="D185:E185"/>
    <mergeCell ref="D41:E41"/>
    <mergeCell ref="P25:V25"/>
    <mergeCell ref="P318:V318"/>
    <mergeCell ref="D335:E335"/>
    <mergeCell ref="H372:H373"/>
    <mergeCell ref="P245:T245"/>
    <mergeCell ref="P126:V126"/>
    <mergeCell ref="P224:T224"/>
    <mergeCell ref="A285:O286"/>
    <mergeCell ref="A341:O342"/>
    <mergeCell ref="P89:T89"/>
    <mergeCell ref="P260:T260"/>
    <mergeCell ref="D178:E178"/>
    <mergeCell ref="P153:T153"/>
    <mergeCell ref="P227:V227"/>
    <mergeCell ref="P313:V313"/>
    <mergeCell ref="P202:V202"/>
    <mergeCell ref="P307:V307"/>
    <mergeCell ref="A325:Z325"/>
    <mergeCell ref="G372:G373"/>
    <mergeCell ref="P115:T115"/>
    <mergeCell ref="A256:Z256"/>
    <mergeCell ref="P238:T238"/>
    <mergeCell ref="I372:I373"/>
    <mergeCell ref="A183:Z183"/>
    <mergeCell ref="D346:E346"/>
    <mergeCell ref="A193:Z193"/>
    <mergeCell ref="D348:E348"/>
    <mergeCell ref="D62:E62"/>
    <mergeCell ref="D56:E56"/>
    <mergeCell ref="P206:T206"/>
    <mergeCell ref="D176:E176"/>
    <mergeCell ref="P304:T304"/>
    <mergeCell ref="D114:E114"/>
    <mergeCell ref="A298:O299"/>
    <mergeCell ref="D347:E347"/>
    <mergeCell ref="P220:V220"/>
    <mergeCell ref="A273:O274"/>
    <mergeCell ref="P143:T143"/>
    <mergeCell ref="A129:O130"/>
    <mergeCell ref="P86:V86"/>
    <mergeCell ref="P306:T306"/>
    <mergeCell ref="P252:V252"/>
    <mergeCell ref="P327:T327"/>
    <mergeCell ref="P114:T114"/>
    <mergeCell ref="D84:E84"/>
    <mergeCell ref="D155:E155"/>
    <mergeCell ref="D320:E320"/>
    <mergeCell ref="P178:T178"/>
    <mergeCell ref="P105:T105"/>
    <mergeCell ref="P276:T276"/>
    <mergeCell ref="D349:E349"/>
    <mergeCell ref="A38:Z38"/>
    <mergeCell ref="A280:Z280"/>
    <mergeCell ref="P207:T207"/>
    <mergeCell ref="P172:V172"/>
    <mergeCell ref="P28:V28"/>
    <mergeCell ref="D138:E138"/>
    <mergeCell ref="A338:Z338"/>
    <mergeCell ref="P232:T232"/>
    <mergeCell ref="P330:T330"/>
    <mergeCell ref="A275:Z275"/>
    <mergeCell ref="D267:E267"/>
    <mergeCell ref="P90:T90"/>
    <mergeCell ref="P261:T261"/>
    <mergeCell ref="P161:T161"/>
    <mergeCell ref="P217:T217"/>
    <mergeCell ref="P332:T332"/>
    <mergeCell ref="D75:E75"/>
    <mergeCell ref="P154:T154"/>
    <mergeCell ref="D206:E206"/>
    <mergeCell ref="P247:V247"/>
    <mergeCell ref="P241:V241"/>
    <mergeCell ref="A66:Z66"/>
    <mergeCell ref="P156:T156"/>
    <mergeCell ref="A321:O322"/>
    <mergeCell ref="P366:V366"/>
    <mergeCell ref="P341:V341"/>
    <mergeCell ref="A160:Z160"/>
    <mergeCell ref="H10:M10"/>
    <mergeCell ref="AA17:AA18"/>
    <mergeCell ref="AC17:AC18"/>
    <mergeCell ref="P107:V107"/>
    <mergeCell ref="P101:V101"/>
    <mergeCell ref="D89:E89"/>
    <mergeCell ref="P147:V147"/>
    <mergeCell ref="A199:Z199"/>
    <mergeCell ref="P251:T251"/>
    <mergeCell ref="P45:T45"/>
    <mergeCell ref="D153:E153"/>
    <mergeCell ref="AB17:AB18"/>
    <mergeCell ref="P335:T335"/>
    <mergeCell ref="P333:T333"/>
    <mergeCell ref="Q13:R13"/>
    <mergeCell ref="P268:V268"/>
    <mergeCell ref="A93:Z93"/>
    <mergeCell ref="P139:T139"/>
    <mergeCell ref="A125:O126"/>
    <mergeCell ref="P47:V47"/>
    <mergeCell ref="A9:C9"/>
    <mergeCell ref="A71:O72"/>
    <mergeCell ref="P112:T112"/>
    <mergeCell ref="V6:W9"/>
    <mergeCell ref="D128:E128"/>
    <mergeCell ref="F372:F373"/>
    <mergeCell ref="A106:O107"/>
    <mergeCell ref="P234:V234"/>
    <mergeCell ref="D217:E217"/>
    <mergeCell ref="P345:T345"/>
    <mergeCell ref="P84:T84"/>
    <mergeCell ref="P222:T222"/>
    <mergeCell ref="P22:T22"/>
    <mergeCell ref="P320:T320"/>
    <mergeCell ref="P40:T40"/>
    <mergeCell ref="A61:Z61"/>
    <mergeCell ref="P92:V92"/>
    <mergeCell ref="A359:Z359"/>
    <mergeCell ref="P257:T257"/>
    <mergeCell ref="P54:V54"/>
    <mergeCell ref="Z17:Z18"/>
    <mergeCell ref="P173:V173"/>
    <mergeCell ref="P29:V29"/>
    <mergeCell ref="P100:V100"/>
    <mergeCell ref="O372:O373"/>
    <mergeCell ref="Q372:Q373"/>
    <mergeCell ref="A289:O290"/>
    <mergeCell ref="P357:V357"/>
    <mergeCell ref="A296:Z296"/>
    <mergeCell ref="D288:E288"/>
    <mergeCell ref="P148:V148"/>
    <mergeCell ref="P190:T190"/>
    <mergeCell ref="P240:V240"/>
    <mergeCell ref="D154:E154"/>
    <mergeCell ref="D225:E225"/>
    <mergeCell ref="P282:T282"/>
    <mergeCell ref="D200:E200"/>
    <mergeCell ref="D292:E292"/>
    <mergeCell ref="P346:T346"/>
    <mergeCell ref="A302:Z302"/>
    <mergeCell ref="P372:P373"/>
    <mergeCell ref="A307:O308"/>
    <mergeCell ref="P348:T348"/>
    <mergeCell ref="P273:V273"/>
    <mergeCell ref="D231:E231"/>
    <mergeCell ref="P337:V337"/>
    <mergeCell ref="A336:O337"/>
    <mergeCell ref="A219:O220"/>
    <mergeCell ref="A362:O363"/>
    <mergeCell ref="S371:T371"/>
    <mergeCell ref="P49:T49"/>
    <mergeCell ref="D150:E150"/>
    <mergeCell ref="P129:V129"/>
    <mergeCell ref="D215:E215"/>
    <mergeCell ref="P286:V286"/>
    <mergeCell ref="M17:M18"/>
    <mergeCell ref="O17:O18"/>
    <mergeCell ref="P187:V187"/>
    <mergeCell ref="A248:Z248"/>
    <mergeCell ref="A175:Z175"/>
    <mergeCell ref="A235:Z235"/>
    <mergeCell ref="D177:E177"/>
    <mergeCell ref="C371:G371"/>
    <mergeCell ref="D33:E33"/>
    <mergeCell ref="D226:E226"/>
    <mergeCell ref="P352:V352"/>
    <mergeCell ref="P354:T354"/>
    <mergeCell ref="A127:Z127"/>
    <mergeCell ref="A249:Z249"/>
    <mergeCell ref="P351:V351"/>
    <mergeCell ref="P289:V289"/>
    <mergeCell ref="A314:Z314"/>
    <mergeCell ref="R372:R373"/>
    <mergeCell ref="P62:T62"/>
    <mergeCell ref="P2:W3"/>
    <mergeCell ref="P133:T133"/>
    <mergeCell ref="A323:Z323"/>
    <mergeCell ref="P347:T347"/>
    <mergeCell ref="D35:E35"/>
    <mergeCell ref="D333:E333"/>
    <mergeCell ref="P312:V312"/>
    <mergeCell ref="D10:E10"/>
    <mergeCell ref="F10:G10"/>
    <mergeCell ref="D34:E34"/>
    <mergeCell ref="A181:O182"/>
    <mergeCell ref="D305:E305"/>
    <mergeCell ref="D243:E243"/>
    <mergeCell ref="D99:E99"/>
    <mergeCell ref="P349:T349"/>
    <mergeCell ref="P128:T128"/>
    <mergeCell ref="P363:V363"/>
    <mergeCell ref="D310:E310"/>
    <mergeCell ref="C372:C373"/>
    <mergeCell ref="E372:E373"/>
    <mergeCell ref="P197:V197"/>
    <mergeCell ref="P53:V53"/>
    <mergeCell ref="Q5:R5"/>
    <mergeCell ref="F17:F18"/>
    <mergeCell ref="A58:O59"/>
    <mergeCell ref="Q6:R6"/>
    <mergeCell ref="A8:C8"/>
    <mergeCell ref="AD17:AF18"/>
    <mergeCell ref="A132:Z132"/>
    <mergeCell ref="D76:E76"/>
    <mergeCell ref="F5:G5"/>
    <mergeCell ref="P67:T67"/>
    <mergeCell ref="P119:V119"/>
    <mergeCell ref="A36:O37"/>
    <mergeCell ref="P82:T82"/>
    <mergeCell ref="V11:W11"/>
    <mergeCell ref="P57:T57"/>
    <mergeCell ref="P75:T75"/>
    <mergeCell ref="D23:E23"/>
    <mergeCell ref="A20:Z20"/>
    <mergeCell ref="P123:T123"/>
    <mergeCell ref="H5:M5"/>
    <mergeCell ref="D6:M6"/>
    <mergeCell ref="P95:V95"/>
    <mergeCell ref="D83:E83"/>
    <mergeCell ref="P33:T33"/>
    <mergeCell ref="H371:R371"/>
    <mergeCell ref="P243:T243"/>
    <mergeCell ref="P292:T292"/>
    <mergeCell ref="A204:Z204"/>
    <mergeCell ref="P219:V219"/>
    <mergeCell ref="D133:E133"/>
    <mergeCell ref="P210:V210"/>
    <mergeCell ref="P308:V308"/>
    <mergeCell ref="P83:T83"/>
    <mergeCell ref="D271:E271"/>
    <mergeCell ref="D331:E331"/>
    <mergeCell ref="P262:T262"/>
    <mergeCell ref="D105:E105"/>
    <mergeCell ref="D276:E276"/>
    <mergeCell ref="D170:E170"/>
    <mergeCell ref="P365:V365"/>
    <mergeCell ref="A221:Z221"/>
    <mergeCell ref="P146:T146"/>
    <mergeCell ref="D152:E152"/>
    <mergeCell ref="D223:E223"/>
    <mergeCell ref="A263:O264"/>
    <mergeCell ref="A254:Z254"/>
    <mergeCell ref="D216:E216"/>
    <mergeCell ref="P344:T344"/>
    <mergeCell ref="P288:T288"/>
    <mergeCell ref="A24:O25"/>
    <mergeCell ref="P70:T70"/>
    <mergeCell ref="D244:E244"/>
    <mergeCell ref="D171:E171"/>
    <mergeCell ref="P355:T355"/>
    <mergeCell ref="P293:T293"/>
    <mergeCell ref="P200:T200"/>
    <mergeCell ref="P134:T134"/>
    <mergeCell ref="D49:E49"/>
    <mergeCell ref="D218:E218"/>
    <mergeCell ref="P158:V158"/>
    <mergeCell ref="D146:E146"/>
    <mergeCell ref="P225:T225"/>
    <mergeCell ref="D304:E304"/>
    <mergeCell ref="A317:O318"/>
    <mergeCell ref="D143:E143"/>
    <mergeCell ref="P177:T177"/>
    <mergeCell ref="P226:T226"/>
    <mergeCell ref="A294:O295"/>
    <mergeCell ref="D207:E207"/>
    <mergeCell ref="P120:V120"/>
    <mergeCell ref="A100:O101"/>
    <mergeCell ref="D222:E222"/>
    <mergeCell ref="A10:C10"/>
    <mergeCell ref="P218:T218"/>
    <mergeCell ref="P140:V140"/>
    <mergeCell ref="V12:W12"/>
    <mergeCell ref="D262:E262"/>
    <mergeCell ref="D237:E237"/>
    <mergeCell ref="A39:Z39"/>
    <mergeCell ref="P285:V285"/>
    <mergeCell ref="A30:Z30"/>
    <mergeCell ref="D239:E239"/>
    <mergeCell ref="D266:E266"/>
    <mergeCell ref="U17:V17"/>
    <mergeCell ref="Y17:Y18"/>
    <mergeCell ref="D57:E57"/>
    <mergeCell ref="P124:T124"/>
    <mergeCell ref="N17:N18"/>
    <mergeCell ref="P35:T35"/>
    <mergeCell ref="G17:G18"/>
    <mergeCell ref="P111:T111"/>
    <mergeCell ref="A172:O173"/>
    <mergeCell ref="A212:Z212"/>
    <mergeCell ref="P176:T176"/>
    <mergeCell ref="P283:T283"/>
    <mergeCell ref="A277:O278"/>
    <mergeCell ref="B372:B373"/>
    <mergeCell ref="A21:Z21"/>
    <mergeCell ref="D372:D373"/>
    <mergeCell ref="A194:Z194"/>
    <mergeCell ref="D42:E42"/>
    <mergeCell ref="P356:V356"/>
    <mergeCell ref="D17:E18"/>
    <mergeCell ref="D344:E344"/>
    <mergeCell ref="A131:Z131"/>
    <mergeCell ref="X17:X18"/>
    <mergeCell ref="D123:E123"/>
    <mergeCell ref="D250:E250"/>
    <mergeCell ref="D50:E50"/>
    <mergeCell ref="D44:E44"/>
    <mergeCell ref="D355:E355"/>
    <mergeCell ref="P163:V163"/>
    <mergeCell ref="D293:E293"/>
    <mergeCell ref="P151:T151"/>
    <mergeCell ref="A268:O269"/>
    <mergeCell ref="A255:Z255"/>
    <mergeCell ref="P290:V290"/>
    <mergeCell ref="A315:Z315"/>
    <mergeCell ref="P297:T297"/>
    <mergeCell ref="X372:X37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/xPsHTqDqX9nC0RHIGWhQu8XWh5giawpTJaugxpYIbeyGEbtqPlvKr/CtuS5FOgifYeS7ed8gvTFSqRTlzDuGA==" saltValue="djr2DSOG/AyyR5o0t1zq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681</vt:i4>
      </vt:variant>
    </vt:vector>
  </HeadingPairs>
  <TitlesOfParts>
    <vt:vector size="6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