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23982D-004F-4F04-B326-4DFEBC1F13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P259" i="1"/>
  <c r="BO258" i="1"/>
  <c r="BM258" i="1"/>
  <c r="Z258" i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BO247" i="1"/>
  <c r="BM247" i="1"/>
  <c r="Z247" i="1"/>
  <c r="Y247" i="1"/>
  <c r="Y251" i="1" s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BO218" i="1"/>
  <c r="BM218" i="1"/>
  <c r="Z218" i="1"/>
  <c r="Z220" i="1" s="1"/>
  <c r="Y218" i="1"/>
  <c r="Y221" i="1" s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O195" i="1"/>
  <c r="BM195" i="1"/>
  <c r="Z195" i="1"/>
  <c r="Y195" i="1"/>
  <c r="BP195" i="1" s="1"/>
  <c r="BO194" i="1"/>
  <c r="BM194" i="1"/>
  <c r="Z194" i="1"/>
  <c r="Y194" i="1"/>
  <c r="BP194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P171" i="1"/>
  <c r="BO170" i="1"/>
  <c r="BM170" i="1"/>
  <c r="Z170" i="1"/>
  <c r="Y170" i="1"/>
  <c r="BP170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Z126" i="1" s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82" i="1" s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0" i="1" l="1"/>
  <c r="X278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2" i="1"/>
  <c r="BP182" i="1"/>
  <c r="Y183" i="1"/>
  <c r="Z190" i="1"/>
  <c r="BN186" i="1"/>
  <c r="BN188" i="1"/>
  <c r="BN202" i="1"/>
  <c r="BP202" i="1"/>
  <c r="Y203" i="1"/>
  <c r="BN207" i="1"/>
  <c r="BP207" i="1"/>
  <c r="Y208" i="1"/>
  <c r="Z214" i="1"/>
  <c r="BN211" i="1"/>
  <c r="BN213" i="1"/>
  <c r="BN22" i="1"/>
  <c r="BP22" i="1"/>
  <c r="Y23" i="1"/>
  <c r="Z30" i="1"/>
  <c r="BN28" i="1"/>
  <c r="BP28" i="1"/>
  <c r="X279" i="1"/>
  <c r="X281" i="1" s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5" i="1"/>
  <c r="BP115" i="1"/>
  <c r="Y116" i="1"/>
  <c r="Y127" i="1"/>
  <c r="BN125" i="1"/>
  <c r="Y132" i="1"/>
  <c r="BN137" i="1"/>
  <c r="Z173" i="1"/>
  <c r="BN170" i="1"/>
  <c r="BN172" i="1"/>
  <c r="Y190" i="1"/>
  <c r="Y191" i="1"/>
  <c r="Z198" i="1"/>
  <c r="BN194" i="1"/>
  <c r="BN195" i="1"/>
  <c r="Y215" i="1"/>
  <c r="BN218" i="1"/>
  <c r="BP218" i="1"/>
  <c r="BN219" i="1"/>
  <c r="Y220" i="1"/>
  <c r="BN225" i="1"/>
  <c r="BP225" i="1"/>
  <c r="Y226" i="1"/>
  <c r="BN231" i="1"/>
  <c r="BP231" i="1"/>
  <c r="Y232" i="1"/>
  <c r="BN237" i="1"/>
  <c r="BP237" i="1"/>
  <c r="Y238" i="1"/>
  <c r="BN241" i="1"/>
  <c r="BP241" i="1"/>
  <c r="Y242" i="1"/>
  <c r="Z250" i="1"/>
  <c r="BN247" i="1"/>
  <c r="BP247" i="1"/>
  <c r="BN249" i="1"/>
  <c r="Y255" i="1"/>
  <c r="Y256" i="1"/>
  <c r="Z261" i="1"/>
  <c r="BN259" i="1"/>
  <c r="Z276" i="1"/>
  <c r="F9" i="1"/>
  <c r="J9" i="1"/>
  <c r="F10" i="1"/>
  <c r="Y31" i="1"/>
  <c r="Y38" i="1"/>
  <c r="Y45" i="1"/>
  <c r="Y64" i="1"/>
  <c r="Y70" i="1"/>
  <c r="Y75" i="1"/>
  <c r="Y87" i="1"/>
  <c r="Y96" i="1"/>
  <c r="Y103" i="1"/>
  <c r="Y113" i="1"/>
  <c r="Y121" i="1"/>
  <c r="Y126" i="1"/>
  <c r="Y133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BP196" i="1"/>
  <c r="BN196" i="1"/>
  <c r="BP197" i="1"/>
  <c r="BN197" i="1"/>
  <c r="Y261" i="1"/>
  <c r="BP258" i="1"/>
  <c r="BN258" i="1"/>
  <c r="BP260" i="1"/>
  <c r="BN260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Z138" i="1"/>
  <c r="Z165" i="1"/>
  <c r="Y174" i="1"/>
  <c r="Y178" i="1"/>
  <c r="BP187" i="1"/>
  <c r="BN187" i="1"/>
  <c r="BP189" i="1"/>
  <c r="BN189" i="1"/>
  <c r="Y198" i="1"/>
  <c r="Y199" i="1"/>
  <c r="BP212" i="1"/>
  <c r="BN212" i="1"/>
  <c r="Y214" i="1"/>
  <c r="BP248" i="1"/>
  <c r="BN248" i="1"/>
  <c r="Y250" i="1"/>
  <c r="BP254" i="1"/>
  <c r="BN254" i="1"/>
  <c r="Y262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Y280" i="1" l="1"/>
  <c r="Y279" i="1"/>
  <c r="Y282" i="1"/>
  <c r="Z283" i="1"/>
  <c r="Y278" i="1"/>
  <c r="Y281" i="1"/>
  <c r="B291" i="1" s="1"/>
  <c r="A291" i="1"/>
  <c r="C291" i="1" l="1"/>
</calcChain>
</file>

<file path=xl/sharedStrings.xml><?xml version="1.0" encoding="utf-8"?>
<sst xmlns="http://schemas.openxmlformats.org/spreadsheetml/2006/main" count="1253" uniqueCount="410">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</sst>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40" t="s">
        <v>0</v>
      </c>
      <c r="E1" s="310"/>
      <c r="F1" s="310"/>
      <c r="G1" s="12" t="s">
        <v>1</v>
      </c>
      <c r="H1" s="340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5" t="s">
        <v>8</v>
      </c>
      <c r="B5" s="297"/>
      <c r="C5" s="298"/>
      <c r="D5" s="342"/>
      <c r="E5" s="343"/>
      <c r="F5" s="446" t="s">
        <v>9</v>
      </c>
      <c r="G5" s="298"/>
      <c r="H5" s="342" t="s">
        <v>409</v>
      </c>
      <c r="I5" s="408"/>
      <c r="J5" s="408"/>
      <c r="K5" s="408"/>
      <c r="L5" s="408"/>
      <c r="M5" s="343"/>
      <c r="N5" s="61"/>
      <c r="P5" s="24" t="s">
        <v>10</v>
      </c>
      <c r="Q5" s="451">
        <v>45935</v>
      </c>
      <c r="R5" s="295"/>
      <c r="T5" s="377" t="s">
        <v>11</v>
      </c>
      <c r="U5" s="378"/>
      <c r="V5" s="379" t="s">
        <v>12</v>
      </c>
      <c r="W5" s="295"/>
      <c r="AB5" s="51"/>
      <c r="AC5" s="51"/>
      <c r="AD5" s="51"/>
      <c r="AE5" s="51"/>
    </row>
    <row r="6" spans="1:32" s="264" customFormat="1" ht="24" customHeight="1" x14ac:dyDescent="0.2">
      <c r="A6" s="355" t="s">
        <v>13</v>
      </c>
      <c r="B6" s="297"/>
      <c r="C6" s="298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295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83" t="s">
        <v>16</v>
      </c>
      <c r="U6" s="378"/>
      <c r="V6" s="396" t="s">
        <v>17</v>
      </c>
      <c r="W6" s="31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16" t="str">
        <f>IFERROR(VLOOKUP(DeliveryAddress,Table,3,0),1)</f>
        <v>1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81"/>
      <c r="U7" s="378"/>
      <c r="V7" s="397"/>
      <c r="W7" s="398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25" t="s">
        <v>19</v>
      </c>
      <c r="E8" s="326"/>
      <c r="F8" s="326"/>
      <c r="G8" s="326"/>
      <c r="H8" s="326"/>
      <c r="I8" s="326"/>
      <c r="J8" s="326"/>
      <c r="K8" s="326"/>
      <c r="L8" s="326"/>
      <c r="M8" s="327"/>
      <c r="N8" s="64"/>
      <c r="P8" s="24" t="s">
        <v>20</v>
      </c>
      <c r="Q8" s="358">
        <v>0.375</v>
      </c>
      <c r="R8" s="318"/>
      <c r="T8" s="281"/>
      <c r="U8" s="378"/>
      <c r="V8" s="397"/>
      <c r="W8" s="398"/>
      <c r="AB8" s="51"/>
      <c r="AC8" s="51"/>
      <c r="AD8" s="51"/>
      <c r="AE8" s="51"/>
    </row>
    <row r="9" spans="1:32" s="264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7"/>
      <c r="E9" s="289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292"/>
      <c r="R9" s="293"/>
      <c r="T9" s="281"/>
      <c r="U9" s="378"/>
      <c r="V9" s="399"/>
      <c r="W9" s="400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7"/>
      <c r="E10" s="289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29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84"/>
      <c r="R10" s="385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4"/>
      <c r="R11" s="295"/>
      <c r="U11" s="24" t="s">
        <v>27</v>
      </c>
      <c r="V11" s="425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296" t="s">
        <v>29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8"/>
      <c r="N12" s="65"/>
      <c r="P12" s="24" t="s">
        <v>30</v>
      </c>
      <c r="Q12" s="358"/>
      <c r="R12" s="318"/>
      <c r="S12" s="23"/>
      <c r="U12" s="24"/>
      <c r="V12" s="310"/>
      <c r="W12" s="281"/>
      <c r="AB12" s="51"/>
      <c r="AC12" s="51"/>
      <c r="AD12" s="51"/>
      <c r="AE12" s="51"/>
    </row>
    <row r="13" spans="1:32" s="264" customFormat="1" ht="23.25" customHeight="1" x14ac:dyDescent="0.2">
      <c r="A13" s="296" t="s">
        <v>31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8"/>
      <c r="N13" s="65"/>
      <c r="O13" s="26"/>
      <c r="P13" s="26" t="s">
        <v>32</v>
      </c>
      <c r="Q13" s="425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296" t="s">
        <v>33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2" t="s">
        <v>34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8"/>
      <c r="N15" s="66"/>
      <c r="P15" s="361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2"/>
      <c r="Q16" s="362"/>
      <c r="R16" s="362"/>
      <c r="S16" s="362"/>
      <c r="T16" s="3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0" t="s">
        <v>36</v>
      </c>
      <c r="B17" s="290" t="s">
        <v>37</v>
      </c>
      <c r="C17" s="364" t="s">
        <v>38</v>
      </c>
      <c r="D17" s="290" t="s">
        <v>39</v>
      </c>
      <c r="E17" s="336"/>
      <c r="F17" s="290" t="s">
        <v>40</v>
      </c>
      <c r="G17" s="290" t="s">
        <v>41</v>
      </c>
      <c r="H17" s="290" t="s">
        <v>42</v>
      </c>
      <c r="I17" s="290" t="s">
        <v>43</v>
      </c>
      <c r="J17" s="290" t="s">
        <v>44</v>
      </c>
      <c r="K17" s="290" t="s">
        <v>45</v>
      </c>
      <c r="L17" s="290" t="s">
        <v>46</v>
      </c>
      <c r="M17" s="290" t="s">
        <v>47</v>
      </c>
      <c r="N17" s="290" t="s">
        <v>48</v>
      </c>
      <c r="O17" s="290" t="s">
        <v>49</v>
      </c>
      <c r="P17" s="290" t="s">
        <v>50</v>
      </c>
      <c r="Q17" s="335"/>
      <c r="R17" s="335"/>
      <c r="S17" s="335"/>
      <c r="T17" s="336"/>
      <c r="U17" s="454" t="s">
        <v>51</v>
      </c>
      <c r="V17" s="298"/>
      <c r="W17" s="290" t="s">
        <v>52</v>
      </c>
      <c r="X17" s="290" t="s">
        <v>53</v>
      </c>
      <c r="Y17" s="455" t="s">
        <v>54</v>
      </c>
      <c r="Z17" s="406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41"/>
      <c r="AF17" s="442"/>
      <c r="AG17" s="69"/>
      <c r="BD17" s="68" t="s">
        <v>60</v>
      </c>
    </row>
    <row r="18" spans="1:68" ht="14.25" customHeight="1" x14ac:dyDescent="0.2">
      <c r="A18" s="291"/>
      <c r="B18" s="291"/>
      <c r="C18" s="291"/>
      <c r="D18" s="337"/>
      <c r="E18" s="33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337"/>
      <c r="Q18" s="338"/>
      <c r="R18" s="338"/>
      <c r="S18" s="338"/>
      <c r="T18" s="339"/>
      <c r="U18" s="70" t="s">
        <v>61</v>
      </c>
      <c r="V18" s="70" t="s">
        <v>62</v>
      </c>
      <c r="W18" s="291"/>
      <c r="X18" s="291"/>
      <c r="Y18" s="456"/>
      <c r="Z18" s="407"/>
      <c r="AA18" s="393"/>
      <c r="AB18" s="393"/>
      <c r="AC18" s="393"/>
      <c r="AD18" s="443"/>
      <c r="AE18" s="444"/>
      <c r="AF18" s="445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0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hidden="1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0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hidden="1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126</v>
      </c>
      <c r="Y28" s="271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126</v>
      </c>
      <c r="Y30" s="272">
        <f>IFERROR(SUM(Y28:Y29),"0")</f>
        <v>126</v>
      </c>
      <c r="Z30" s="272">
        <f>IFERROR(IF(Z28="",0,Z28),"0")+IFERROR(IF(Z29="",0,Z29),"0")</f>
        <v>1.1856599999999999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189</v>
      </c>
      <c r="Y31" s="272">
        <f>IFERROR(SUMPRODUCT(Y28:Y29*H28:H29),"0")</f>
        <v>189</v>
      </c>
      <c r="Z31" s="37"/>
      <c r="AA31" s="273"/>
      <c r="AB31" s="273"/>
      <c r="AC31" s="273"/>
    </row>
    <row r="32" spans="1:68" ht="16.5" hidden="1" customHeight="1" x14ac:dyDescent="0.25">
      <c r="A32" s="30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hidden="1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24</v>
      </c>
      <c r="Y35" s="27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24</v>
      </c>
      <c r="Y37" s="272">
        <f>IFERROR(SUM(Y34:Y36),"0")</f>
        <v>24</v>
      </c>
      <c r="Z37" s="272">
        <f>IFERROR(IF(Z34="",0,Z34),"0")+IFERROR(IF(Z35="",0,Z35),"0")+IFERROR(IF(Z36="",0,Z36),"0")</f>
        <v>0.372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134.39999999999998</v>
      </c>
      <c r="Y38" s="272">
        <f>IFERROR(SUMPRODUCT(Y34:Y36*H34:H36),"0")</f>
        <v>134.39999999999998</v>
      </c>
      <c r="Z38" s="37"/>
      <c r="AA38" s="273"/>
      <c r="AB38" s="273"/>
      <c r="AC38" s="273"/>
    </row>
    <row r="39" spans="1:68" ht="16.5" hidden="1" customHeight="1" x14ac:dyDescent="0.25">
      <c r="A39" s="30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hidden="1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48</v>
      </c>
      <c r="Y41" s="271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60</v>
      </c>
      <c r="Y42" s="271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60</v>
      </c>
      <c r="Y44" s="271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180</v>
      </c>
      <c r="Y45" s="272">
        <f>IFERROR(SUM(Y41:Y44),"0")</f>
        <v>180</v>
      </c>
      <c r="Z45" s="272">
        <f>IFERROR(IF(Z41="",0,Z41),"0")+IFERROR(IF(Z42="",0,Z42),"0")+IFERROR(IF(Z43="",0,Z43),"0")+IFERROR(IF(Z44="",0,Z44),"0")</f>
        <v>2.79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1252.8</v>
      </c>
      <c r="Y46" s="272">
        <f>IFERROR(SUMPRODUCT(Y41:Y44*H41:H44),"0")</f>
        <v>1252.8</v>
      </c>
      <c r="Z46" s="37"/>
      <c r="AA46" s="273"/>
      <c r="AB46" s="273"/>
      <c r="AC46" s="273"/>
    </row>
    <row r="47" spans="1:68" ht="16.5" hidden="1" customHeight="1" x14ac:dyDescent="0.25">
      <c r="A47" s="30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hidden="1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28</v>
      </c>
      <c r="Y67" s="27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28</v>
      </c>
      <c r="Y68" s="27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56</v>
      </c>
      <c r="Y69" s="272">
        <f>IFERROR(SUM(Y66:Y68),"0")</f>
        <v>56</v>
      </c>
      <c r="Z69" s="272">
        <f>IFERROR(IF(Z66="",0,Z66),"0")+IFERROR(IF(Z67="",0,Z67),"0")+IFERROR(IF(Z68="",0,Z68),"0")</f>
        <v>0.52695999999999998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67.2</v>
      </c>
      <c r="Y70" s="272">
        <f>IFERROR(SUMPRODUCT(Y66:Y68*H66:H68),"0")</f>
        <v>67.2</v>
      </c>
      <c r="Z70" s="37"/>
      <c r="AA70" s="273"/>
      <c r="AB70" s="273"/>
      <c r="AC70" s="273"/>
    </row>
    <row r="71" spans="1:68" ht="16.5" hidden="1" customHeight="1" x14ac:dyDescent="0.25">
      <c r="A71" s="30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hidden="1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216</v>
      </c>
      <c r="Y74" s="271">
        <f>IFERROR(IF(X74="","",X74),"")</f>
        <v>216</v>
      </c>
      <c r="Z74" s="36">
        <f>IFERROR(IF(X74="","",X74*0.00866),"")</f>
        <v>1.8705599999999998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1126.0511999999999</v>
      </c>
      <c r="BN74" s="67">
        <f>IFERROR(Y74*I74,"0")</f>
        <v>1126.0511999999999</v>
      </c>
      <c r="BO74" s="67">
        <f>IFERROR(X74/J74,"0")</f>
        <v>1.5</v>
      </c>
      <c r="BP74" s="67">
        <f>IFERROR(Y74/J74,"0")</f>
        <v>1.5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216</v>
      </c>
      <c r="Y75" s="272">
        <f>IFERROR(SUM(Y73:Y74),"0")</f>
        <v>216</v>
      </c>
      <c r="Z75" s="272">
        <f>IFERROR(IF(Z73="",0,Z73),"0")+IFERROR(IF(Z74="",0,Z74),"0")</f>
        <v>1.8705599999999998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1080</v>
      </c>
      <c r="Y76" s="272">
        <f>IFERROR(SUMPRODUCT(Y73:Y74*H73:H74),"0")</f>
        <v>1080</v>
      </c>
      <c r="Z76" s="37"/>
      <c r="AA76" s="273"/>
      <c r="AB76" s="273"/>
      <c r="AC76" s="273"/>
    </row>
    <row r="77" spans="1:68" ht="16.5" hidden="1" customHeight="1" x14ac:dyDescent="0.25">
      <c r="A77" s="30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hidden="1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hidden="1" customHeight="1" x14ac:dyDescent="0.25">
      <c r="A82" s="30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hidden="1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42</v>
      </c>
      <c r="Y84" s="271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4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70</v>
      </c>
      <c r="Y86" s="272">
        <f>IFERROR(SUM(Y84:Y85),"0")</f>
        <v>70</v>
      </c>
      <c r="Z86" s="272">
        <f>IFERROR(IF(Z84="",0,Z84),"0")+IFERROR(IF(Z85="",0,Z85),"0")</f>
        <v>1.2515999999999998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252</v>
      </c>
      <c r="Y87" s="272">
        <f>IFERROR(SUMPRODUCT(Y84:Y85*H84:H85),"0")</f>
        <v>252</v>
      </c>
      <c r="Z87" s="37"/>
      <c r="AA87" s="273"/>
      <c r="AB87" s="273"/>
      <c r="AC87" s="273"/>
    </row>
    <row r="88" spans="1:68" ht="16.5" hidden="1" customHeight="1" x14ac:dyDescent="0.25">
      <c r="A88" s="30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hidden="1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28</v>
      </c>
      <c r="Y90" s="27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70</v>
      </c>
      <c r="Y91" s="271">
        <f t="shared" si="0"/>
        <v>70</v>
      </c>
      <c r="Z91" s="36">
        <f t="shared" si="1"/>
        <v>1.2516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70</v>
      </c>
      <c r="Y93" s="271">
        <f t="shared" si="0"/>
        <v>70</v>
      </c>
      <c r="Z93" s="36">
        <f t="shared" si="1"/>
        <v>1.2516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182</v>
      </c>
      <c r="Y96" s="272">
        <f>IFERROR(SUM(Y90:Y95),"0")</f>
        <v>182</v>
      </c>
      <c r="Z96" s="272">
        <f>IFERROR(IF(Z90="",0,Z90),"0")+IFERROR(IF(Z91="",0,Z91),"0")+IFERROR(IF(Z92="",0,Z92),"0")+IFERROR(IF(Z93="",0,Z93),"0")+IFERROR(IF(Z94="",0,Z94),"0")+IFERROR(IF(Z95="",0,Z95),"0")</f>
        <v>3.2541600000000002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542.64</v>
      </c>
      <c r="Y97" s="272">
        <f>IFERROR(SUMPRODUCT(Y90:Y95*H90:H95),"0")</f>
        <v>542.64</v>
      </c>
      <c r="Z97" s="37"/>
      <c r="AA97" s="273"/>
      <c r="AB97" s="273"/>
      <c r="AC97" s="273"/>
    </row>
    <row r="98" spans="1:68" ht="16.5" hidden="1" customHeight="1" x14ac:dyDescent="0.25">
      <c r="A98" s="30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hidden="1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14</v>
      </c>
      <c r="Y100" s="27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14</v>
      </c>
      <c r="Y102" s="272">
        <f>IFERROR(SUM(Y100:Y101),"0")</f>
        <v>14</v>
      </c>
      <c r="Z102" s="272">
        <f>IFERROR(IF(Z100="",0,Z100),"0")+IFERROR(IF(Z101="",0,Z101),"0")</f>
        <v>0.13103999999999999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30.240000000000002</v>
      </c>
      <c r="Y103" s="272">
        <f>IFERROR(SUMPRODUCT(Y100:Y101*H100:H101),"0")</f>
        <v>30.240000000000002</v>
      </c>
      <c r="Z103" s="37"/>
      <c r="AA103" s="273"/>
      <c r="AB103" s="273"/>
      <c r="AC103" s="273"/>
    </row>
    <row r="104" spans="1:68" ht="16.5" hidden="1" customHeight="1" x14ac:dyDescent="0.25">
      <c r="A104" s="30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hidden="1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24</v>
      </c>
      <c r="Y106" s="27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36</v>
      </c>
      <c r="Y107" s="271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96</v>
      </c>
      <c r="Y108" s="271">
        <f t="shared" si="6"/>
        <v>96</v>
      </c>
      <c r="Z108" s="36">
        <f t="shared" si="7"/>
        <v>1.488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36</v>
      </c>
      <c r="Y109" s="271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144</v>
      </c>
      <c r="Y110" s="271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60</v>
      </c>
      <c r="Y111" s="271">
        <f t="shared" si="6"/>
        <v>60</v>
      </c>
      <c r="Z111" s="36">
        <f t="shared" si="7"/>
        <v>0.92999999999999994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433.8</v>
      </c>
      <c r="BN111" s="67">
        <f t="shared" si="9"/>
        <v>433.8</v>
      </c>
      <c r="BO111" s="67">
        <f t="shared" si="10"/>
        <v>0.7142857142857143</v>
      </c>
      <c r="BP111" s="67">
        <f t="shared" si="11"/>
        <v>0.7142857142857143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396</v>
      </c>
      <c r="Y112" s="272">
        <f>IFERROR(SUM(Y106:Y111),"0")</f>
        <v>396</v>
      </c>
      <c r="Z112" s="272">
        <f>IFERROR(IF(Z106="",0,Z106),"0")+IFERROR(IF(Z107="",0,Z107),"0")+IFERROR(IF(Z108="",0,Z108),"0")+IFERROR(IF(Z109="",0,Z109),"0")+IFERROR(IF(Z110="",0,Z110),"0")+IFERROR(IF(Z111="",0,Z111),"0")</f>
        <v>6.1379999999999999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2728.8</v>
      </c>
      <c r="Y113" s="272">
        <f>IFERROR(SUMPRODUCT(Y106:Y111*H106:H111),"0")</f>
        <v>2728.8</v>
      </c>
      <c r="Z113" s="37"/>
      <c r="AA113" s="273"/>
      <c r="AB113" s="273"/>
      <c r="AC113" s="273"/>
    </row>
    <row r="114" spans="1:68" ht="14.25" hidden="1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hidden="1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1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hidden="1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hidden="1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9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hidden="1" customHeight="1" x14ac:dyDescent="0.25">
      <c r="A122" s="30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hidden="1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98</v>
      </c>
      <c r="Y124" s="27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210</v>
      </c>
      <c r="Y125" s="271">
        <f>IFERROR(IF(X125="","",X125),"")</f>
        <v>210</v>
      </c>
      <c r="Z125" s="36">
        <f>IFERROR(IF(X125="","",X125*0.01788),"")</f>
        <v>3.7547999999999999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777.75599999999997</v>
      </c>
      <c r="BN125" s="67">
        <f>IFERROR(Y125*I125,"0")</f>
        <v>777.75599999999997</v>
      </c>
      <c r="BO125" s="67">
        <f>IFERROR(X125/J125,"0")</f>
        <v>3</v>
      </c>
      <c r="BP125" s="67">
        <f>IFERROR(Y125/J125,"0")</f>
        <v>3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308</v>
      </c>
      <c r="Y126" s="272">
        <f>IFERROR(SUM(Y124:Y125),"0")</f>
        <v>308</v>
      </c>
      <c r="Z126" s="272">
        <f>IFERROR(IF(Z124="",0,Z124),"0")+IFERROR(IF(Z125="",0,Z125),"0")</f>
        <v>5.5070399999999999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924</v>
      </c>
      <c r="Y127" s="272">
        <f>IFERROR(SUMPRODUCT(Y124:Y125*H124:H125),"0")</f>
        <v>924</v>
      </c>
      <c r="Z127" s="37"/>
      <c r="AA127" s="273"/>
      <c r="AB127" s="273"/>
      <c r="AC127" s="273"/>
    </row>
    <row r="128" spans="1:68" ht="16.5" hidden="1" customHeight="1" x14ac:dyDescent="0.25">
      <c r="A128" s="30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hidden="1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84</v>
      </c>
      <c r="Y131" s="27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112</v>
      </c>
      <c r="Y132" s="272">
        <f>IFERROR(SUM(Y130:Y131),"0")</f>
        <v>112</v>
      </c>
      <c r="Z132" s="272">
        <f>IFERROR(IF(Z130="",0,Z130),"0")+IFERROR(IF(Z131="",0,Z131),"0")</f>
        <v>2.0025599999999999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336</v>
      </c>
      <c r="Y133" s="272">
        <f>IFERROR(SUMPRODUCT(Y130:Y131*H130:H131),"0")</f>
        <v>336</v>
      </c>
      <c r="Z133" s="37"/>
      <c r="AA133" s="273"/>
      <c r="AB133" s="273"/>
      <c r="AC133" s="273"/>
    </row>
    <row r="134" spans="1:68" ht="16.5" hidden="1" customHeight="1" x14ac:dyDescent="0.25">
      <c r="A134" s="30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hidden="1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28</v>
      </c>
      <c r="Y137" s="27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56</v>
      </c>
      <c r="Y138" s="272">
        <f>IFERROR(SUM(Y136:Y137),"0")</f>
        <v>56</v>
      </c>
      <c r="Z138" s="272">
        <f>IFERROR(IF(Z136="",0,Z136),"0")+IFERROR(IF(Z137="",0,Z137),"0")</f>
        <v>1.0012799999999999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134.4</v>
      </c>
      <c r="Y139" s="272">
        <f>IFERROR(SUMPRODUCT(Y136:Y137*H136:H137),"0")</f>
        <v>134.4</v>
      </c>
      <c r="Z139" s="37"/>
      <c r="AA139" s="273"/>
      <c r="AB139" s="273"/>
      <c r="AC139" s="273"/>
    </row>
    <row r="140" spans="1:68" ht="16.5" hidden="1" customHeight="1" x14ac:dyDescent="0.25">
      <c r="A140" s="30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hidden="1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hidden="1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hidden="1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hidden="1" customHeight="1" x14ac:dyDescent="0.25">
      <c r="A145" s="30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hidden="1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30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hidden="1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30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hidden="1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31" t="s">
        <v>234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0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hidden="1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4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24</v>
      </c>
      <c r="Y164" s="27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24</v>
      </c>
      <c r="Y165" s="272">
        <f>IFERROR(SUM(Y163:Y164),"0")</f>
        <v>24</v>
      </c>
      <c r="Z165" s="272">
        <f>IFERROR(IF(Z163="",0,Z163),"0")+IFERROR(IF(Z164="",0,Z164),"0")</f>
        <v>0.20783999999999997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120</v>
      </c>
      <c r="Y166" s="272">
        <f>IFERROR(SUMPRODUCT(Y163:Y164*H163:H164),"0")</f>
        <v>120</v>
      </c>
      <c r="Z166" s="37"/>
      <c r="AA166" s="273"/>
      <c r="AB166" s="273"/>
      <c r="AC166" s="273"/>
    </row>
    <row r="167" spans="1:68" ht="27.75" hidden="1" customHeight="1" x14ac:dyDescent="0.2">
      <c r="A167" s="331" t="s">
        <v>243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0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hidden="1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168</v>
      </c>
      <c r="Y170" s="271">
        <f>IFERROR(IF(X170="","",X170),"")</f>
        <v>168</v>
      </c>
      <c r="Z170" s="36">
        <f>IFERROR(IF(X170="","",X170*0.01788),"")</f>
        <v>3.0038399999999998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569.18399999999997</v>
      </c>
      <c r="BN170" s="67">
        <f>IFERROR(Y170*I170,"0")</f>
        <v>569.18399999999997</v>
      </c>
      <c r="BO170" s="67">
        <f>IFERROR(X170/J170,"0")</f>
        <v>2.4</v>
      </c>
      <c r="BP170" s="67">
        <f>IFERROR(Y170/J170,"0")</f>
        <v>2.4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112</v>
      </c>
      <c r="Y171" s="271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70</v>
      </c>
      <c r="Y172" s="271">
        <f>IFERROR(IF(X172="","",X172),"")</f>
        <v>70</v>
      </c>
      <c r="Z172" s="36">
        <f>IFERROR(IF(X172="","",X172*0.01788),"")</f>
        <v>1.2516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261.52000000000004</v>
      </c>
      <c r="BN172" s="67">
        <f>IFERROR(Y172*I172,"0")</f>
        <v>261.52000000000004</v>
      </c>
      <c r="BO172" s="67">
        <f>IFERROR(X172/J172,"0")</f>
        <v>1</v>
      </c>
      <c r="BP172" s="67">
        <f>IFERROR(Y172/J172,"0")</f>
        <v>1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350</v>
      </c>
      <c r="Y173" s="272">
        <f>IFERROR(SUM(Y170:Y172),"0")</f>
        <v>350</v>
      </c>
      <c r="Z173" s="272">
        <f>IFERROR(IF(Z170="",0,Z170),"0")+IFERROR(IF(Z171="",0,Z171),"0")+IFERROR(IF(Z172="",0,Z172),"0")</f>
        <v>6.2579999999999991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1050</v>
      </c>
      <c r="Y174" s="272">
        <f>IFERROR(SUMPRODUCT(Y170:Y172*H170:H172),"0")</f>
        <v>1050</v>
      </c>
      <c r="Z174" s="37"/>
      <c r="AA174" s="273"/>
      <c r="AB174" s="273"/>
      <c r="AC174" s="273"/>
    </row>
    <row r="175" spans="1:68" ht="14.25" hidden="1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31" t="s">
        <v>262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0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hidden="1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7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14</v>
      </c>
      <c r="Y182" s="27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14</v>
      </c>
      <c r="Y183" s="272">
        <f>IFERROR(SUM(Y182:Y182),"0")</f>
        <v>14</v>
      </c>
      <c r="Z183" s="272">
        <f>IFERROR(IF(Z182="",0,Z182),"0")</f>
        <v>0.25031999999999999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38.64</v>
      </c>
      <c r="Y184" s="272">
        <f>IFERROR(SUMPRODUCT(Y182:Y182*H182:H182),"0")</f>
        <v>38.64</v>
      </c>
      <c r="Z184" s="37"/>
      <c r="AA184" s="273"/>
      <c r="AB184" s="273"/>
      <c r="AC184" s="273"/>
    </row>
    <row r="185" spans="1:68" ht="14.25" hidden="1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hidden="1" customHeight="1" x14ac:dyDescent="0.25">
      <c r="A192" s="30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hidden="1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24</v>
      </c>
      <c r="Y195" s="271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179.28</v>
      </c>
      <c r="BN195" s="67">
        <f>IFERROR(Y195*I195,"0")</f>
        <v>179.28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hidden="1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8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24</v>
      </c>
      <c r="Y198" s="272">
        <f>IFERROR(SUM(Y194:Y197),"0")</f>
        <v>24</v>
      </c>
      <c r="Z198" s="272">
        <f>IFERROR(IF(Z194="",0,Z194),"0")+IFERROR(IF(Z195="",0,Z195),"0")+IFERROR(IF(Z196="",0,Z196),"0")+IFERROR(IF(Z197="",0,Z197),"0")</f>
        <v>0.372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172.8</v>
      </c>
      <c r="Y199" s="272">
        <f>IFERROR(SUMPRODUCT(Y194:Y197*H194:H197),"0")</f>
        <v>172.8</v>
      </c>
      <c r="Z199" s="37"/>
      <c r="AA199" s="273"/>
      <c r="AB199" s="273"/>
      <c r="AC199" s="273"/>
    </row>
    <row r="200" spans="1:68" ht="16.5" hidden="1" customHeight="1" x14ac:dyDescent="0.25">
      <c r="A200" s="30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hidden="1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60</v>
      </c>
      <c r="Y202" s="271">
        <f>IFERROR(IF(X202="","",X202),"")</f>
        <v>60</v>
      </c>
      <c r="Z202" s="36">
        <f>IFERROR(IF(X202="","",X202*0.0155),"")</f>
        <v>0.92999999999999994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313.8</v>
      </c>
      <c r="BN202" s="67">
        <f>IFERROR(Y202*I202,"0")</f>
        <v>313.8</v>
      </c>
      <c r="BO202" s="67">
        <f>IFERROR(X202/J202,"0")</f>
        <v>0.7142857142857143</v>
      </c>
      <c r="BP202" s="67">
        <f>IFERROR(Y202/J202,"0")</f>
        <v>0.7142857142857143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60</v>
      </c>
      <c r="Y203" s="272">
        <f>IFERROR(SUM(Y202:Y202),"0")</f>
        <v>60</v>
      </c>
      <c r="Z203" s="272">
        <f>IFERROR(IF(Z202="",0,Z202),"0")</f>
        <v>0.92999999999999994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300</v>
      </c>
      <c r="Y204" s="272">
        <f>IFERROR(SUMPRODUCT(Y202:Y202*H202:H202),"0")</f>
        <v>300</v>
      </c>
      <c r="Z204" s="37"/>
      <c r="AA204" s="273"/>
      <c r="AB204" s="273"/>
      <c r="AC204" s="273"/>
    </row>
    <row r="205" spans="1:68" ht="16.5" hidden="1" customHeight="1" x14ac:dyDescent="0.25">
      <c r="A205" s="30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hidden="1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hidden="1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hidden="1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hidden="1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14</v>
      </c>
      <c r="Y211" s="271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hidden="1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30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14</v>
      </c>
      <c r="Y214" s="272">
        <f>IFERROR(SUM(Y211:Y213),"0")</f>
        <v>14</v>
      </c>
      <c r="Z214" s="272">
        <f>IFERROR(IF(Z211="",0,Z211),"0")+IFERROR(IF(Z212="",0,Z212),"0")+IFERROR(IF(Z213="",0,Z213),"0")</f>
        <v>0.25031999999999999</v>
      </c>
      <c r="AA214" s="273"/>
      <c r="AB214" s="273"/>
      <c r="AC214" s="273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33.6</v>
      </c>
      <c r="Y215" s="272">
        <f>IFERROR(SUMPRODUCT(Y211:Y213*H211:H213),"0")</f>
        <v>33.6</v>
      </c>
      <c r="Z215" s="37"/>
      <c r="AA215" s="273"/>
      <c r="AB215" s="273"/>
      <c r="AC215" s="273"/>
    </row>
    <row r="216" spans="1:68" ht="16.5" hidden="1" customHeight="1" x14ac:dyDescent="0.25">
      <c r="A216" s="30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hidden="1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hidden="1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54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hidden="1" customHeight="1" x14ac:dyDescent="0.2">
      <c r="A222" s="331" t="s">
        <v>316</v>
      </c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32"/>
      <c r="P222" s="332"/>
      <c r="Q222" s="332"/>
      <c r="R222" s="332"/>
      <c r="S222" s="332"/>
      <c r="T222" s="332"/>
      <c r="U222" s="332"/>
      <c r="V222" s="332"/>
      <c r="W222" s="332"/>
      <c r="X222" s="332"/>
      <c r="Y222" s="332"/>
      <c r="Z222" s="332"/>
      <c r="AA222" s="48"/>
      <c r="AB222" s="48"/>
      <c r="AC222" s="48"/>
    </row>
    <row r="223" spans="1:68" ht="16.5" hidden="1" customHeight="1" x14ac:dyDescent="0.25">
      <c r="A223" s="302" t="s">
        <v>317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hidden="1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hidden="1" customHeight="1" x14ac:dyDescent="0.2">
      <c r="A228" s="331" t="s">
        <v>321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302" t="s">
        <v>322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hidden="1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120</v>
      </c>
      <c r="Y231" s="271">
        <f>IFERROR(IF(X231="","",X231),"")</f>
        <v>120</v>
      </c>
      <c r="Z231" s="36">
        <f>IFERROR(IF(X231="","",X231*0.0155),"")</f>
        <v>1.8599999999999999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631.43999999999994</v>
      </c>
      <c r="BN231" s="67">
        <f>IFERROR(Y231*I231,"0")</f>
        <v>631.43999999999994</v>
      </c>
      <c r="BO231" s="67">
        <f>IFERROR(X231/J231,"0")</f>
        <v>1.4285714285714286</v>
      </c>
      <c r="BP231" s="67">
        <f>IFERROR(Y231/J231,"0")</f>
        <v>1.4285714285714286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120</v>
      </c>
      <c r="Y232" s="272">
        <f>IFERROR(SUM(Y231:Y231),"0")</f>
        <v>120</v>
      </c>
      <c r="Z232" s="272">
        <f>IFERROR(IF(Z231="",0,Z231),"0")</f>
        <v>1.8599999999999999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600</v>
      </c>
      <c r="Y233" s="272">
        <f>IFERROR(SUMPRODUCT(Y231:Y231*H231:H231),"0")</f>
        <v>600</v>
      </c>
      <c r="Z233" s="37"/>
      <c r="AA233" s="273"/>
      <c r="AB233" s="273"/>
      <c r="AC233" s="273"/>
    </row>
    <row r="234" spans="1:68" ht="27.75" hidden="1" customHeight="1" x14ac:dyDescent="0.2">
      <c r="A234" s="331" t="s">
        <v>325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302" t="s">
        <v>326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hidden="1" customHeight="1" x14ac:dyDescent="0.25">
      <c r="A236" s="287" t="s">
        <v>327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hidden="1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hidden="1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hidden="1" customHeight="1" x14ac:dyDescent="0.2">
      <c r="A244" s="331" t="s">
        <v>333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02" t="s">
        <v>333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hidden="1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7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0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hidden="1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hidden="1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204</v>
      </c>
      <c r="Y253" s="271">
        <f>IFERROR(IF(X253="","",X253),"")</f>
        <v>204</v>
      </c>
      <c r="Z253" s="36">
        <f>IFERROR(IF(X253="","",X253*0.0155),"")</f>
        <v>3.1619999999999999</v>
      </c>
      <c r="AA253" s="56"/>
      <c r="AB253" s="57"/>
      <c r="AC253" s="228" t="s">
        <v>344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1277.04</v>
      </c>
      <c r="BN253" s="67">
        <f>IFERROR(Y253*I253,"0")</f>
        <v>1277.04</v>
      </c>
      <c r="BO253" s="67">
        <f>IFERROR(X253/J253,"0")</f>
        <v>2.4285714285714284</v>
      </c>
      <c r="BP253" s="67">
        <f>IFERROR(Y253/J253,"0")</f>
        <v>2.4285714285714284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204</v>
      </c>
      <c r="Y255" s="272">
        <f>IFERROR(SUM(Y253:Y254),"0")</f>
        <v>204</v>
      </c>
      <c r="Z255" s="272">
        <f>IFERROR(IF(Z253="",0,Z253),"0")+IFERROR(IF(Z254="",0,Z254),"0")</f>
        <v>3.1619999999999999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1224</v>
      </c>
      <c r="Y256" s="272">
        <f>IFERROR(SUMPRODUCT(Y253:Y254*H253:H254),"0")</f>
        <v>1224</v>
      </c>
      <c r="Z256" s="37"/>
      <c r="AA256" s="273"/>
      <c r="AB256" s="273"/>
      <c r="AC256" s="273"/>
    </row>
    <row r="257" spans="1:68" ht="14.25" hidden="1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5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144</v>
      </c>
      <c r="Y259" s="271">
        <f>IFERROR(IF(X259="","",X259),"")</f>
        <v>144</v>
      </c>
      <c r="Z259" s="36">
        <f>IFERROR(IF(X259="","",X259*0.0155),"")</f>
        <v>2.2320000000000002</v>
      </c>
      <c r="AA259" s="56"/>
      <c r="AB259" s="57"/>
      <c r="AC259" s="234" t="s">
        <v>349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753.84</v>
      </c>
      <c r="BN259" s="67">
        <f>IFERROR(Y259*I259,"0")</f>
        <v>753.84</v>
      </c>
      <c r="BO259" s="67">
        <f>IFERROR(X259/J259,"0")</f>
        <v>1.7142857142857142</v>
      </c>
      <c r="BP259" s="67">
        <f>IFERROR(Y259/J259,"0")</f>
        <v>1.7142857142857142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42</v>
      </c>
      <c r="Y260" s="271">
        <f>IFERROR(IF(X260="","",X260),"")</f>
        <v>42</v>
      </c>
      <c r="Z260" s="36">
        <f>IFERROR(IF(X260="","",X260*0.00936),"")</f>
        <v>0.39312000000000002</v>
      </c>
      <c r="AA260" s="56"/>
      <c r="AB260" s="57"/>
      <c r="AC260" s="236" t="s">
        <v>349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102.14399999999999</v>
      </c>
      <c r="BN260" s="67">
        <f>IFERROR(Y260*I260,"0")</f>
        <v>102.14399999999999</v>
      </c>
      <c r="BO260" s="67">
        <f>IFERROR(X260/J260,"0")</f>
        <v>0.33333333333333331</v>
      </c>
      <c r="BP260" s="67">
        <f>IFERROR(Y260/J260,"0")</f>
        <v>0.33333333333333331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186</v>
      </c>
      <c r="Y261" s="272">
        <f>IFERROR(SUM(Y258:Y260),"0")</f>
        <v>186</v>
      </c>
      <c r="Z261" s="272">
        <f>IFERROR(IF(Z258="",0,Z258),"0")+IFERROR(IF(Z259="",0,Z259),"0")+IFERROR(IF(Z260="",0,Z260),"0")</f>
        <v>2.6251200000000003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814.08</v>
      </c>
      <c r="Y262" s="272">
        <f>IFERROR(SUMPRODUCT(Y258:Y260*H258:H260),"0")</f>
        <v>814.08</v>
      </c>
      <c r="Z262" s="37"/>
      <c r="AA262" s="273"/>
      <c r="AB262" s="273"/>
      <c r="AC262" s="273"/>
    </row>
    <row r="263" spans="1:68" ht="14.25" hidden="1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28</v>
      </c>
      <c r="Y265" s="271">
        <f t="shared" si="12"/>
        <v>28</v>
      </c>
      <c r="Z265" s="36">
        <f>IFERROR(IF(X265="","",X265*0.00936),"")</f>
        <v>0.26207999999999998</v>
      </c>
      <c r="AA265" s="56"/>
      <c r="AB265" s="57"/>
      <c r="AC265" s="240" t="s">
        <v>359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108.976</v>
      </c>
      <c r="BN265" s="67">
        <f t="shared" si="14"/>
        <v>108.976</v>
      </c>
      <c r="BO265" s="67">
        <f t="shared" si="15"/>
        <v>0.22222222222222221</v>
      </c>
      <c r="BP265" s="67">
        <f t="shared" si="16"/>
        <v>0.22222222222222221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8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28</v>
      </c>
      <c r="Y267" s="271">
        <f t="shared" si="12"/>
        <v>28</v>
      </c>
      <c r="Z267" s="36">
        <f t="shared" ref="Z267:Z272" si="17">IFERROR(IF(X267="","",X267*0.00936),"")</f>
        <v>0.26207999999999998</v>
      </c>
      <c r="AA267" s="56"/>
      <c r="AB267" s="57"/>
      <c r="AC267" s="244" t="s">
        <v>359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89.376000000000005</v>
      </c>
      <c r="BN267" s="67">
        <f t="shared" si="14"/>
        <v>89.376000000000005</v>
      </c>
      <c r="BO267" s="67">
        <f t="shared" si="15"/>
        <v>0.22222222222222221</v>
      </c>
      <c r="BP267" s="67">
        <f t="shared" si="16"/>
        <v>0.22222222222222221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46" t="s">
        <v>356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4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39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56</v>
      </c>
      <c r="Y276" s="272">
        <f>IFERROR(SUM(Y264:Y275),"0")</f>
        <v>56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0.52415999999999996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187.60000000000002</v>
      </c>
      <c r="Y277" s="272">
        <f>IFERROR(SUMPRODUCT(Y264:Y275*H264:H275),"0")</f>
        <v>187.60000000000002</v>
      </c>
      <c r="Z277" s="37"/>
      <c r="AA277" s="273"/>
      <c r="AB277" s="273"/>
      <c r="AC277" s="273"/>
    </row>
    <row r="278" spans="1:68" ht="15" customHeight="1" x14ac:dyDescent="0.2">
      <c r="A278" s="419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8"/>
      <c r="P278" s="329" t="s">
        <v>380</v>
      </c>
      <c r="Q278" s="297"/>
      <c r="R278" s="297"/>
      <c r="S278" s="297"/>
      <c r="T278" s="297"/>
      <c r="U278" s="297"/>
      <c r="V278" s="298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12296.199999999999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12296.199999999999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8"/>
      <c r="P279" s="329" t="s">
        <v>381</v>
      </c>
      <c r="Q279" s="297"/>
      <c r="R279" s="297"/>
      <c r="S279" s="297"/>
      <c r="T279" s="297"/>
      <c r="U279" s="297"/>
      <c r="V279" s="298"/>
      <c r="W279" s="37" t="s">
        <v>74</v>
      </c>
      <c r="X279" s="272">
        <f>IFERROR(SUM(BM22:BM275),"0")</f>
        <v>13435.426000000001</v>
      </c>
      <c r="Y279" s="272">
        <f>IFERROR(SUM(BN22:BN275),"0")</f>
        <v>13435.426000000001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8"/>
      <c r="P280" s="329" t="s">
        <v>382</v>
      </c>
      <c r="Q280" s="297"/>
      <c r="R280" s="297"/>
      <c r="S280" s="297"/>
      <c r="T280" s="297"/>
      <c r="U280" s="297"/>
      <c r="V280" s="298"/>
      <c r="W280" s="37" t="s">
        <v>383</v>
      </c>
      <c r="X280" s="38">
        <f>ROUNDUP(SUM(BO22:BO275),0)</f>
        <v>34</v>
      </c>
      <c r="Y280" s="38">
        <f>ROUNDUP(SUM(BP22:BP275),0)</f>
        <v>34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8"/>
      <c r="P281" s="329" t="s">
        <v>384</v>
      </c>
      <c r="Q281" s="297"/>
      <c r="R281" s="297"/>
      <c r="S281" s="297"/>
      <c r="T281" s="297"/>
      <c r="U281" s="297"/>
      <c r="V281" s="298"/>
      <c r="W281" s="37" t="s">
        <v>74</v>
      </c>
      <c r="X281" s="272">
        <f>GrossWeightTotal+PalletQtyTotal*25</f>
        <v>14285.426000000001</v>
      </c>
      <c r="Y281" s="272">
        <f>GrossWeightTotalR+PalletQtyTotalR*25</f>
        <v>14285.426000000001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8"/>
      <c r="P282" s="329" t="s">
        <v>385</v>
      </c>
      <c r="Q282" s="297"/>
      <c r="R282" s="297"/>
      <c r="S282" s="297"/>
      <c r="T282" s="297"/>
      <c r="U282" s="297"/>
      <c r="V282" s="298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2820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2820</v>
      </c>
      <c r="Z282" s="37"/>
      <c r="AA282" s="273"/>
      <c r="AB282" s="273"/>
      <c r="AC282" s="273"/>
    </row>
    <row r="283" spans="1:68" ht="14.25" hidden="1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8"/>
      <c r="P283" s="329" t="s">
        <v>386</v>
      </c>
      <c r="Q283" s="297"/>
      <c r="R283" s="297"/>
      <c r="S283" s="297"/>
      <c r="T283" s="297"/>
      <c r="U283" s="297"/>
      <c r="V283" s="298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42.971260000000008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300" t="s">
        <v>75</v>
      </c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0"/>
      <c r="O285" s="420"/>
      <c r="P285" s="420"/>
      <c r="Q285" s="420"/>
      <c r="R285" s="420"/>
      <c r="S285" s="420"/>
      <c r="T285" s="421"/>
      <c r="U285" s="267" t="s">
        <v>234</v>
      </c>
      <c r="V285" s="267" t="s">
        <v>243</v>
      </c>
      <c r="W285" s="300" t="s">
        <v>262</v>
      </c>
      <c r="X285" s="420"/>
      <c r="Y285" s="420"/>
      <c r="Z285" s="420"/>
      <c r="AA285" s="421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404" t="s">
        <v>389</v>
      </c>
      <c r="B286" s="300" t="s">
        <v>63</v>
      </c>
      <c r="C286" s="300" t="s">
        <v>76</v>
      </c>
      <c r="D286" s="300" t="s">
        <v>87</v>
      </c>
      <c r="E286" s="300" t="s">
        <v>99</v>
      </c>
      <c r="F286" s="300" t="s">
        <v>110</v>
      </c>
      <c r="G286" s="300" t="s">
        <v>135</v>
      </c>
      <c r="H286" s="300" t="s">
        <v>142</v>
      </c>
      <c r="I286" s="300" t="s">
        <v>146</v>
      </c>
      <c r="J286" s="300" t="s">
        <v>154</v>
      </c>
      <c r="K286" s="300" t="s">
        <v>169</v>
      </c>
      <c r="L286" s="300" t="s">
        <v>175</v>
      </c>
      <c r="M286" s="300" t="s">
        <v>200</v>
      </c>
      <c r="N286" s="268"/>
      <c r="O286" s="300" t="s">
        <v>206</v>
      </c>
      <c r="P286" s="300" t="s">
        <v>213</v>
      </c>
      <c r="Q286" s="300" t="s">
        <v>218</v>
      </c>
      <c r="R286" s="300" t="s">
        <v>222</v>
      </c>
      <c r="S286" s="300" t="s">
        <v>225</v>
      </c>
      <c r="T286" s="300" t="s">
        <v>230</v>
      </c>
      <c r="U286" s="300" t="s">
        <v>235</v>
      </c>
      <c r="V286" s="300" t="s">
        <v>244</v>
      </c>
      <c r="W286" s="300" t="s">
        <v>263</v>
      </c>
      <c r="X286" s="300" t="s">
        <v>279</v>
      </c>
      <c r="Y286" s="300" t="s">
        <v>293</v>
      </c>
      <c r="Z286" s="300" t="s">
        <v>298</v>
      </c>
      <c r="AA286" s="300" t="s">
        <v>309</v>
      </c>
      <c r="AB286" s="300" t="s">
        <v>317</v>
      </c>
      <c r="AC286" s="300" t="s">
        <v>322</v>
      </c>
      <c r="AD286" s="300" t="s">
        <v>326</v>
      </c>
      <c r="AE286" s="300" t="s">
        <v>333</v>
      </c>
      <c r="AF286" s="268"/>
    </row>
    <row r="287" spans="1:68" ht="13.5" customHeight="1" thickBot="1" x14ac:dyDescent="0.25">
      <c r="A287" s="405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01"/>
      <c r="M287" s="301"/>
      <c r="N287" s="268"/>
      <c r="O287" s="301"/>
      <c r="P287" s="301"/>
      <c r="Q287" s="301"/>
      <c r="R287" s="301"/>
      <c r="S287" s="301"/>
      <c r="T287" s="301"/>
      <c r="U287" s="301"/>
      <c r="V287" s="301"/>
      <c r="W287" s="301"/>
      <c r="X287" s="301"/>
      <c r="Y287" s="301"/>
      <c r="Z287" s="301"/>
      <c r="AA287" s="301"/>
      <c r="AB287" s="301"/>
      <c r="AC287" s="301"/>
      <c r="AD287" s="301"/>
      <c r="AE287" s="301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189</v>
      </c>
      <c r="D288" s="46">
        <f>IFERROR(X34*H34,"0")+IFERROR(X35*H35,"0")+IFERROR(X36*H36,"0")</f>
        <v>134.39999999999998</v>
      </c>
      <c r="E288" s="46">
        <f>IFERROR(X41*H41,"0")+IFERROR(X42*H42,"0")+IFERROR(X43*H43,"0")+IFERROR(X44*H44,"0")</f>
        <v>1252.8</v>
      </c>
      <c r="F288" s="46">
        <f>IFERROR(X49*H49,"0")+IFERROR(X53*H53,"0")+IFERROR(X57*H57,"0")+IFERROR(X61*H61,"0")+IFERROR(X62*H62,"0")+IFERROR(X66*H66,"0")+IFERROR(X67*H67,"0")+IFERROR(X68*H68,"0")</f>
        <v>67.2</v>
      </c>
      <c r="G288" s="46">
        <f>IFERROR(X73*H73,"0")+IFERROR(X74*H74,"0")</f>
        <v>1080</v>
      </c>
      <c r="H288" s="46">
        <f>IFERROR(X79*H79,"0")</f>
        <v>50.4</v>
      </c>
      <c r="I288" s="46">
        <f>IFERROR(X84*H84,"0")+IFERROR(X85*H85,"0")</f>
        <v>252</v>
      </c>
      <c r="J288" s="46">
        <f>IFERROR(X90*H90,"0")+IFERROR(X91*H91,"0")+IFERROR(X92*H92,"0")+IFERROR(X93*H93,"0")+IFERROR(X94*H94,"0")+IFERROR(X95*H95,"0")</f>
        <v>542.64</v>
      </c>
      <c r="K288" s="46">
        <f>IFERROR(X100*H100,"0")+IFERROR(X101*H101,"0")</f>
        <v>30.240000000000002</v>
      </c>
      <c r="L288" s="46">
        <f>IFERROR(X106*H106,"0")+IFERROR(X107*H107,"0")+IFERROR(X108*H108,"0")+IFERROR(X109*H109,"0")+IFERROR(X110*H110,"0")+IFERROR(X111*H111,"0")+IFERROR(X115*H115,"0")+IFERROR(X119*H119,"0")</f>
        <v>2728.8</v>
      </c>
      <c r="M288" s="46">
        <f>IFERROR(X124*H124,"0")+IFERROR(X125*H125,"0")</f>
        <v>924</v>
      </c>
      <c r="N288" s="268"/>
      <c r="O288" s="46">
        <f>IFERROR(X130*H130,"0")+IFERROR(X131*H131,"0")</f>
        <v>336</v>
      </c>
      <c r="P288" s="46">
        <f>IFERROR(X136*H136,"0")+IFERROR(X137*H137,"0")</f>
        <v>134.4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120</v>
      </c>
      <c r="V288" s="46">
        <f>IFERROR(X170*H170,"0")+IFERROR(X171*H171,"0")+IFERROR(X172*H172,"0")+IFERROR(X176*H176,"0")</f>
        <v>1050</v>
      </c>
      <c r="W288" s="46">
        <f>IFERROR(X182*H182,"0")+IFERROR(X186*H186,"0")+IFERROR(X187*H187,"0")+IFERROR(X188*H188,"0")+IFERROR(X189*H189,"0")</f>
        <v>72.240000000000009</v>
      </c>
      <c r="X288" s="46">
        <f>IFERROR(X194*H194,"0")+IFERROR(X195*H195,"0")+IFERROR(X196*H196,"0")+IFERROR(X197*H197,"0")</f>
        <v>172.8</v>
      </c>
      <c r="Y288" s="46">
        <f>IFERROR(X202*H202,"0")</f>
        <v>300</v>
      </c>
      <c r="Z288" s="46">
        <f>IFERROR(X207*H207,"0")+IFERROR(X211*H211,"0")+IFERROR(X212*H212,"0")+IFERROR(X213*H213,"0")</f>
        <v>33.6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600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2225.6799999999998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6388.8</v>
      </c>
      <c r="B291" s="60">
        <f>SUMPRODUCT(--(BB:BB="ПГП"),--(W:W="кор"),H:H,Y:Y)+SUMPRODUCT(--(BB:BB="ПГП"),--(W:W="кг"),Y:Y)</f>
        <v>5907.4</v>
      </c>
      <c r="C291" s="60">
        <f>SUMPRODUCT(--(BB:BB="КИЗ"),--(W:W="кор"),H:H,Y:Y)+SUMPRODUCT(--(BB:BB="КИЗ"),--(W:W="кг"),Y:Y)</f>
        <v>0</v>
      </c>
    </row>
  </sheetData>
  <sheetProtection algorithmName="SHA-512" hashValue="P8P/9TliaJo4K6h5RAYCO4iH1qj5xYZiOhHSz3lgG4ahIlZ6Zeo79tMQeWBm7BX76W4hpUiNQKXCFs9+5NVIfQ==" saltValue="h1ewnf/2tidQD2Tvy8Qlqg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080,00"/>
        <filter val="1 224,00"/>
        <filter val="1 252,80"/>
        <filter val="112,00"/>
        <filter val="12 296,20"/>
        <filter val="12,00"/>
        <filter val="120,00"/>
        <filter val="126,00"/>
        <filter val="13 435,43"/>
        <filter val="134,40"/>
        <filter val="14 285,43"/>
        <filter val="14,00"/>
        <filter val="144,00"/>
        <filter val="168,00"/>
        <filter val="172,80"/>
        <filter val="180,00"/>
        <filter val="182,00"/>
        <filter val="186,00"/>
        <filter val="187,60"/>
        <filter val="189,00"/>
        <filter val="2 728,80"/>
        <filter val="2 820,00"/>
        <filter val="204,00"/>
        <filter val="210,00"/>
        <filter val="216,00"/>
        <filter val="24,00"/>
        <filter val="252,00"/>
        <filter val="28,00"/>
        <filter val="30,24"/>
        <filter val="300,00"/>
        <filter val="308,00"/>
        <filter val="33,60"/>
        <filter val="336,00"/>
        <filter val="34"/>
        <filter val="350,00"/>
        <filter val="36,00"/>
        <filter val="38,64"/>
        <filter val="396,00"/>
        <filter val="42,00"/>
        <filter val="48,00"/>
        <filter val="50,40"/>
        <filter val="542,64"/>
        <filter val="56,00"/>
        <filter val="60,00"/>
        <filter val="600,00"/>
        <filter val="67,20"/>
        <filter val="70,00"/>
        <filter val="814,08"/>
        <filter val="84,00"/>
        <filter val="924,00"/>
        <filter val="96,00"/>
        <filter val="98,00"/>
      </filters>
    </filterColumn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:X219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LaxWNYM0pVHRfo5kH3+MnhRnFAMOCAlp3B36TXvdSrItYnJnKmw4KZmXXp568cv/x4/r0Tu72ljFOySOXpazQQ==" saltValue="4DXffkTNgHpG9KQn60Qz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2025-10-02T11:04:13Z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