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2794E443-10DF-4896-860E-B16D7420AE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65" i="1" l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0" i="1"/>
  <c r="X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Y28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Y275" i="1" s="1"/>
  <c r="P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X266" i="1"/>
  <c r="X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5" i="1"/>
  <c r="Y254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X236" i="1"/>
  <c r="Y235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Y236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0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4" i="1"/>
  <c r="Y203" i="1"/>
  <c r="X203" i="1"/>
  <c r="BP202" i="1"/>
  <c r="BO202" i="1"/>
  <c r="BN202" i="1"/>
  <c r="BM202" i="1"/>
  <c r="Z202" i="1"/>
  <c r="Z203" i="1" s="1"/>
  <c r="Y202" i="1"/>
  <c r="P365" i="1" s="1"/>
  <c r="P202" i="1"/>
  <c r="X199" i="1"/>
  <c r="Y198" i="1"/>
  <c r="X198" i="1"/>
  <c r="BP197" i="1"/>
  <c r="BO197" i="1"/>
  <c r="BN197" i="1"/>
  <c r="BM197" i="1"/>
  <c r="Z197" i="1"/>
  <c r="Z198" i="1" s="1"/>
  <c r="Y197" i="1"/>
  <c r="O365" i="1" s="1"/>
  <c r="P197" i="1"/>
  <c r="X194" i="1"/>
  <c r="Y193" i="1"/>
  <c r="X193" i="1"/>
  <c r="BP192" i="1"/>
  <c r="BO192" i="1"/>
  <c r="BN192" i="1"/>
  <c r="BM192" i="1"/>
  <c r="Z192" i="1"/>
  <c r="Z193" i="1" s="1"/>
  <c r="Y192" i="1"/>
  <c r="M365" i="1" s="1"/>
  <c r="P192" i="1"/>
  <c r="X189" i="1"/>
  <c r="Y188" i="1"/>
  <c r="X188" i="1"/>
  <c r="BP187" i="1"/>
  <c r="BO187" i="1"/>
  <c r="BN187" i="1"/>
  <c r="BM187" i="1"/>
  <c r="Z187" i="1"/>
  <c r="Y187" i="1"/>
  <c r="BP186" i="1"/>
  <c r="BO186" i="1"/>
  <c r="BN186" i="1"/>
  <c r="BM186" i="1"/>
  <c r="Z186" i="1"/>
  <c r="Z188" i="1" s="1"/>
  <c r="Y186" i="1"/>
  <c r="L365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X162" i="1"/>
  <c r="X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BP149" i="1"/>
  <c r="BO149" i="1"/>
  <c r="BN149" i="1"/>
  <c r="BM149" i="1"/>
  <c r="Z149" i="1"/>
  <c r="Y149" i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X100" i="1"/>
  <c r="Y99" i="1"/>
  <c r="X99" i="1"/>
  <c r="BP98" i="1"/>
  <c r="BO98" i="1"/>
  <c r="BN98" i="1"/>
  <c r="BM98" i="1"/>
  <c r="Z98" i="1"/>
  <c r="Y98" i="1"/>
  <c r="BP97" i="1"/>
  <c r="BO97" i="1"/>
  <c r="BN97" i="1"/>
  <c r="BM97" i="1"/>
  <c r="Z97" i="1"/>
  <c r="Z99" i="1" s="1"/>
  <c r="Y97" i="1"/>
  <c r="P97" i="1"/>
  <c r="X94" i="1"/>
  <c r="Y93" i="1"/>
  <c r="X93" i="1"/>
  <c r="BP92" i="1"/>
  <c r="BO92" i="1"/>
  <c r="BN92" i="1"/>
  <c r="BM92" i="1"/>
  <c r="Z92" i="1"/>
  <c r="Z93" i="1" s="1"/>
  <c r="Y92" i="1"/>
  <c r="Y94" i="1" s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X64" i="1"/>
  <c r="X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X53" i="1"/>
  <c r="Y52" i="1"/>
  <c r="X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55" i="1" s="1"/>
  <c r="X24" i="1"/>
  <c r="BP23" i="1"/>
  <c r="BO23" i="1"/>
  <c r="BN23" i="1"/>
  <c r="BM23" i="1"/>
  <c r="Z23" i="1"/>
  <c r="Y23" i="1"/>
  <c r="P23" i="1"/>
  <c r="BO22" i="1"/>
  <c r="X357" i="1" s="1"/>
  <c r="BM22" i="1"/>
  <c r="X356" i="1" s="1"/>
  <c r="X358" i="1" s="1"/>
  <c r="Y22" i="1"/>
  <c r="B365" i="1" s="1"/>
  <c r="P22" i="1"/>
  <c r="H10" i="1"/>
  <c r="A9" i="1"/>
  <c r="F10" i="1" s="1"/>
  <c r="D7" i="1"/>
  <c r="Q6" i="1"/>
  <c r="P2" i="1"/>
  <c r="H9" i="1" l="1"/>
  <c r="A10" i="1"/>
  <c r="Y24" i="1"/>
  <c r="Y37" i="1"/>
  <c r="D365" i="1"/>
  <c r="Y47" i="1"/>
  <c r="BP40" i="1"/>
  <c r="BN40" i="1"/>
  <c r="Z40" i="1"/>
  <c r="BP44" i="1"/>
  <c r="BN44" i="1"/>
  <c r="Z44" i="1"/>
  <c r="BP56" i="1"/>
  <c r="BN56" i="1"/>
  <c r="Z56" i="1"/>
  <c r="Z57" i="1" s="1"/>
  <c r="Y58" i="1"/>
  <c r="E365" i="1"/>
  <c r="Y64" i="1"/>
  <c r="BP61" i="1"/>
  <c r="BN61" i="1"/>
  <c r="Z61" i="1"/>
  <c r="Z63" i="1" s="1"/>
  <c r="BP68" i="1"/>
  <c r="BN68" i="1"/>
  <c r="Z68" i="1"/>
  <c r="Y70" i="1"/>
  <c r="F365" i="1"/>
  <c r="Y78" i="1"/>
  <c r="BP73" i="1"/>
  <c r="BN73" i="1"/>
  <c r="Z73" i="1"/>
  <c r="Y77" i="1"/>
  <c r="BP81" i="1"/>
  <c r="BN81" i="1"/>
  <c r="Z81" i="1"/>
  <c r="Z83" i="1" s="1"/>
  <c r="BP103" i="1"/>
  <c r="BN103" i="1"/>
  <c r="Z103" i="1"/>
  <c r="Z105" i="1" s="1"/>
  <c r="BP113" i="1"/>
  <c r="BN113" i="1"/>
  <c r="Z113" i="1"/>
  <c r="BP117" i="1"/>
  <c r="BN117" i="1"/>
  <c r="Z117" i="1"/>
  <c r="Y119" i="1"/>
  <c r="Y124" i="1"/>
  <c r="BP121" i="1"/>
  <c r="BN121" i="1"/>
  <c r="Z121" i="1"/>
  <c r="BP138" i="1"/>
  <c r="BN138" i="1"/>
  <c r="Z138" i="1"/>
  <c r="Z139" i="1" s="1"/>
  <c r="Y140" i="1"/>
  <c r="Y147" i="1"/>
  <c r="BP142" i="1"/>
  <c r="BN142" i="1"/>
  <c r="Z142" i="1"/>
  <c r="Y146" i="1"/>
  <c r="BP150" i="1"/>
  <c r="BN150" i="1"/>
  <c r="Z150" i="1"/>
  <c r="Z157" i="1" s="1"/>
  <c r="BP154" i="1"/>
  <c r="BN154" i="1"/>
  <c r="Z154" i="1"/>
  <c r="BP167" i="1"/>
  <c r="BN167" i="1"/>
  <c r="Z167" i="1"/>
  <c r="Y173" i="1"/>
  <c r="BP178" i="1"/>
  <c r="BN178" i="1"/>
  <c r="Z178" i="1"/>
  <c r="Z182" i="1" s="1"/>
  <c r="Y182" i="1"/>
  <c r="BP208" i="1"/>
  <c r="BN208" i="1"/>
  <c r="Z208" i="1"/>
  <c r="Z212" i="1" s="1"/>
  <c r="Y213" i="1"/>
  <c r="Y222" i="1"/>
  <c r="BP215" i="1"/>
  <c r="BN215" i="1"/>
  <c r="Z215" i="1"/>
  <c r="Y221" i="1"/>
  <c r="BP219" i="1"/>
  <c r="BN219" i="1"/>
  <c r="Z219" i="1"/>
  <c r="Y242" i="1"/>
  <c r="BP238" i="1"/>
  <c r="BN238" i="1"/>
  <c r="Z238" i="1"/>
  <c r="BP241" i="1"/>
  <c r="BN241" i="1"/>
  <c r="Z241" i="1"/>
  <c r="Y243" i="1"/>
  <c r="Y248" i="1"/>
  <c r="BP245" i="1"/>
  <c r="BN245" i="1"/>
  <c r="Z245" i="1"/>
  <c r="Y249" i="1"/>
  <c r="BP260" i="1"/>
  <c r="BN260" i="1"/>
  <c r="Z260" i="1"/>
  <c r="Z265" i="1" s="1"/>
  <c r="BP264" i="1"/>
  <c r="BN264" i="1"/>
  <c r="Z264" i="1"/>
  <c r="Y266" i="1"/>
  <c r="Y271" i="1"/>
  <c r="BP268" i="1"/>
  <c r="BN268" i="1"/>
  <c r="Z268" i="1"/>
  <c r="Z270" i="1" s="1"/>
  <c r="Y270" i="1"/>
  <c r="F9" i="1"/>
  <c r="J9" i="1"/>
  <c r="Z22" i="1"/>
  <c r="Z24" i="1" s="1"/>
  <c r="BN22" i="1"/>
  <c r="BP22" i="1"/>
  <c r="X359" i="1"/>
  <c r="Y25" i="1"/>
  <c r="C365" i="1"/>
  <c r="Y36" i="1"/>
  <c r="Z34" i="1"/>
  <c r="Z36" i="1" s="1"/>
  <c r="BN34" i="1"/>
  <c r="BP42" i="1"/>
  <c r="BN42" i="1"/>
  <c r="Z42" i="1"/>
  <c r="Y46" i="1"/>
  <c r="Z52" i="1"/>
  <c r="BP50" i="1"/>
  <c r="BN50" i="1"/>
  <c r="Z50" i="1"/>
  <c r="Y57" i="1"/>
  <c r="Y63" i="1"/>
  <c r="Y69" i="1"/>
  <c r="BP66" i="1"/>
  <c r="BN66" i="1"/>
  <c r="Z66" i="1"/>
  <c r="Z69" i="1" s="1"/>
  <c r="BP75" i="1"/>
  <c r="BN75" i="1"/>
  <c r="Z75" i="1"/>
  <c r="Y84" i="1"/>
  <c r="Y83" i="1"/>
  <c r="BP87" i="1"/>
  <c r="BN87" i="1"/>
  <c r="Z87" i="1"/>
  <c r="Z89" i="1" s="1"/>
  <c r="Y106" i="1"/>
  <c r="Y105" i="1"/>
  <c r="BP111" i="1"/>
  <c r="BN111" i="1"/>
  <c r="Z111" i="1"/>
  <c r="BP115" i="1"/>
  <c r="BN115" i="1"/>
  <c r="Z115" i="1"/>
  <c r="BP123" i="1"/>
  <c r="BN123" i="1"/>
  <c r="Z123" i="1"/>
  <c r="Y125" i="1"/>
  <c r="Y128" i="1"/>
  <c r="BP127" i="1"/>
  <c r="BN127" i="1"/>
  <c r="Z127" i="1"/>
  <c r="Z128" i="1" s="1"/>
  <c r="Y129" i="1"/>
  <c r="Y135" i="1"/>
  <c r="BP132" i="1"/>
  <c r="BN132" i="1"/>
  <c r="Z132" i="1"/>
  <c r="Z134" i="1" s="1"/>
  <c r="Y139" i="1"/>
  <c r="BP144" i="1"/>
  <c r="BN144" i="1"/>
  <c r="Z144" i="1"/>
  <c r="Y157" i="1"/>
  <c r="BP152" i="1"/>
  <c r="BN152" i="1"/>
  <c r="Z152" i="1"/>
  <c r="BP156" i="1"/>
  <c r="BN156" i="1"/>
  <c r="Z156" i="1"/>
  <c r="Y158" i="1"/>
  <c r="Y161" i="1"/>
  <c r="BP160" i="1"/>
  <c r="BN160" i="1"/>
  <c r="Z160" i="1"/>
  <c r="Z161" i="1" s="1"/>
  <c r="Y162" i="1"/>
  <c r="J365" i="1"/>
  <c r="Y174" i="1"/>
  <c r="BP165" i="1"/>
  <c r="BN165" i="1"/>
  <c r="Z165" i="1"/>
  <c r="BP170" i="1"/>
  <c r="BN170" i="1"/>
  <c r="Z170" i="1"/>
  <c r="BP180" i="1"/>
  <c r="BN180" i="1"/>
  <c r="Z180" i="1"/>
  <c r="BP210" i="1"/>
  <c r="BN210" i="1"/>
  <c r="Z210" i="1"/>
  <c r="BP227" i="1"/>
  <c r="BN227" i="1"/>
  <c r="Z227" i="1"/>
  <c r="BP294" i="1"/>
  <c r="BN294" i="1"/>
  <c r="Z294" i="1"/>
  <c r="Z295" i="1" s="1"/>
  <c r="Y296" i="1"/>
  <c r="Y299" i="1"/>
  <c r="BP298" i="1"/>
  <c r="BN298" i="1"/>
  <c r="Z298" i="1"/>
  <c r="Z299" i="1" s="1"/>
  <c r="Y300" i="1"/>
  <c r="U365" i="1"/>
  <c r="Y309" i="1"/>
  <c r="BP304" i="1"/>
  <c r="BN304" i="1"/>
  <c r="Z304" i="1"/>
  <c r="Y308" i="1"/>
  <c r="BP312" i="1"/>
  <c r="BN312" i="1"/>
  <c r="Z312" i="1"/>
  <c r="Z313" i="1" s="1"/>
  <c r="Y314" i="1"/>
  <c r="Y318" i="1"/>
  <c r="BP317" i="1"/>
  <c r="BN317" i="1"/>
  <c r="Z317" i="1"/>
  <c r="Z318" i="1" s="1"/>
  <c r="V365" i="1"/>
  <c r="Y319" i="1"/>
  <c r="Y322" i="1"/>
  <c r="BP321" i="1"/>
  <c r="BN321" i="1"/>
  <c r="Z321" i="1"/>
  <c r="Z322" i="1" s="1"/>
  <c r="Y323" i="1"/>
  <c r="W365" i="1"/>
  <c r="Y334" i="1"/>
  <c r="BP327" i="1"/>
  <c r="BN327" i="1"/>
  <c r="Z327" i="1"/>
  <c r="Y335" i="1"/>
  <c r="BP331" i="1"/>
  <c r="BN331" i="1"/>
  <c r="Z331" i="1"/>
  <c r="BP343" i="1"/>
  <c r="BN343" i="1"/>
  <c r="Z343" i="1"/>
  <c r="Z348" i="1" s="1"/>
  <c r="BP347" i="1"/>
  <c r="BN347" i="1"/>
  <c r="Z347" i="1"/>
  <c r="Y349" i="1"/>
  <c r="Y354" i="1"/>
  <c r="BP351" i="1"/>
  <c r="BN351" i="1"/>
  <c r="Z351" i="1"/>
  <c r="Z353" i="1" s="1"/>
  <c r="Y353" i="1"/>
  <c r="I365" i="1"/>
  <c r="G365" i="1"/>
  <c r="Y100" i="1"/>
  <c r="H365" i="1"/>
  <c r="Y118" i="1"/>
  <c r="K365" i="1"/>
  <c r="Y183" i="1"/>
  <c r="Y189" i="1"/>
  <c r="Y194" i="1"/>
  <c r="Y199" i="1"/>
  <c r="Y204" i="1"/>
  <c r="Q365" i="1"/>
  <c r="Y212" i="1"/>
  <c r="BP217" i="1"/>
  <c r="BN217" i="1"/>
  <c r="Z217" i="1"/>
  <c r="BP225" i="1"/>
  <c r="BN225" i="1"/>
  <c r="Z225" i="1"/>
  <c r="Z229" i="1" s="1"/>
  <c r="Y229" i="1"/>
  <c r="BP233" i="1"/>
  <c r="BN233" i="1"/>
  <c r="Z233" i="1"/>
  <c r="Z235" i="1" s="1"/>
  <c r="BP239" i="1"/>
  <c r="BN239" i="1"/>
  <c r="Z239" i="1"/>
  <c r="BP247" i="1"/>
  <c r="BN247" i="1"/>
  <c r="Z247" i="1"/>
  <c r="Y255" i="1"/>
  <c r="BP252" i="1"/>
  <c r="BN252" i="1"/>
  <c r="Z252" i="1"/>
  <c r="Z254" i="1" s="1"/>
  <c r="BP262" i="1"/>
  <c r="BN262" i="1"/>
  <c r="Z262" i="1"/>
  <c r="BP274" i="1"/>
  <c r="BN274" i="1"/>
  <c r="Z274" i="1"/>
  <c r="Z275" i="1" s="1"/>
  <c r="Y276" i="1"/>
  <c r="S365" i="1"/>
  <c r="Y265" i="1"/>
  <c r="BP284" i="1"/>
  <c r="BN284" i="1"/>
  <c r="Z284" i="1"/>
  <c r="Z286" i="1" s="1"/>
  <c r="Y295" i="1"/>
  <c r="BP306" i="1"/>
  <c r="BN306" i="1"/>
  <c r="Z306" i="1"/>
  <c r="Y313" i="1"/>
  <c r="BP329" i="1"/>
  <c r="BN329" i="1"/>
  <c r="Z329" i="1"/>
  <c r="BP333" i="1"/>
  <c r="BN333" i="1"/>
  <c r="Z333" i="1"/>
  <c r="Y340" i="1"/>
  <c r="BP337" i="1"/>
  <c r="BN337" i="1"/>
  <c r="Z337" i="1"/>
  <c r="Z339" i="1" s="1"/>
  <c r="Y348" i="1"/>
  <c r="BP345" i="1"/>
  <c r="BN345" i="1"/>
  <c r="Z345" i="1"/>
  <c r="T365" i="1"/>
  <c r="Z308" i="1" l="1"/>
  <c r="Z173" i="1"/>
  <c r="Z118" i="1"/>
  <c r="Y355" i="1"/>
  <c r="Y357" i="1"/>
  <c r="Z46" i="1"/>
  <c r="Z360" i="1" s="1"/>
  <c r="Y359" i="1"/>
  <c r="Z334" i="1"/>
  <c r="Y356" i="1"/>
  <c r="Y358" i="1" s="1"/>
  <c r="Z248" i="1"/>
  <c r="Z242" i="1"/>
  <c r="Z221" i="1"/>
  <c r="Z146" i="1"/>
  <c r="Z124" i="1"/>
  <c r="Z77" i="1"/>
</calcChain>
</file>

<file path=xl/sharedStrings.xml><?xml version="1.0" encoding="utf-8"?>
<sst xmlns="http://schemas.openxmlformats.org/spreadsheetml/2006/main" count="1509" uniqueCount="563">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</sst>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9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topLeftCell="A339" zoomScaleNormal="100" zoomScaleSheetLayoutView="100" workbookViewId="0">
      <selection activeCell="AA361" sqref="AA361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7" customWidth="1"/>
    <col min="19" max="19" width="6.140625" style="3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7" customWidth="1"/>
    <col min="25" max="25" width="11" style="387" customWidth="1"/>
    <col min="26" max="26" width="10" style="387" customWidth="1"/>
    <col min="27" max="27" width="11.5703125" style="387" customWidth="1"/>
    <col min="28" max="28" width="10.42578125" style="387" customWidth="1"/>
    <col min="29" max="29" width="30" style="387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7" customWidth="1"/>
    <col min="34" max="34" width="9.140625" style="387" customWidth="1"/>
    <col min="35" max="16384" width="9.140625" style="387"/>
  </cols>
  <sheetData>
    <row r="1" spans="1:32" s="23" customFormat="1" ht="45" customHeight="1" x14ac:dyDescent="0.2">
      <c r="A1" s="42"/>
      <c r="B1" s="42"/>
      <c r="C1" s="42"/>
      <c r="D1" s="447" t="s">
        <v>0</v>
      </c>
      <c r="E1" s="415"/>
      <c r="F1" s="415"/>
      <c r="G1" s="12" t="s">
        <v>1</v>
      </c>
      <c r="H1" s="44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3" t="s">
        <v>8</v>
      </c>
      <c r="B5" s="463"/>
      <c r="C5" s="464"/>
      <c r="D5" s="449"/>
      <c r="E5" s="450"/>
      <c r="F5" s="611" t="s">
        <v>9</v>
      </c>
      <c r="G5" s="464"/>
      <c r="H5" s="449"/>
      <c r="I5" s="573"/>
      <c r="J5" s="573"/>
      <c r="K5" s="573"/>
      <c r="L5" s="573"/>
      <c r="M5" s="450"/>
      <c r="N5" s="59"/>
      <c r="P5" s="25" t="s">
        <v>10</v>
      </c>
      <c r="Q5" s="625">
        <v>45931</v>
      </c>
      <c r="R5" s="482"/>
      <c r="T5" s="520" t="s">
        <v>11</v>
      </c>
      <c r="U5" s="517"/>
      <c r="V5" s="522" t="s">
        <v>12</v>
      </c>
      <c r="W5" s="482"/>
      <c r="AB5" s="52"/>
      <c r="AC5" s="52"/>
      <c r="AD5" s="52"/>
      <c r="AE5" s="52"/>
    </row>
    <row r="6" spans="1:32" s="23" customFormat="1" ht="24" customHeight="1" x14ac:dyDescent="0.2">
      <c r="A6" s="483" t="s">
        <v>13</v>
      </c>
      <c r="B6" s="463"/>
      <c r="C6" s="464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82"/>
      <c r="N6" s="60"/>
      <c r="P6" s="25" t="s">
        <v>15</v>
      </c>
      <c r="Q6" s="629" t="str">
        <f>IF(Q5=0," ",CHOOSE(WEEKDAY(Q5,2),"Понедельник","Вторник","Среда","Четверг","Пятница","Суббота","Воскресенье"))</f>
        <v>Среда</v>
      </c>
      <c r="R6" s="397"/>
      <c r="T6" s="524" t="s">
        <v>16</v>
      </c>
      <c r="U6" s="517"/>
      <c r="V6" s="561" t="s">
        <v>17</v>
      </c>
      <c r="W6" s="431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8"/>
      <c r="M7" s="439"/>
      <c r="N7" s="61"/>
      <c r="P7" s="25"/>
      <c r="Q7" s="43"/>
      <c r="R7" s="43"/>
      <c r="T7" s="408"/>
      <c r="U7" s="517"/>
      <c r="V7" s="562"/>
      <c r="W7" s="563"/>
      <c r="AB7" s="52"/>
      <c r="AC7" s="52"/>
      <c r="AD7" s="52"/>
      <c r="AE7" s="52"/>
    </row>
    <row r="8" spans="1:32" s="23" customFormat="1" ht="25.5" customHeight="1" x14ac:dyDescent="0.2">
      <c r="A8" s="635" t="s">
        <v>18</v>
      </c>
      <c r="B8" s="402"/>
      <c r="C8" s="403"/>
      <c r="D8" s="441" t="s">
        <v>19</v>
      </c>
      <c r="E8" s="442"/>
      <c r="F8" s="442"/>
      <c r="G8" s="442"/>
      <c r="H8" s="442"/>
      <c r="I8" s="442"/>
      <c r="J8" s="442"/>
      <c r="K8" s="442"/>
      <c r="L8" s="442"/>
      <c r="M8" s="443"/>
      <c r="N8" s="62"/>
      <c r="P8" s="25" t="s">
        <v>20</v>
      </c>
      <c r="Q8" s="489">
        <v>0.41666666666666669</v>
      </c>
      <c r="R8" s="439"/>
      <c r="T8" s="408"/>
      <c r="U8" s="517"/>
      <c r="V8" s="562"/>
      <c r="W8" s="563"/>
      <c r="AB8" s="52"/>
      <c r="AC8" s="52"/>
      <c r="AD8" s="52"/>
      <c r="AE8" s="52"/>
    </row>
    <row r="9" spans="1:32" s="23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6"/>
      <c r="E9" s="400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2"/>
      <c r="P9" s="27" t="s">
        <v>21</v>
      </c>
      <c r="Q9" s="478"/>
      <c r="R9" s="479"/>
      <c r="T9" s="408"/>
      <c r="U9" s="517"/>
      <c r="V9" s="564"/>
      <c r="W9" s="56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6"/>
      <c r="E10" s="400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58" t="str">
        <f>IFERROR(VLOOKUP($D$10,Proxy,2,FALSE),"")</f>
        <v/>
      </c>
      <c r="I10" s="408"/>
      <c r="J10" s="408"/>
      <c r="K10" s="408"/>
      <c r="L10" s="408"/>
      <c r="M10" s="408"/>
      <c r="N10" s="383"/>
      <c r="P10" s="27" t="s">
        <v>22</v>
      </c>
      <c r="Q10" s="525"/>
      <c r="R10" s="526"/>
      <c r="U10" s="25" t="s">
        <v>23</v>
      </c>
      <c r="V10" s="430" t="s">
        <v>24</v>
      </c>
      <c r="W10" s="431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81"/>
      <c r="R11" s="482"/>
      <c r="U11" s="25" t="s">
        <v>27</v>
      </c>
      <c r="V11" s="590" t="s">
        <v>28</v>
      </c>
      <c r="W11" s="47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15" t="s">
        <v>29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3"/>
      <c r="M12" s="464"/>
      <c r="N12" s="63"/>
      <c r="P12" s="25" t="s">
        <v>30</v>
      </c>
      <c r="Q12" s="489"/>
      <c r="R12" s="439"/>
      <c r="S12" s="24"/>
      <c r="U12" s="25" t="s">
        <v>31</v>
      </c>
      <c r="V12" s="590" t="s">
        <v>32</v>
      </c>
      <c r="W12" s="479"/>
      <c r="AB12" s="52"/>
      <c r="AC12" s="52"/>
      <c r="AD12" s="52"/>
      <c r="AE12" s="52"/>
    </row>
    <row r="13" spans="1:32" s="23" customFormat="1" ht="23.25" customHeight="1" x14ac:dyDescent="0.2">
      <c r="A13" s="515" t="s">
        <v>33</v>
      </c>
      <c r="B13" s="463"/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4"/>
      <c r="N13" s="63"/>
      <c r="O13" s="27"/>
      <c r="P13" s="27" t="s">
        <v>34</v>
      </c>
      <c r="Q13" s="590"/>
      <c r="R13" s="47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15" t="s">
        <v>35</v>
      </c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4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38" t="s">
        <v>36</v>
      </c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4"/>
      <c r="N15" s="64"/>
      <c r="P15" s="506" t="s">
        <v>37</v>
      </c>
      <c r="Q15" s="415"/>
      <c r="R15" s="415"/>
      <c r="S15" s="415"/>
      <c r="T15" s="415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7"/>
      <c r="Q16" s="507"/>
      <c r="R16" s="507"/>
      <c r="S16" s="507"/>
      <c r="T16" s="5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38</v>
      </c>
      <c r="B17" s="425" t="s">
        <v>39</v>
      </c>
      <c r="C17" s="492" t="s">
        <v>40</v>
      </c>
      <c r="D17" s="425" t="s">
        <v>41</v>
      </c>
      <c r="E17" s="469"/>
      <c r="F17" s="425" t="s">
        <v>42</v>
      </c>
      <c r="G17" s="425" t="s">
        <v>43</v>
      </c>
      <c r="H17" s="425" t="s">
        <v>44</v>
      </c>
      <c r="I17" s="425" t="s">
        <v>45</v>
      </c>
      <c r="J17" s="425" t="s">
        <v>46</v>
      </c>
      <c r="K17" s="425" t="s">
        <v>47</v>
      </c>
      <c r="L17" s="425" t="s">
        <v>48</v>
      </c>
      <c r="M17" s="425" t="s">
        <v>49</v>
      </c>
      <c r="N17" s="425" t="s">
        <v>50</v>
      </c>
      <c r="O17" s="425" t="s">
        <v>51</v>
      </c>
      <c r="P17" s="425" t="s">
        <v>52</v>
      </c>
      <c r="Q17" s="468"/>
      <c r="R17" s="468"/>
      <c r="S17" s="468"/>
      <c r="T17" s="469"/>
      <c r="U17" s="632" t="s">
        <v>53</v>
      </c>
      <c r="V17" s="464"/>
      <c r="W17" s="425" t="s">
        <v>54</v>
      </c>
      <c r="X17" s="425" t="s">
        <v>55</v>
      </c>
      <c r="Y17" s="633" t="s">
        <v>56</v>
      </c>
      <c r="Z17" s="571" t="s">
        <v>57</v>
      </c>
      <c r="AA17" s="556" t="s">
        <v>58</v>
      </c>
      <c r="AB17" s="556" t="s">
        <v>59</v>
      </c>
      <c r="AC17" s="556" t="s">
        <v>60</v>
      </c>
      <c r="AD17" s="556" t="s">
        <v>61</v>
      </c>
      <c r="AE17" s="606"/>
      <c r="AF17" s="607"/>
      <c r="AG17" s="67"/>
      <c r="BD17" s="66" t="s">
        <v>62</v>
      </c>
    </row>
    <row r="18" spans="1:68" ht="14.25" customHeight="1" x14ac:dyDescent="0.2">
      <c r="A18" s="426"/>
      <c r="B18" s="426"/>
      <c r="C18" s="426"/>
      <c r="D18" s="470"/>
      <c r="E18" s="472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70"/>
      <c r="Q18" s="471"/>
      <c r="R18" s="471"/>
      <c r="S18" s="471"/>
      <c r="T18" s="472"/>
      <c r="U18" s="68" t="s">
        <v>63</v>
      </c>
      <c r="V18" s="68" t="s">
        <v>64</v>
      </c>
      <c r="W18" s="426"/>
      <c r="X18" s="426"/>
      <c r="Y18" s="634"/>
      <c r="Z18" s="572"/>
      <c r="AA18" s="557"/>
      <c r="AB18" s="557"/>
      <c r="AC18" s="557"/>
      <c r="AD18" s="608"/>
      <c r="AE18" s="609"/>
      <c r="AF18" s="610"/>
      <c r="AG18" s="67"/>
      <c r="BD18" s="66"/>
    </row>
    <row r="19" spans="1:68" ht="27.75" customHeight="1" x14ac:dyDescent="0.2">
      <c r="A19" s="476" t="s">
        <v>65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9"/>
      <c r="AB19" s="49"/>
      <c r="AC19" s="49"/>
    </row>
    <row r="20" spans="1:68" ht="16.5" customHeight="1" x14ac:dyDescent="0.25">
      <c r="A20" s="407" t="s">
        <v>65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84"/>
      <c r="AB20" s="384"/>
      <c r="AC20" s="384"/>
    </row>
    <row r="21" spans="1:68" ht="14.25" customHeight="1" x14ac:dyDescent="0.25">
      <c r="A21" s="410" t="s">
        <v>66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85"/>
      <c r="AB21" s="385"/>
      <c r="AC21" s="385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396">
        <v>4680115886230</v>
      </c>
      <c r="E22" s="397"/>
      <c r="F22" s="388">
        <v>0.3</v>
      </c>
      <c r="G22" s="33">
        <v>6</v>
      </c>
      <c r="H22" s="388">
        <v>1.8</v>
      </c>
      <c r="I22" s="388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4"/>
      <c r="R22" s="394"/>
      <c r="S22" s="394"/>
      <c r="T22" s="395"/>
      <c r="U22" s="35"/>
      <c r="V22" s="35"/>
      <c r="W22" s="36" t="s">
        <v>71</v>
      </c>
      <c r="X22" s="389">
        <v>0</v>
      </c>
      <c r="Y22" s="390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396">
        <v>4680115886247</v>
      </c>
      <c r="E23" s="397"/>
      <c r="F23" s="388">
        <v>0.3</v>
      </c>
      <c r="G23" s="33">
        <v>6</v>
      </c>
      <c r="H23" s="388">
        <v>1.8</v>
      </c>
      <c r="I23" s="388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4"/>
      <c r="R23" s="394"/>
      <c r="S23" s="394"/>
      <c r="T23" s="395"/>
      <c r="U23" s="35"/>
      <c r="V23" s="35"/>
      <c r="W23" s="36" t="s">
        <v>71</v>
      </c>
      <c r="X23" s="389">
        <v>0</v>
      </c>
      <c r="Y23" s="390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19"/>
      <c r="P24" s="401" t="s">
        <v>76</v>
      </c>
      <c r="Q24" s="402"/>
      <c r="R24" s="402"/>
      <c r="S24" s="402"/>
      <c r="T24" s="402"/>
      <c r="U24" s="402"/>
      <c r="V24" s="403"/>
      <c r="W24" s="38" t="s">
        <v>77</v>
      </c>
      <c r="X24" s="391">
        <f>IFERROR(X22/H22,"0")+IFERROR(X23/H23,"0")</f>
        <v>0</v>
      </c>
      <c r="Y24" s="391">
        <f>IFERROR(Y22/H22,"0")+IFERROR(Y23/H23,"0")</f>
        <v>0</v>
      </c>
      <c r="Z24" s="391">
        <f>IFERROR(IF(Z22="",0,Z22),"0")+IFERROR(IF(Z23="",0,Z23),"0")</f>
        <v>0</v>
      </c>
      <c r="AA24" s="392"/>
      <c r="AB24" s="392"/>
      <c r="AC24" s="392"/>
    </row>
    <row r="25" spans="1:68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19"/>
      <c r="P25" s="401" t="s">
        <v>76</v>
      </c>
      <c r="Q25" s="402"/>
      <c r="R25" s="402"/>
      <c r="S25" s="402"/>
      <c r="T25" s="402"/>
      <c r="U25" s="402"/>
      <c r="V25" s="403"/>
      <c r="W25" s="38" t="s">
        <v>71</v>
      </c>
      <c r="X25" s="391">
        <f>IFERROR(SUM(X22:X23),"0")</f>
        <v>0</v>
      </c>
      <c r="Y25" s="391">
        <f>IFERROR(SUM(Y22:Y23),"0")</f>
        <v>0</v>
      </c>
      <c r="Z25" s="38"/>
      <c r="AA25" s="392"/>
      <c r="AB25" s="392"/>
      <c r="AC25" s="392"/>
    </row>
    <row r="26" spans="1:68" ht="14.25" customHeight="1" x14ac:dyDescent="0.25">
      <c r="A26" s="410" t="s">
        <v>78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385"/>
      <c r="AB26" s="385"/>
      <c r="AC26" s="385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396">
        <v>4607091388503</v>
      </c>
      <c r="E27" s="397"/>
      <c r="F27" s="388">
        <v>0.05</v>
      </c>
      <c r="G27" s="33">
        <v>12</v>
      </c>
      <c r="H27" s="388">
        <v>0.6</v>
      </c>
      <c r="I27" s="388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4"/>
      <c r="R27" s="394"/>
      <c r="S27" s="394"/>
      <c r="T27" s="395"/>
      <c r="U27" s="35"/>
      <c r="V27" s="35"/>
      <c r="W27" s="36" t="s">
        <v>71</v>
      </c>
      <c r="X27" s="389">
        <v>0</v>
      </c>
      <c r="Y27" s="390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19"/>
      <c r="P28" s="401" t="s">
        <v>76</v>
      </c>
      <c r="Q28" s="402"/>
      <c r="R28" s="402"/>
      <c r="S28" s="402"/>
      <c r="T28" s="402"/>
      <c r="U28" s="402"/>
      <c r="V28" s="403"/>
      <c r="W28" s="38" t="s">
        <v>77</v>
      </c>
      <c r="X28" s="391">
        <f>IFERROR(X27/H27,"0")</f>
        <v>0</v>
      </c>
      <c r="Y28" s="391">
        <f>IFERROR(Y27/H27,"0")</f>
        <v>0</v>
      </c>
      <c r="Z28" s="391">
        <f>IFERROR(IF(Z27="",0,Z27),"0")</f>
        <v>0</v>
      </c>
      <c r="AA28" s="392"/>
      <c r="AB28" s="392"/>
      <c r="AC28" s="392"/>
    </row>
    <row r="29" spans="1:68" x14ac:dyDescent="0.2">
      <c r="A29" s="408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19"/>
      <c r="P29" s="401" t="s">
        <v>76</v>
      </c>
      <c r="Q29" s="402"/>
      <c r="R29" s="402"/>
      <c r="S29" s="402"/>
      <c r="T29" s="402"/>
      <c r="U29" s="402"/>
      <c r="V29" s="403"/>
      <c r="W29" s="38" t="s">
        <v>71</v>
      </c>
      <c r="X29" s="391">
        <f>IFERROR(SUM(X27:X27),"0")</f>
        <v>0</v>
      </c>
      <c r="Y29" s="391">
        <f>IFERROR(SUM(Y27:Y27),"0")</f>
        <v>0</v>
      </c>
      <c r="Z29" s="38"/>
      <c r="AA29" s="392"/>
      <c r="AB29" s="392"/>
      <c r="AC29" s="392"/>
    </row>
    <row r="30" spans="1:68" ht="27.75" customHeight="1" x14ac:dyDescent="0.2">
      <c r="A30" s="476" t="s">
        <v>84</v>
      </c>
      <c r="B30" s="477"/>
      <c r="C30" s="477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9"/>
      <c r="AB30" s="49"/>
      <c r="AC30" s="49"/>
    </row>
    <row r="31" spans="1:68" ht="16.5" customHeight="1" x14ac:dyDescent="0.25">
      <c r="A31" s="407" t="s">
        <v>85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  <c r="Z31" s="408"/>
      <c r="AA31" s="384"/>
      <c r="AB31" s="384"/>
      <c r="AC31" s="384"/>
    </row>
    <row r="32" spans="1:68" ht="14.25" customHeight="1" x14ac:dyDescent="0.25">
      <c r="A32" s="410" t="s">
        <v>86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385"/>
      <c r="AB32" s="385"/>
      <c r="AC32" s="385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396">
        <v>4607091385670</v>
      </c>
      <c r="E33" s="397"/>
      <c r="F33" s="388">
        <v>1.35</v>
      </c>
      <c r="G33" s="33">
        <v>8</v>
      </c>
      <c r="H33" s="388">
        <v>10.8</v>
      </c>
      <c r="I33" s="388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4"/>
      <c r="R33" s="394"/>
      <c r="S33" s="394"/>
      <c r="T33" s="395"/>
      <c r="U33" s="35"/>
      <c r="V33" s="35"/>
      <c r="W33" s="36" t="s">
        <v>71</v>
      </c>
      <c r="X33" s="389">
        <v>0</v>
      </c>
      <c r="Y33" s="390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396">
        <v>4607091385687</v>
      </c>
      <c r="E34" s="397"/>
      <c r="F34" s="388">
        <v>0.4</v>
      </c>
      <c r="G34" s="33">
        <v>10</v>
      </c>
      <c r="H34" s="388">
        <v>4</v>
      </c>
      <c r="I34" s="388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4"/>
      <c r="R34" s="394"/>
      <c r="S34" s="394"/>
      <c r="T34" s="395"/>
      <c r="U34" s="35"/>
      <c r="V34" s="35"/>
      <c r="W34" s="36" t="s">
        <v>71</v>
      </c>
      <c r="X34" s="389">
        <v>100</v>
      </c>
      <c r="Y34" s="390">
        <f>IFERROR(IF(X34="",0,CEILING((X34/$H34),1)*$H34),"")</f>
        <v>100</v>
      </c>
      <c r="Z34" s="37">
        <f>IFERROR(IF(Y34=0,"",ROUNDUP(Y34/H34,0)*0.00902),"")</f>
        <v>0.22550000000000001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105.25</v>
      </c>
      <c r="BN34" s="65">
        <f>IFERROR(Y34*I34/H34,"0")</f>
        <v>105.25</v>
      </c>
      <c r="BO34" s="65">
        <f>IFERROR(1/J34*(X34/H34),"0")</f>
        <v>0.18939393939393939</v>
      </c>
      <c r="BP34" s="65">
        <f>IFERROR(1/J34*(Y34/H34),"0")</f>
        <v>0.18939393939393939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396">
        <v>4680115882539</v>
      </c>
      <c r="E35" s="397"/>
      <c r="F35" s="388">
        <v>0.37</v>
      </c>
      <c r="G35" s="33">
        <v>10</v>
      </c>
      <c r="H35" s="388">
        <v>3.7</v>
      </c>
      <c r="I35" s="388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4"/>
      <c r="R35" s="394"/>
      <c r="S35" s="394"/>
      <c r="T35" s="395"/>
      <c r="U35" s="35"/>
      <c r="V35" s="35"/>
      <c r="W35" s="36" t="s">
        <v>71</v>
      </c>
      <c r="X35" s="389">
        <v>0</v>
      </c>
      <c r="Y35" s="390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19"/>
      <c r="P36" s="401" t="s">
        <v>76</v>
      </c>
      <c r="Q36" s="402"/>
      <c r="R36" s="402"/>
      <c r="S36" s="402"/>
      <c r="T36" s="402"/>
      <c r="U36" s="402"/>
      <c r="V36" s="403"/>
      <c r="W36" s="38" t="s">
        <v>77</v>
      </c>
      <c r="X36" s="391">
        <f>IFERROR(X33/H33,"0")+IFERROR(X34/H34,"0")+IFERROR(X35/H35,"0")</f>
        <v>25</v>
      </c>
      <c r="Y36" s="391">
        <f>IFERROR(Y33/H33,"0")+IFERROR(Y34/H34,"0")+IFERROR(Y35/H35,"0")</f>
        <v>25</v>
      </c>
      <c r="Z36" s="391">
        <f>IFERROR(IF(Z33="",0,Z33),"0")+IFERROR(IF(Z34="",0,Z34),"0")+IFERROR(IF(Z35="",0,Z35),"0")</f>
        <v>0.22550000000000001</v>
      </c>
      <c r="AA36" s="392"/>
      <c r="AB36" s="392"/>
      <c r="AC36" s="392"/>
    </row>
    <row r="37" spans="1:68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19"/>
      <c r="P37" s="401" t="s">
        <v>76</v>
      </c>
      <c r="Q37" s="402"/>
      <c r="R37" s="402"/>
      <c r="S37" s="402"/>
      <c r="T37" s="402"/>
      <c r="U37" s="402"/>
      <c r="V37" s="403"/>
      <c r="W37" s="38" t="s">
        <v>71</v>
      </c>
      <c r="X37" s="391">
        <f>IFERROR(SUM(X33:X35),"0")</f>
        <v>100</v>
      </c>
      <c r="Y37" s="391">
        <f>IFERROR(SUM(Y33:Y35),"0")</f>
        <v>100</v>
      </c>
      <c r="Z37" s="38"/>
      <c r="AA37" s="392"/>
      <c r="AB37" s="392"/>
      <c r="AC37" s="392"/>
    </row>
    <row r="38" spans="1:68" ht="16.5" customHeight="1" x14ac:dyDescent="0.25">
      <c r="A38" s="407" t="s">
        <v>98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384"/>
      <c r="AB38" s="384"/>
      <c r="AC38" s="384"/>
    </row>
    <row r="39" spans="1:68" ht="14.25" customHeight="1" x14ac:dyDescent="0.25">
      <c r="A39" s="410" t="s">
        <v>86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385"/>
      <c r="AB39" s="385"/>
      <c r="AC39" s="385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396">
        <v>4680115885882</v>
      </c>
      <c r="E40" s="397"/>
      <c r="F40" s="388">
        <v>1.4</v>
      </c>
      <c r="G40" s="33">
        <v>8</v>
      </c>
      <c r="H40" s="388">
        <v>11.2</v>
      </c>
      <c r="I40" s="388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4"/>
      <c r="R40" s="394"/>
      <c r="S40" s="394"/>
      <c r="T40" s="395"/>
      <c r="U40" s="35"/>
      <c r="V40" s="35"/>
      <c r="W40" s="36" t="s">
        <v>71</v>
      </c>
      <c r="X40" s="389">
        <v>0</v>
      </c>
      <c r="Y40" s="390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396">
        <v>4680115881426</v>
      </c>
      <c r="E41" s="397"/>
      <c r="F41" s="388">
        <v>1.35</v>
      </c>
      <c r="G41" s="33">
        <v>8</v>
      </c>
      <c r="H41" s="388">
        <v>10.8</v>
      </c>
      <c r="I41" s="388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4"/>
      <c r="R41" s="394"/>
      <c r="S41" s="394"/>
      <c r="T41" s="395"/>
      <c r="U41" s="35"/>
      <c r="V41" s="35"/>
      <c r="W41" s="36" t="s">
        <v>71</v>
      </c>
      <c r="X41" s="389">
        <v>100</v>
      </c>
      <c r="Y41" s="390">
        <f t="shared" si="0"/>
        <v>108</v>
      </c>
      <c r="Z41" s="37">
        <f>IFERROR(IF(Y41=0,"",ROUNDUP(Y41/H41,0)*0.01898),"")</f>
        <v>0.1898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104.02777777777777</v>
      </c>
      <c r="BN41" s="65">
        <f t="shared" si="2"/>
        <v>112.34999999999998</v>
      </c>
      <c r="BO41" s="65">
        <f t="shared" si="3"/>
        <v>0.14467592592592593</v>
      </c>
      <c r="BP41" s="65">
        <f t="shared" si="4"/>
        <v>0.15625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396">
        <v>4680115880283</v>
      </c>
      <c r="E42" s="397"/>
      <c r="F42" s="388">
        <v>0.6</v>
      </c>
      <c r="G42" s="33">
        <v>8</v>
      </c>
      <c r="H42" s="388">
        <v>4.8</v>
      </c>
      <c r="I42" s="388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4"/>
      <c r="R42" s="394"/>
      <c r="S42" s="394"/>
      <c r="T42" s="395"/>
      <c r="U42" s="35"/>
      <c r="V42" s="35"/>
      <c r="W42" s="36" t="s">
        <v>71</v>
      </c>
      <c r="X42" s="389">
        <v>0</v>
      </c>
      <c r="Y42" s="390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396">
        <v>4680115881525</v>
      </c>
      <c r="E43" s="397"/>
      <c r="F43" s="388">
        <v>0.4</v>
      </c>
      <c r="G43" s="33">
        <v>10</v>
      </c>
      <c r="H43" s="388">
        <v>4</v>
      </c>
      <c r="I43" s="388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4"/>
      <c r="R43" s="394"/>
      <c r="S43" s="394"/>
      <c r="T43" s="395"/>
      <c r="U43" s="35"/>
      <c r="V43" s="35"/>
      <c r="W43" s="36" t="s">
        <v>71</v>
      </c>
      <c r="X43" s="389">
        <v>0</v>
      </c>
      <c r="Y43" s="390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396">
        <v>4680115885899</v>
      </c>
      <c r="E44" s="397"/>
      <c r="F44" s="388">
        <v>0.35</v>
      </c>
      <c r="G44" s="33">
        <v>6</v>
      </c>
      <c r="H44" s="388">
        <v>2.1</v>
      </c>
      <c r="I44" s="388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4"/>
      <c r="R44" s="394"/>
      <c r="S44" s="394"/>
      <c r="T44" s="395"/>
      <c r="U44" s="35"/>
      <c r="V44" s="35"/>
      <c r="W44" s="36" t="s">
        <v>71</v>
      </c>
      <c r="X44" s="389">
        <v>0</v>
      </c>
      <c r="Y44" s="390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396">
        <v>4680115881419</v>
      </c>
      <c r="E45" s="397"/>
      <c r="F45" s="388">
        <v>0.45</v>
      </c>
      <c r="G45" s="33">
        <v>10</v>
      </c>
      <c r="H45" s="388">
        <v>4.5</v>
      </c>
      <c r="I45" s="388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4"/>
      <c r="R45" s="394"/>
      <c r="S45" s="394"/>
      <c r="T45" s="395"/>
      <c r="U45" s="35"/>
      <c r="V45" s="35"/>
      <c r="W45" s="36" t="s">
        <v>71</v>
      </c>
      <c r="X45" s="389">
        <v>100</v>
      </c>
      <c r="Y45" s="390">
        <f t="shared" si="0"/>
        <v>103.5</v>
      </c>
      <c r="Z45" s="37">
        <f>IFERROR(IF(Y45=0,"",ROUNDUP(Y45/H45,0)*0.00902),"")</f>
        <v>0.20746000000000001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104.66666666666667</v>
      </c>
      <c r="BN45" s="65">
        <f t="shared" si="2"/>
        <v>108.33</v>
      </c>
      <c r="BO45" s="65">
        <f t="shared" si="3"/>
        <v>0.16835016835016836</v>
      </c>
      <c r="BP45" s="65">
        <f t="shared" si="4"/>
        <v>0.17424242424242425</v>
      </c>
    </row>
    <row r="46" spans="1:68" x14ac:dyDescent="0.2">
      <c r="A46" s="41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19"/>
      <c r="P46" s="401" t="s">
        <v>76</v>
      </c>
      <c r="Q46" s="402"/>
      <c r="R46" s="402"/>
      <c r="S46" s="402"/>
      <c r="T46" s="402"/>
      <c r="U46" s="402"/>
      <c r="V46" s="403"/>
      <c r="W46" s="38" t="s">
        <v>77</v>
      </c>
      <c r="X46" s="391">
        <f>IFERROR(X40/H40,"0")+IFERROR(X41/H41,"0")+IFERROR(X42/H42,"0")+IFERROR(X43/H43,"0")+IFERROR(X44/H44,"0")+IFERROR(X45/H45,"0")</f>
        <v>31.481481481481481</v>
      </c>
      <c r="Y46" s="391">
        <f>IFERROR(Y40/H40,"0")+IFERROR(Y41/H41,"0")+IFERROR(Y42/H42,"0")+IFERROR(Y43/H43,"0")+IFERROR(Y44/H44,"0")+IFERROR(Y45/H45,"0")</f>
        <v>33</v>
      </c>
      <c r="Z46" s="391">
        <f>IFERROR(IF(Z40="",0,Z40),"0")+IFERROR(IF(Z41="",0,Z41),"0")+IFERROR(IF(Z42="",0,Z42),"0")+IFERROR(IF(Z43="",0,Z43),"0")+IFERROR(IF(Z44="",0,Z44),"0")+IFERROR(IF(Z45="",0,Z45),"0")</f>
        <v>0.39726</v>
      </c>
      <c r="AA46" s="392"/>
      <c r="AB46" s="392"/>
      <c r="AC46" s="392"/>
    </row>
    <row r="47" spans="1:68" x14ac:dyDescent="0.2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19"/>
      <c r="P47" s="401" t="s">
        <v>76</v>
      </c>
      <c r="Q47" s="402"/>
      <c r="R47" s="402"/>
      <c r="S47" s="402"/>
      <c r="T47" s="402"/>
      <c r="U47" s="402"/>
      <c r="V47" s="403"/>
      <c r="W47" s="38" t="s">
        <v>71</v>
      </c>
      <c r="X47" s="391">
        <f>IFERROR(SUM(X40:X45),"0")</f>
        <v>200</v>
      </c>
      <c r="Y47" s="391">
        <f>IFERROR(SUM(Y40:Y45),"0")</f>
        <v>211.5</v>
      </c>
      <c r="Z47" s="38"/>
      <c r="AA47" s="392"/>
      <c r="AB47" s="392"/>
      <c r="AC47" s="392"/>
    </row>
    <row r="48" spans="1:68" ht="14.25" customHeight="1" x14ac:dyDescent="0.25">
      <c r="A48" s="410" t="s">
        <v>117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385"/>
      <c r="AB48" s="385"/>
      <c r="AC48" s="385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396">
        <v>4680115881440</v>
      </c>
      <c r="E49" s="397"/>
      <c r="F49" s="388">
        <v>1.35</v>
      </c>
      <c r="G49" s="33">
        <v>8</v>
      </c>
      <c r="H49" s="388">
        <v>10.8</v>
      </c>
      <c r="I49" s="388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4"/>
      <c r="R49" s="394"/>
      <c r="S49" s="394"/>
      <c r="T49" s="395"/>
      <c r="U49" s="35"/>
      <c r="V49" s="35"/>
      <c r="W49" s="36" t="s">
        <v>71</v>
      </c>
      <c r="X49" s="389">
        <v>0</v>
      </c>
      <c r="Y49" s="390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16.5" customHeight="1" x14ac:dyDescent="0.25">
      <c r="A50" s="55" t="s">
        <v>121</v>
      </c>
      <c r="B50" s="55" t="s">
        <v>122</v>
      </c>
      <c r="C50" s="32">
        <v>4301020358</v>
      </c>
      <c r="D50" s="396">
        <v>4680115885950</v>
      </c>
      <c r="E50" s="397"/>
      <c r="F50" s="388">
        <v>0.37</v>
      </c>
      <c r="G50" s="33">
        <v>6</v>
      </c>
      <c r="H50" s="388">
        <v>2.2200000000000002</v>
      </c>
      <c r="I50" s="388">
        <v>2.4</v>
      </c>
      <c r="J50" s="33">
        <v>182</v>
      </c>
      <c r="K50" s="33" t="s">
        <v>69</v>
      </c>
      <c r="L50" s="33"/>
      <c r="M50" s="34" t="s">
        <v>95</v>
      </c>
      <c r="N50" s="34"/>
      <c r="O50" s="33">
        <v>50</v>
      </c>
      <c r="P50" s="4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394"/>
      <c r="R50" s="394"/>
      <c r="S50" s="394"/>
      <c r="T50" s="395"/>
      <c r="U50" s="35"/>
      <c r="V50" s="35"/>
      <c r="W50" s="36" t="s">
        <v>71</v>
      </c>
      <c r="X50" s="389">
        <v>0</v>
      </c>
      <c r="Y50" s="390">
        <f>IFERROR(IF(X50="",0,CEILING((X50/$H50),1)*$H50),"")</f>
        <v>0</v>
      </c>
      <c r="Z50" s="37" t="str">
        <f>IFERROR(IF(Y50=0,"",ROUNDUP(Y50/H50,0)*0.00651),"")</f>
        <v/>
      </c>
      <c r="AA50" s="57"/>
      <c r="AB50" s="58"/>
      <c r="AC50" s="96" t="s">
        <v>120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123</v>
      </c>
      <c r="B51" s="55" t="s">
        <v>124</v>
      </c>
      <c r="C51" s="32">
        <v>4301020296</v>
      </c>
      <c r="D51" s="396">
        <v>4680115881433</v>
      </c>
      <c r="E51" s="397"/>
      <c r="F51" s="388">
        <v>0.45</v>
      </c>
      <c r="G51" s="33">
        <v>6</v>
      </c>
      <c r="H51" s="388">
        <v>2.7</v>
      </c>
      <c r="I51" s="388">
        <v>2.88</v>
      </c>
      <c r="J51" s="33">
        <v>182</v>
      </c>
      <c r="K51" s="33" t="s">
        <v>69</v>
      </c>
      <c r="L51" s="33"/>
      <c r="M51" s="34" t="s">
        <v>90</v>
      </c>
      <c r="N51" s="34"/>
      <c r="O51" s="33">
        <v>50</v>
      </c>
      <c r="P51" s="5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394"/>
      <c r="R51" s="394"/>
      <c r="S51" s="394"/>
      <c r="T51" s="395"/>
      <c r="U51" s="35"/>
      <c r="V51" s="35"/>
      <c r="W51" s="36" t="s">
        <v>71</v>
      </c>
      <c r="X51" s="389">
        <v>0</v>
      </c>
      <c r="Y51" s="390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x14ac:dyDescent="0.2">
      <c r="A52" s="418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19"/>
      <c r="P52" s="401" t="s">
        <v>76</v>
      </c>
      <c r="Q52" s="402"/>
      <c r="R52" s="402"/>
      <c r="S52" s="402"/>
      <c r="T52" s="402"/>
      <c r="U52" s="402"/>
      <c r="V52" s="403"/>
      <c r="W52" s="38" t="s">
        <v>77</v>
      </c>
      <c r="X52" s="391">
        <f>IFERROR(X49/H49,"0")+IFERROR(X50/H50,"0")+IFERROR(X51/H51,"0")</f>
        <v>0</v>
      </c>
      <c r="Y52" s="391">
        <f>IFERROR(Y49/H49,"0")+IFERROR(Y50/H50,"0")+IFERROR(Y51/H51,"0")</f>
        <v>0</v>
      </c>
      <c r="Z52" s="391">
        <f>IFERROR(IF(Z49="",0,Z49),"0")+IFERROR(IF(Z50="",0,Z50),"0")+IFERROR(IF(Z51="",0,Z51),"0")</f>
        <v>0</v>
      </c>
      <c r="AA52" s="392"/>
      <c r="AB52" s="392"/>
      <c r="AC52" s="392"/>
    </row>
    <row r="53" spans="1:68" x14ac:dyDescent="0.2">
      <c r="A53" s="408"/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19"/>
      <c r="P53" s="401" t="s">
        <v>76</v>
      </c>
      <c r="Q53" s="402"/>
      <c r="R53" s="402"/>
      <c r="S53" s="402"/>
      <c r="T53" s="402"/>
      <c r="U53" s="402"/>
      <c r="V53" s="403"/>
      <c r="W53" s="38" t="s">
        <v>71</v>
      </c>
      <c r="X53" s="391">
        <f>IFERROR(SUM(X49:X51),"0")</f>
        <v>0</v>
      </c>
      <c r="Y53" s="391">
        <f>IFERROR(SUM(Y49:Y51),"0")</f>
        <v>0</v>
      </c>
      <c r="Z53" s="38"/>
      <c r="AA53" s="392"/>
      <c r="AB53" s="392"/>
      <c r="AC53" s="392"/>
    </row>
    <row r="54" spans="1:68" ht="14.25" customHeight="1" x14ac:dyDescent="0.25">
      <c r="A54" s="410" t="s">
        <v>125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385"/>
      <c r="AB54" s="385"/>
      <c r="AC54" s="385"/>
    </row>
    <row r="55" spans="1:68" ht="27" customHeight="1" x14ac:dyDescent="0.25">
      <c r="A55" s="55" t="s">
        <v>126</v>
      </c>
      <c r="B55" s="55" t="s">
        <v>127</v>
      </c>
      <c r="C55" s="32">
        <v>4301060455</v>
      </c>
      <c r="D55" s="396">
        <v>4680115881532</v>
      </c>
      <c r="E55" s="397"/>
      <c r="F55" s="388">
        <v>1.3</v>
      </c>
      <c r="G55" s="33">
        <v>6</v>
      </c>
      <c r="H55" s="388">
        <v>7.8</v>
      </c>
      <c r="I55" s="388">
        <v>8.2349999999999994</v>
      </c>
      <c r="J55" s="33">
        <v>64</v>
      </c>
      <c r="K55" s="33" t="s">
        <v>89</v>
      </c>
      <c r="L55" s="33"/>
      <c r="M55" s="34" t="s">
        <v>112</v>
      </c>
      <c r="N55" s="34"/>
      <c r="O55" s="33">
        <v>30</v>
      </c>
      <c r="P55" s="4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394"/>
      <c r="R55" s="394"/>
      <c r="S55" s="394"/>
      <c r="T55" s="395"/>
      <c r="U55" s="35"/>
      <c r="V55" s="35"/>
      <c r="W55" s="36" t="s">
        <v>71</v>
      </c>
      <c r="X55" s="389">
        <v>0</v>
      </c>
      <c r="Y55" s="390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0" t="s">
        <v>128</v>
      </c>
      <c r="AG55" s="65"/>
      <c r="AJ55" s="69"/>
      <c r="AK55" s="69">
        <v>0</v>
      </c>
      <c r="BB55" s="101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129</v>
      </c>
      <c r="B56" s="55" t="s">
        <v>130</v>
      </c>
      <c r="C56" s="32">
        <v>4301060351</v>
      </c>
      <c r="D56" s="396">
        <v>4680115881464</v>
      </c>
      <c r="E56" s="397"/>
      <c r="F56" s="388">
        <v>0.4</v>
      </c>
      <c r="G56" s="33">
        <v>6</v>
      </c>
      <c r="H56" s="388">
        <v>2.4</v>
      </c>
      <c r="I56" s="388">
        <v>2.61</v>
      </c>
      <c r="J56" s="33">
        <v>132</v>
      </c>
      <c r="K56" s="33" t="s">
        <v>94</v>
      </c>
      <c r="L56" s="33"/>
      <c r="M56" s="34" t="s">
        <v>95</v>
      </c>
      <c r="N56" s="34"/>
      <c r="O56" s="33">
        <v>30</v>
      </c>
      <c r="P56" s="4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394"/>
      <c r="R56" s="394"/>
      <c r="S56" s="394"/>
      <c r="T56" s="395"/>
      <c r="U56" s="35"/>
      <c r="V56" s="35"/>
      <c r="W56" s="36" t="s">
        <v>71</v>
      </c>
      <c r="X56" s="389">
        <v>0</v>
      </c>
      <c r="Y56" s="390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x14ac:dyDescent="0.2">
      <c r="A57" s="41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19"/>
      <c r="P57" s="401" t="s">
        <v>76</v>
      </c>
      <c r="Q57" s="402"/>
      <c r="R57" s="402"/>
      <c r="S57" s="402"/>
      <c r="T57" s="402"/>
      <c r="U57" s="402"/>
      <c r="V57" s="403"/>
      <c r="W57" s="38" t="s">
        <v>77</v>
      </c>
      <c r="X57" s="391">
        <f>IFERROR(X55/H55,"0")+IFERROR(X56/H56,"0")</f>
        <v>0</v>
      </c>
      <c r="Y57" s="391">
        <f>IFERROR(Y55/H55,"0")+IFERROR(Y56/H56,"0")</f>
        <v>0</v>
      </c>
      <c r="Z57" s="391">
        <f>IFERROR(IF(Z55="",0,Z55),"0")+IFERROR(IF(Z56="",0,Z56),"0")</f>
        <v>0</v>
      </c>
      <c r="AA57" s="392"/>
      <c r="AB57" s="392"/>
      <c r="AC57" s="392"/>
    </row>
    <row r="58" spans="1:68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19"/>
      <c r="P58" s="401" t="s">
        <v>76</v>
      </c>
      <c r="Q58" s="402"/>
      <c r="R58" s="402"/>
      <c r="S58" s="402"/>
      <c r="T58" s="402"/>
      <c r="U58" s="402"/>
      <c r="V58" s="403"/>
      <c r="W58" s="38" t="s">
        <v>71</v>
      </c>
      <c r="X58" s="391">
        <f>IFERROR(SUM(X55:X56),"0")</f>
        <v>0</v>
      </c>
      <c r="Y58" s="391">
        <f>IFERROR(SUM(Y55:Y56),"0")</f>
        <v>0</v>
      </c>
      <c r="Z58" s="38"/>
      <c r="AA58" s="392"/>
      <c r="AB58" s="392"/>
      <c r="AC58" s="392"/>
    </row>
    <row r="59" spans="1:68" ht="16.5" customHeight="1" x14ac:dyDescent="0.25">
      <c r="A59" s="407" t="s">
        <v>132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384"/>
      <c r="AB59" s="384"/>
      <c r="AC59" s="384"/>
    </row>
    <row r="60" spans="1:68" ht="14.25" customHeight="1" x14ac:dyDescent="0.25">
      <c r="A60" s="410" t="s">
        <v>86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408"/>
      <c r="AA60" s="385"/>
      <c r="AB60" s="385"/>
      <c r="AC60" s="385"/>
    </row>
    <row r="61" spans="1:68" ht="27" customHeight="1" x14ac:dyDescent="0.25">
      <c r="A61" s="55" t="s">
        <v>133</v>
      </c>
      <c r="B61" s="55" t="s">
        <v>134</v>
      </c>
      <c r="C61" s="32">
        <v>4301011468</v>
      </c>
      <c r="D61" s="396">
        <v>4680115881327</v>
      </c>
      <c r="E61" s="397"/>
      <c r="F61" s="388">
        <v>1.35</v>
      </c>
      <c r="G61" s="33">
        <v>8</v>
      </c>
      <c r="H61" s="388">
        <v>10.8</v>
      </c>
      <c r="I61" s="388">
        <v>11.234999999999999</v>
      </c>
      <c r="J61" s="33">
        <v>64</v>
      </c>
      <c r="K61" s="33" t="s">
        <v>89</v>
      </c>
      <c r="L61" s="33"/>
      <c r="M61" s="34" t="s">
        <v>112</v>
      </c>
      <c r="N61" s="34"/>
      <c r="O61" s="33">
        <v>50</v>
      </c>
      <c r="P61" s="5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394"/>
      <c r="R61" s="394"/>
      <c r="S61" s="394"/>
      <c r="T61" s="395"/>
      <c r="U61" s="35"/>
      <c r="V61" s="35"/>
      <c r="W61" s="36" t="s">
        <v>71</v>
      </c>
      <c r="X61" s="389">
        <v>100</v>
      </c>
      <c r="Y61" s="390">
        <f>IFERROR(IF(X61="",0,CEILING((X61/$H61),1)*$H61),"")</f>
        <v>108</v>
      </c>
      <c r="Z61" s="37">
        <f>IFERROR(IF(Y61=0,"",ROUNDUP(Y61/H61,0)*0.01898),"")</f>
        <v>0.1898</v>
      </c>
      <c r="AA61" s="57"/>
      <c r="AB61" s="58"/>
      <c r="AC61" s="104" t="s">
        <v>135</v>
      </c>
      <c r="AG61" s="65"/>
      <c r="AJ61" s="69"/>
      <c r="AK61" s="69">
        <v>0</v>
      </c>
      <c r="BB61" s="105" t="s">
        <v>1</v>
      </c>
      <c r="BM61" s="65">
        <f>IFERROR(X61*I61/H61,"0")</f>
        <v>104.02777777777777</v>
      </c>
      <c r="BN61" s="65">
        <f>IFERROR(Y61*I61/H61,"0")</f>
        <v>112.34999999999998</v>
      </c>
      <c r="BO61" s="65">
        <f>IFERROR(1/J61*(X61/H61),"0")</f>
        <v>0.14467592592592593</v>
      </c>
      <c r="BP61" s="65">
        <f>IFERROR(1/J61*(Y61/H61),"0")</f>
        <v>0.15625</v>
      </c>
    </row>
    <row r="62" spans="1:68" ht="27" customHeight="1" x14ac:dyDescent="0.25">
      <c r="A62" s="55" t="s">
        <v>136</v>
      </c>
      <c r="B62" s="55" t="s">
        <v>137</v>
      </c>
      <c r="C62" s="32">
        <v>4301011476</v>
      </c>
      <c r="D62" s="396">
        <v>4680115881518</v>
      </c>
      <c r="E62" s="397"/>
      <c r="F62" s="388">
        <v>0.4</v>
      </c>
      <c r="G62" s="33">
        <v>10</v>
      </c>
      <c r="H62" s="388">
        <v>4</v>
      </c>
      <c r="I62" s="388">
        <v>4.21</v>
      </c>
      <c r="J62" s="33">
        <v>132</v>
      </c>
      <c r="K62" s="33" t="s">
        <v>94</v>
      </c>
      <c r="L62" s="33"/>
      <c r="M62" s="34" t="s">
        <v>95</v>
      </c>
      <c r="N62" s="34"/>
      <c r="O62" s="33">
        <v>50</v>
      </c>
      <c r="P62" s="6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394"/>
      <c r="R62" s="394"/>
      <c r="S62" s="394"/>
      <c r="T62" s="395"/>
      <c r="U62" s="35"/>
      <c r="V62" s="35"/>
      <c r="W62" s="36" t="s">
        <v>71</v>
      </c>
      <c r="X62" s="389">
        <v>0</v>
      </c>
      <c r="Y62" s="390">
        <f>IFERROR(IF(X62="",0,CEILING((X62/$H62),1)*$H62),"")</f>
        <v>0</v>
      </c>
      <c r="Z62" s="37" t="str">
        <f>IFERROR(IF(Y62=0,"",ROUNDUP(Y62/H62,0)*0.00902),"")</f>
        <v/>
      </c>
      <c r="AA62" s="57"/>
      <c r="AB62" s="58"/>
      <c r="AC62" s="106" t="s">
        <v>135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x14ac:dyDescent="0.2">
      <c r="A63" s="41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19"/>
      <c r="P63" s="401" t="s">
        <v>76</v>
      </c>
      <c r="Q63" s="402"/>
      <c r="R63" s="402"/>
      <c r="S63" s="402"/>
      <c r="T63" s="402"/>
      <c r="U63" s="402"/>
      <c r="V63" s="403"/>
      <c r="W63" s="38" t="s">
        <v>77</v>
      </c>
      <c r="X63" s="391">
        <f>IFERROR(X61/H61,"0")+IFERROR(X62/H62,"0")</f>
        <v>9.2592592592592595</v>
      </c>
      <c r="Y63" s="391">
        <f>IFERROR(Y61/H61,"0")+IFERROR(Y62/H62,"0")</f>
        <v>10</v>
      </c>
      <c r="Z63" s="391">
        <f>IFERROR(IF(Z61="",0,Z61),"0")+IFERROR(IF(Z62="",0,Z62),"0")</f>
        <v>0.1898</v>
      </c>
      <c r="AA63" s="392"/>
      <c r="AB63" s="392"/>
      <c r="AC63" s="392"/>
    </row>
    <row r="64" spans="1:68" x14ac:dyDescent="0.2">
      <c r="A64" s="408"/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19"/>
      <c r="P64" s="401" t="s">
        <v>76</v>
      </c>
      <c r="Q64" s="402"/>
      <c r="R64" s="402"/>
      <c r="S64" s="402"/>
      <c r="T64" s="402"/>
      <c r="U64" s="402"/>
      <c r="V64" s="403"/>
      <c r="W64" s="38" t="s">
        <v>71</v>
      </c>
      <c r="X64" s="391">
        <f>IFERROR(SUM(X61:X62),"0")</f>
        <v>100</v>
      </c>
      <c r="Y64" s="391">
        <f>IFERROR(SUM(Y61:Y62),"0")</f>
        <v>108</v>
      </c>
      <c r="Z64" s="38"/>
      <c r="AA64" s="392"/>
      <c r="AB64" s="392"/>
      <c r="AC64" s="392"/>
    </row>
    <row r="65" spans="1:68" ht="14.25" customHeight="1" x14ac:dyDescent="0.25">
      <c r="A65" s="410" t="s">
        <v>66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385"/>
      <c r="AB65" s="385"/>
      <c r="AC65" s="385"/>
    </row>
    <row r="66" spans="1:68" ht="16.5" customHeight="1" x14ac:dyDescent="0.25">
      <c r="A66" s="55" t="s">
        <v>138</v>
      </c>
      <c r="B66" s="55" t="s">
        <v>139</v>
      </c>
      <c r="C66" s="32">
        <v>4301051712</v>
      </c>
      <c r="D66" s="396">
        <v>4607091386967</v>
      </c>
      <c r="E66" s="397"/>
      <c r="F66" s="388">
        <v>1.35</v>
      </c>
      <c r="G66" s="33">
        <v>6</v>
      </c>
      <c r="H66" s="388">
        <v>8.1</v>
      </c>
      <c r="I66" s="388">
        <v>8.6189999999999998</v>
      </c>
      <c r="J66" s="33">
        <v>64</v>
      </c>
      <c r="K66" s="33" t="s">
        <v>89</v>
      </c>
      <c r="L66" s="33"/>
      <c r="M66" s="34" t="s">
        <v>112</v>
      </c>
      <c r="N66" s="34"/>
      <c r="O66" s="33">
        <v>45</v>
      </c>
      <c r="P66" s="493" t="s">
        <v>140</v>
      </c>
      <c r="Q66" s="394"/>
      <c r="R66" s="394"/>
      <c r="S66" s="394"/>
      <c r="T66" s="395"/>
      <c r="U66" s="35"/>
      <c r="V66" s="35"/>
      <c r="W66" s="36" t="s">
        <v>71</v>
      </c>
      <c r="X66" s="389">
        <v>100</v>
      </c>
      <c r="Y66" s="390">
        <f>IFERROR(IF(X66="",0,CEILING((X66/$H66),1)*$H66),"")</f>
        <v>105.3</v>
      </c>
      <c r="Z66" s="37">
        <f>IFERROR(IF(Y66=0,"",ROUNDUP(Y66/H66,0)*0.01898),"")</f>
        <v>0.24674000000000001</v>
      </c>
      <c r="AA66" s="57"/>
      <c r="AB66" s="58"/>
      <c r="AC66" s="108" t="s">
        <v>141</v>
      </c>
      <c r="AG66" s="65"/>
      <c r="AJ66" s="69"/>
      <c r="AK66" s="69">
        <v>0</v>
      </c>
      <c r="BB66" s="109" t="s">
        <v>1</v>
      </c>
      <c r="BM66" s="65">
        <f>IFERROR(X66*I66/H66,"0")</f>
        <v>106.4074074074074</v>
      </c>
      <c r="BN66" s="65">
        <f>IFERROR(Y66*I66/H66,"0")</f>
        <v>112.047</v>
      </c>
      <c r="BO66" s="65">
        <f>IFERROR(1/J66*(X66/H66),"0")</f>
        <v>0.19290123456790123</v>
      </c>
      <c r="BP66" s="65">
        <f>IFERROR(1/J66*(Y66/H66),"0")</f>
        <v>0.203125</v>
      </c>
    </row>
    <row r="67" spans="1:68" ht="27" customHeight="1" x14ac:dyDescent="0.25">
      <c r="A67" s="55" t="s">
        <v>142</v>
      </c>
      <c r="B67" s="55" t="s">
        <v>143</v>
      </c>
      <c r="C67" s="32">
        <v>4301051718</v>
      </c>
      <c r="D67" s="396">
        <v>4607091385731</v>
      </c>
      <c r="E67" s="397"/>
      <c r="F67" s="388">
        <v>0.45</v>
      </c>
      <c r="G67" s="33">
        <v>6</v>
      </c>
      <c r="H67" s="388">
        <v>2.7</v>
      </c>
      <c r="I67" s="388">
        <v>2.952</v>
      </c>
      <c r="J67" s="33">
        <v>182</v>
      </c>
      <c r="K67" s="33" t="s">
        <v>69</v>
      </c>
      <c r="L67" s="33"/>
      <c r="M67" s="34" t="s">
        <v>112</v>
      </c>
      <c r="N67" s="34"/>
      <c r="O67" s="33">
        <v>45</v>
      </c>
      <c r="P67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394"/>
      <c r="R67" s="394"/>
      <c r="S67" s="394"/>
      <c r="T67" s="395"/>
      <c r="U67" s="35"/>
      <c r="V67" s="35"/>
      <c r="W67" s="36" t="s">
        <v>71</v>
      </c>
      <c r="X67" s="389">
        <v>0</v>
      </c>
      <c r="Y67" s="390">
        <f>IFERROR(IF(X67="",0,CEILING((X67/$H67),1)*$H67),"")</f>
        <v>0</v>
      </c>
      <c r="Z67" s="37" t="str">
        <f>IFERROR(IF(Y67=0,"",ROUNDUP(Y67/H67,0)*0.00651),"")</f>
        <v/>
      </c>
      <c r="AA67" s="57"/>
      <c r="AB67" s="58"/>
      <c r="AC67" s="110" t="s">
        <v>141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16.5" customHeight="1" x14ac:dyDescent="0.25">
      <c r="A68" s="55" t="s">
        <v>144</v>
      </c>
      <c r="B68" s="55" t="s">
        <v>145</v>
      </c>
      <c r="C68" s="32">
        <v>4301051438</v>
      </c>
      <c r="D68" s="396">
        <v>4680115880894</v>
      </c>
      <c r="E68" s="397"/>
      <c r="F68" s="388">
        <v>0.33</v>
      </c>
      <c r="G68" s="33">
        <v>6</v>
      </c>
      <c r="H68" s="388">
        <v>1.98</v>
      </c>
      <c r="I68" s="388">
        <v>2.238</v>
      </c>
      <c r="J68" s="33">
        <v>182</v>
      </c>
      <c r="K68" s="33" t="s">
        <v>69</v>
      </c>
      <c r="L68" s="33"/>
      <c r="M68" s="34" t="s">
        <v>95</v>
      </c>
      <c r="N68" s="34"/>
      <c r="O68" s="33">
        <v>45</v>
      </c>
      <c r="P68" s="5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394"/>
      <c r="R68" s="394"/>
      <c r="S68" s="394"/>
      <c r="T68" s="395"/>
      <c r="U68" s="35"/>
      <c r="V68" s="35"/>
      <c r="W68" s="36" t="s">
        <v>71</v>
      </c>
      <c r="X68" s="389">
        <v>0</v>
      </c>
      <c r="Y68" s="390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x14ac:dyDescent="0.2">
      <c r="A69" s="418"/>
      <c r="B69" s="408"/>
      <c r="C69" s="408"/>
      <c r="D69" s="408"/>
      <c r="E69" s="408"/>
      <c r="F69" s="408"/>
      <c r="G69" s="408"/>
      <c r="H69" s="408"/>
      <c r="I69" s="408"/>
      <c r="J69" s="408"/>
      <c r="K69" s="408"/>
      <c r="L69" s="408"/>
      <c r="M69" s="408"/>
      <c r="N69" s="408"/>
      <c r="O69" s="419"/>
      <c r="P69" s="401" t="s">
        <v>76</v>
      </c>
      <c r="Q69" s="402"/>
      <c r="R69" s="402"/>
      <c r="S69" s="402"/>
      <c r="T69" s="402"/>
      <c r="U69" s="402"/>
      <c r="V69" s="403"/>
      <c r="W69" s="38" t="s">
        <v>77</v>
      </c>
      <c r="X69" s="391">
        <f>IFERROR(X66/H66,"0")+IFERROR(X67/H67,"0")+IFERROR(X68/H68,"0")</f>
        <v>12.345679012345679</v>
      </c>
      <c r="Y69" s="391">
        <f>IFERROR(Y66/H66,"0")+IFERROR(Y67/H67,"0")+IFERROR(Y68/H68,"0")</f>
        <v>13</v>
      </c>
      <c r="Z69" s="391">
        <f>IFERROR(IF(Z66="",0,Z66),"0")+IFERROR(IF(Z67="",0,Z67),"0")+IFERROR(IF(Z68="",0,Z68),"0")</f>
        <v>0.24674000000000001</v>
      </c>
      <c r="AA69" s="392"/>
      <c r="AB69" s="392"/>
      <c r="AC69" s="392"/>
    </row>
    <row r="70" spans="1:68" x14ac:dyDescent="0.2">
      <c r="A70" s="408"/>
      <c r="B70" s="408"/>
      <c r="C70" s="408"/>
      <c r="D70" s="408"/>
      <c r="E70" s="408"/>
      <c r="F70" s="408"/>
      <c r="G70" s="408"/>
      <c r="H70" s="408"/>
      <c r="I70" s="408"/>
      <c r="J70" s="408"/>
      <c r="K70" s="408"/>
      <c r="L70" s="408"/>
      <c r="M70" s="408"/>
      <c r="N70" s="408"/>
      <c r="O70" s="419"/>
      <c r="P70" s="401" t="s">
        <v>76</v>
      </c>
      <c r="Q70" s="402"/>
      <c r="R70" s="402"/>
      <c r="S70" s="402"/>
      <c r="T70" s="402"/>
      <c r="U70" s="402"/>
      <c r="V70" s="403"/>
      <c r="W70" s="38" t="s">
        <v>71</v>
      </c>
      <c r="X70" s="391">
        <f>IFERROR(SUM(X66:X68),"0")</f>
        <v>100</v>
      </c>
      <c r="Y70" s="391">
        <f>IFERROR(SUM(Y66:Y68),"0")</f>
        <v>105.3</v>
      </c>
      <c r="Z70" s="38"/>
      <c r="AA70" s="392"/>
      <c r="AB70" s="392"/>
      <c r="AC70" s="392"/>
    </row>
    <row r="71" spans="1:68" ht="16.5" customHeight="1" x14ac:dyDescent="0.25">
      <c r="A71" s="407" t="s">
        <v>147</v>
      </c>
      <c r="B71" s="408"/>
      <c r="C71" s="408"/>
      <c r="D71" s="408"/>
      <c r="E71" s="408"/>
      <c r="F71" s="408"/>
      <c r="G71" s="408"/>
      <c r="H71" s="408"/>
      <c r="I71" s="408"/>
      <c r="J71" s="408"/>
      <c r="K71" s="408"/>
      <c r="L71" s="408"/>
      <c r="M71" s="408"/>
      <c r="N71" s="408"/>
      <c r="O71" s="408"/>
      <c r="P71" s="408"/>
      <c r="Q71" s="408"/>
      <c r="R71" s="408"/>
      <c r="S71" s="408"/>
      <c r="T71" s="408"/>
      <c r="U71" s="408"/>
      <c r="V71" s="408"/>
      <c r="W71" s="408"/>
      <c r="X71" s="408"/>
      <c r="Y71" s="408"/>
      <c r="Z71" s="408"/>
      <c r="AA71" s="384"/>
      <c r="AB71" s="384"/>
      <c r="AC71" s="384"/>
    </row>
    <row r="72" spans="1:68" ht="14.25" customHeight="1" x14ac:dyDescent="0.25">
      <c r="A72" s="410" t="s">
        <v>86</v>
      </c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  <c r="AA72" s="385"/>
      <c r="AB72" s="385"/>
      <c r="AC72" s="385"/>
    </row>
    <row r="73" spans="1:68" ht="27" customHeight="1" x14ac:dyDescent="0.25">
      <c r="A73" s="55" t="s">
        <v>148</v>
      </c>
      <c r="B73" s="55" t="s">
        <v>149</v>
      </c>
      <c r="C73" s="32">
        <v>4301011514</v>
      </c>
      <c r="D73" s="396">
        <v>4680115882133</v>
      </c>
      <c r="E73" s="397"/>
      <c r="F73" s="388">
        <v>1.35</v>
      </c>
      <c r="G73" s="33">
        <v>8</v>
      </c>
      <c r="H73" s="388">
        <v>10.8</v>
      </c>
      <c r="I73" s="388">
        <v>11.234999999999999</v>
      </c>
      <c r="J73" s="33">
        <v>64</v>
      </c>
      <c r="K73" s="33" t="s">
        <v>89</v>
      </c>
      <c r="L73" s="33"/>
      <c r="M73" s="34" t="s">
        <v>90</v>
      </c>
      <c r="N73" s="34"/>
      <c r="O73" s="33">
        <v>50</v>
      </c>
      <c r="P73" s="3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394"/>
      <c r="R73" s="394"/>
      <c r="S73" s="394"/>
      <c r="T73" s="395"/>
      <c r="U73" s="35"/>
      <c r="V73" s="35"/>
      <c r="W73" s="36" t="s">
        <v>71</v>
      </c>
      <c r="X73" s="389">
        <v>0</v>
      </c>
      <c r="Y73" s="390">
        <f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14" t="s">
        <v>150</v>
      </c>
      <c r="AG73" s="65"/>
      <c r="AJ73" s="69"/>
      <c r="AK73" s="69">
        <v>0</v>
      </c>
      <c r="BB73" s="115" t="s">
        <v>1</v>
      </c>
      <c r="BM73" s="65">
        <f>IFERROR(X73*I73/H73,"0")</f>
        <v>0</v>
      </c>
      <c r="BN73" s="65">
        <f>IFERROR(Y73*I73/H73,"0")</f>
        <v>0</v>
      </c>
      <c r="BO73" s="65">
        <f>IFERROR(1/J73*(X73/H73),"0")</f>
        <v>0</v>
      </c>
      <c r="BP73" s="65">
        <f>IFERROR(1/J73*(Y73/H73),"0")</f>
        <v>0</v>
      </c>
    </row>
    <row r="74" spans="1:68" ht="27" customHeight="1" x14ac:dyDescent="0.25">
      <c r="A74" s="55" t="s">
        <v>151</v>
      </c>
      <c r="B74" s="55" t="s">
        <v>152</v>
      </c>
      <c r="C74" s="32">
        <v>4301011417</v>
      </c>
      <c r="D74" s="396">
        <v>4680115880269</v>
      </c>
      <c r="E74" s="397"/>
      <c r="F74" s="388">
        <v>0.375</v>
      </c>
      <c r="G74" s="33">
        <v>10</v>
      </c>
      <c r="H74" s="388">
        <v>3.75</v>
      </c>
      <c r="I74" s="388">
        <v>3.96</v>
      </c>
      <c r="J74" s="33">
        <v>132</v>
      </c>
      <c r="K74" s="33" t="s">
        <v>94</v>
      </c>
      <c r="L74" s="33"/>
      <c r="M74" s="34" t="s">
        <v>95</v>
      </c>
      <c r="N74" s="34"/>
      <c r="O74" s="33">
        <v>50</v>
      </c>
      <c r="P74" s="5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394"/>
      <c r="R74" s="394"/>
      <c r="S74" s="394"/>
      <c r="T74" s="395"/>
      <c r="U74" s="35"/>
      <c r="V74" s="35"/>
      <c r="W74" s="36" t="s">
        <v>71</v>
      </c>
      <c r="X74" s="389">
        <v>0</v>
      </c>
      <c r="Y74" s="390">
        <f>IFERROR(IF(X74="",0,CEILING((X74/$H74),1)*$H74),"")</f>
        <v>0</v>
      </c>
      <c r="Z74" s="37" t="str">
        <f>IFERROR(IF(Y74=0,"",ROUNDUP(Y74/H74,0)*0.00902),"")</f>
        <v/>
      </c>
      <c r="AA74" s="57"/>
      <c r="AB74" s="58"/>
      <c r="AC74" s="116" t="s">
        <v>150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153</v>
      </c>
      <c r="B75" s="55" t="s">
        <v>154</v>
      </c>
      <c r="C75" s="32">
        <v>4301011415</v>
      </c>
      <c r="D75" s="396">
        <v>4680115880429</v>
      </c>
      <c r="E75" s="397"/>
      <c r="F75" s="388">
        <v>0.45</v>
      </c>
      <c r="G75" s="33">
        <v>10</v>
      </c>
      <c r="H75" s="388">
        <v>4.5</v>
      </c>
      <c r="I75" s="388">
        <v>4.71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394"/>
      <c r="R75" s="394"/>
      <c r="S75" s="394"/>
      <c r="T75" s="395"/>
      <c r="U75" s="35"/>
      <c r="V75" s="35"/>
      <c r="W75" s="36" t="s">
        <v>71</v>
      </c>
      <c r="X75" s="389">
        <v>200</v>
      </c>
      <c r="Y75" s="390">
        <f>IFERROR(IF(X75="",0,CEILING((X75/$H75),1)*$H75),"")</f>
        <v>202.5</v>
      </c>
      <c r="Z75" s="37">
        <f>IFERROR(IF(Y75=0,"",ROUNDUP(Y75/H75,0)*0.00902),"")</f>
        <v>0.40590000000000004</v>
      </c>
      <c r="AA75" s="57"/>
      <c r="AB75" s="58"/>
      <c r="AC75" s="118" t="s">
        <v>150</v>
      </c>
      <c r="AG75" s="65"/>
      <c r="AJ75" s="69"/>
      <c r="AK75" s="69">
        <v>0</v>
      </c>
      <c r="BB75" s="119" t="s">
        <v>1</v>
      </c>
      <c r="BM75" s="65">
        <f>IFERROR(X75*I75/H75,"0")</f>
        <v>209.33333333333334</v>
      </c>
      <c r="BN75" s="65">
        <f>IFERROR(Y75*I75/H75,"0")</f>
        <v>211.95</v>
      </c>
      <c r="BO75" s="65">
        <f>IFERROR(1/J75*(X75/H75),"0")</f>
        <v>0.33670033670033672</v>
      </c>
      <c r="BP75" s="65">
        <f>IFERROR(1/J75*(Y75/H75),"0")</f>
        <v>0.34090909090909094</v>
      </c>
    </row>
    <row r="76" spans="1:68" ht="27" customHeight="1" x14ac:dyDescent="0.25">
      <c r="A76" s="55" t="s">
        <v>155</v>
      </c>
      <c r="B76" s="55" t="s">
        <v>156</v>
      </c>
      <c r="C76" s="32">
        <v>4301011462</v>
      </c>
      <c r="D76" s="396">
        <v>4680115881457</v>
      </c>
      <c r="E76" s="397"/>
      <c r="F76" s="388">
        <v>0.75</v>
      </c>
      <c r="G76" s="33">
        <v>6</v>
      </c>
      <c r="H76" s="388">
        <v>4.5</v>
      </c>
      <c r="I76" s="388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394"/>
      <c r="R76" s="394"/>
      <c r="S76" s="394"/>
      <c r="T76" s="395"/>
      <c r="U76" s="35"/>
      <c r="V76" s="35"/>
      <c r="W76" s="36" t="s">
        <v>71</v>
      </c>
      <c r="X76" s="389">
        <v>0</v>
      </c>
      <c r="Y76" s="390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150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x14ac:dyDescent="0.2">
      <c r="A77" s="418"/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19"/>
      <c r="P77" s="401" t="s">
        <v>76</v>
      </c>
      <c r="Q77" s="402"/>
      <c r="R77" s="402"/>
      <c r="S77" s="402"/>
      <c r="T77" s="402"/>
      <c r="U77" s="402"/>
      <c r="V77" s="403"/>
      <c r="W77" s="38" t="s">
        <v>77</v>
      </c>
      <c r="X77" s="391">
        <f>IFERROR(X73/H73,"0")+IFERROR(X74/H74,"0")+IFERROR(X75/H75,"0")+IFERROR(X76/H76,"0")</f>
        <v>44.444444444444443</v>
      </c>
      <c r="Y77" s="391">
        <f>IFERROR(Y73/H73,"0")+IFERROR(Y74/H74,"0")+IFERROR(Y75/H75,"0")+IFERROR(Y76/H76,"0")</f>
        <v>45</v>
      </c>
      <c r="Z77" s="391">
        <f>IFERROR(IF(Z73="",0,Z73),"0")+IFERROR(IF(Z74="",0,Z74),"0")+IFERROR(IF(Z75="",0,Z75),"0")+IFERROR(IF(Z76="",0,Z76),"0")</f>
        <v>0.40590000000000004</v>
      </c>
      <c r="AA77" s="392"/>
      <c r="AB77" s="392"/>
      <c r="AC77" s="392"/>
    </row>
    <row r="78" spans="1:68" x14ac:dyDescent="0.2">
      <c r="A78" s="408"/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19"/>
      <c r="P78" s="401" t="s">
        <v>76</v>
      </c>
      <c r="Q78" s="402"/>
      <c r="R78" s="402"/>
      <c r="S78" s="402"/>
      <c r="T78" s="402"/>
      <c r="U78" s="402"/>
      <c r="V78" s="403"/>
      <c r="W78" s="38" t="s">
        <v>71</v>
      </c>
      <c r="X78" s="391">
        <f>IFERROR(SUM(X73:X76),"0")</f>
        <v>200</v>
      </c>
      <c r="Y78" s="391">
        <f>IFERROR(SUM(Y73:Y76),"0")</f>
        <v>202.5</v>
      </c>
      <c r="Z78" s="38"/>
      <c r="AA78" s="392"/>
      <c r="AB78" s="392"/>
      <c r="AC78" s="392"/>
    </row>
    <row r="79" spans="1:68" ht="14.25" customHeight="1" x14ac:dyDescent="0.25">
      <c r="A79" s="410" t="s">
        <v>117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385"/>
      <c r="AB79" s="385"/>
      <c r="AC79" s="385"/>
    </row>
    <row r="80" spans="1:68" ht="16.5" customHeight="1" x14ac:dyDescent="0.25">
      <c r="A80" s="55" t="s">
        <v>157</v>
      </c>
      <c r="B80" s="55" t="s">
        <v>158</v>
      </c>
      <c r="C80" s="32">
        <v>4301020345</v>
      </c>
      <c r="D80" s="396">
        <v>4680115881488</v>
      </c>
      <c r="E80" s="397"/>
      <c r="F80" s="388">
        <v>1.35</v>
      </c>
      <c r="G80" s="33">
        <v>8</v>
      </c>
      <c r="H80" s="388">
        <v>10.8</v>
      </c>
      <c r="I80" s="388">
        <v>11.234999999999999</v>
      </c>
      <c r="J80" s="33">
        <v>64</v>
      </c>
      <c r="K80" s="33" t="s">
        <v>89</v>
      </c>
      <c r="L80" s="33"/>
      <c r="M80" s="34" t="s">
        <v>90</v>
      </c>
      <c r="N80" s="34"/>
      <c r="O80" s="33">
        <v>55</v>
      </c>
      <c r="P80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394"/>
      <c r="R80" s="394"/>
      <c r="S80" s="394"/>
      <c r="T80" s="395"/>
      <c r="U80" s="35"/>
      <c r="V80" s="35"/>
      <c r="W80" s="36" t="s">
        <v>71</v>
      </c>
      <c r="X80" s="389">
        <v>0</v>
      </c>
      <c r="Y80" s="390">
        <f>IFERROR(IF(X80="",0,CEILING((X80/$H80),1)*$H80),"")</f>
        <v>0</v>
      </c>
      <c r="Z80" s="37" t="str">
        <f>IFERROR(IF(Y80=0,"",ROUNDUP(Y80/H80,0)*0.01898),"")</f>
        <v/>
      </c>
      <c r="AA80" s="57"/>
      <c r="AB80" s="58"/>
      <c r="AC80" s="122" t="s">
        <v>159</v>
      </c>
      <c r="AG80" s="65"/>
      <c r="AJ80" s="69"/>
      <c r="AK80" s="69">
        <v>0</v>
      </c>
      <c r="BB80" s="123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ht="16.5" customHeight="1" x14ac:dyDescent="0.25">
      <c r="A81" s="55" t="s">
        <v>160</v>
      </c>
      <c r="B81" s="55" t="s">
        <v>161</v>
      </c>
      <c r="C81" s="32">
        <v>4301020346</v>
      </c>
      <c r="D81" s="396">
        <v>4680115882775</v>
      </c>
      <c r="E81" s="397"/>
      <c r="F81" s="388">
        <v>0.3</v>
      </c>
      <c r="G81" s="33">
        <v>8</v>
      </c>
      <c r="H81" s="388">
        <v>2.4</v>
      </c>
      <c r="I81" s="388">
        <v>2.5</v>
      </c>
      <c r="J81" s="33">
        <v>234</v>
      </c>
      <c r="K81" s="33" t="s">
        <v>162</v>
      </c>
      <c r="L81" s="33"/>
      <c r="M81" s="34" t="s">
        <v>90</v>
      </c>
      <c r="N81" s="34"/>
      <c r="O81" s="33">
        <v>55</v>
      </c>
      <c r="P81" s="4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394"/>
      <c r="R81" s="394"/>
      <c r="S81" s="394"/>
      <c r="T81" s="395"/>
      <c r="U81" s="35"/>
      <c r="V81" s="35"/>
      <c r="W81" s="36" t="s">
        <v>71</v>
      </c>
      <c r="X81" s="389">
        <v>0</v>
      </c>
      <c r="Y81" s="390">
        <f>IFERROR(IF(X81="",0,CEILING((X81/$H81),1)*$H81),"")</f>
        <v>0</v>
      </c>
      <c r="Z81" s="37" t="str">
        <f>IFERROR(IF(Y81=0,"",ROUNDUP(Y81/H81,0)*0.00502),"")</f>
        <v/>
      </c>
      <c r="AA81" s="57"/>
      <c r="AB81" s="58"/>
      <c r="AC81" s="124" t="s">
        <v>159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4301020344</v>
      </c>
      <c r="D82" s="396">
        <v>4680115880658</v>
      </c>
      <c r="E82" s="397"/>
      <c r="F82" s="388">
        <v>0.4</v>
      </c>
      <c r="G82" s="33">
        <v>6</v>
      </c>
      <c r="H82" s="388">
        <v>2.4</v>
      </c>
      <c r="I82" s="388">
        <v>2.58</v>
      </c>
      <c r="J82" s="33">
        <v>182</v>
      </c>
      <c r="K82" s="33" t="s">
        <v>69</v>
      </c>
      <c r="L82" s="33"/>
      <c r="M82" s="34" t="s">
        <v>90</v>
      </c>
      <c r="N82" s="34"/>
      <c r="O82" s="33">
        <v>55</v>
      </c>
      <c r="P82" s="6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394"/>
      <c r="R82" s="394"/>
      <c r="S82" s="394"/>
      <c r="T82" s="395"/>
      <c r="U82" s="35"/>
      <c r="V82" s="35"/>
      <c r="W82" s="36" t="s">
        <v>71</v>
      </c>
      <c r="X82" s="389">
        <v>0</v>
      </c>
      <c r="Y82" s="390">
        <f>IFERROR(IF(X82="",0,CEILING((X82/$H82),1)*$H82),"")</f>
        <v>0</v>
      </c>
      <c r="Z82" s="37" t="str">
        <f>IFERROR(IF(Y82=0,"",ROUNDUP(Y82/H82,0)*0.00651),"")</f>
        <v/>
      </c>
      <c r="AA82" s="57"/>
      <c r="AB82" s="58"/>
      <c r="AC82" s="126" t="s">
        <v>159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x14ac:dyDescent="0.2">
      <c r="A83" s="41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19"/>
      <c r="P83" s="401" t="s">
        <v>76</v>
      </c>
      <c r="Q83" s="402"/>
      <c r="R83" s="402"/>
      <c r="S83" s="402"/>
      <c r="T83" s="402"/>
      <c r="U83" s="402"/>
      <c r="V83" s="403"/>
      <c r="W83" s="38" t="s">
        <v>77</v>
      </c>
      <c r="X83" s="391">
        <f>IFERROR(X80/H80,"0")+IFERROR(X81/H81,"0")+IFERROR(X82/H82,"0")</f>
        <v>0</v>
      </c>
      <c r="Y83" s="391">
        <f>IFERROR(Y80/H80,"0")+IFERROR(Y81/H81,"0")+IFERROR(Y82/H82,"0")</f>
        <v>0</v>
      </c>
      <c r="Z83" s="391">
        <f>IFERROR(IF(Z80="",0,Z80),"0")+IFERROR(IF(Z81="",0,Z81),"0")+IFERROR(IF(Z82="",0,Z82),"0")</f>
        <v>0</v>
      </c>
      <c r="AA83" s="392"/>
      <c r="AB83" s="392"/>
      <c r="AC83" s="392"/>
    </row>
    <row r="84" spans="1:68" x14ac:dyDescent="0.2">
      <c r="A84" s="408"/>
      <c r="B84" s="408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19"/>
      <c r="P84" s="401" t="s">
        <v>76</v>
      </c>
      <c r="Q84" s="402"/>
      <c r="R84" s="402"/>
      <c r="S84" s="402"/>
      <c r="T84" s="402"/>
      <c r="U84" s="402"/>
      <c r="V84" s="403"/>
      <c r="W84" s="38" t="s">
        <v>71</v>
      </c>
      <c r="X84" s="391">
        <f>IFERROR(SUM(X80:X82),"0")</f>
        <v>0</v>
      </c>
      <c r="Y84" s="391">
        <f>IFERROR(SUM(Y80:Y82),"0")</f>
        <v>0</v>
      </c>
      <c r="Z84" s="38"/>
      <c r="AA84" s="392"/>
      <c r="AB84" s="392"/>
      <c r="AC84" s="392"/>
    </row>
    <row r="85" spans="1:68" ht="14.25" customHeight="1" x14ac:dyDescent="0.25">
      <c r="A85" s="410" t="s">
        <v>66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385"/>
      <c r="AB85" s="385"/>
      <c r="AC85" s="385"/>
    </row>
    <row r="86" spans="1:68" ht="16.5" customHeight="1" x14ac:dyDescent="0.25">
      <c r="A86" s="55" t="s">
        <v>165</v>
      </c>
      <c r="B86" s="55" t="s">
        <v>166</v>
      </c>
      <c r="C86" s="32">
        <v>4301051724</v>
      </c>
      <c r="D86" s="396">
        <v>4607091385168</v>
      </c>
      <c r="E86" s="397"/>
      <c r="F86" s="388">
        <v>1.35</v>
      </c>
      <c r="G86" s="33">
        <v>6</v>
      </c>
      <c r="H86" s="388">
        <v>8.1</v>
      </c>
      <c r="I86" s="388">
        <v>8.6129999999999995</v>
      </c>
      <c r="J86" s="33">
        <v>64</v>
      </c>
      <c r="K86" s="33" t="s">
        <v>89</v>
      </c>
      <c r="L86" s="33"/>
      <c r="M86" s="34" t="s">
        <v>112</v>
      </c>
      <c r="N86" s="34"/>
      <c r="O86" s="33">
        <v>45</v>
      </c>
      <c r="P86" s="4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394"/>
      <c r="R86" s="394"/>
      <c r="S86" s="394"/>
      <c r="T86" s="395"/>
      <c r="U86" s="35"/>
      <c r="V86" s="35"/>
      <c r="W86" s="36" t="s">
        <v>71</v>
      </c>
      <c r="X86" s="389">
        <v>500</v>
      </c>
      <c r="Y86" s="390">
        <f>IFERROR(IF(X86="",0,CEILING((X86/$H86),1)*$H86),"")</f>
        <v>502.2</v>
      </c>
      <c r="Z86" s="37">
        <f>IFERROR(IF(Y86=0,"",ROUNDUP(Y86/H86,0)*0.01898),"")</f>
        <v>1.17676</v>
      </c>
      <c r="AA86" s="57"/>
      <c r="AB86" s="58"/>
      <c r="AC86" s="128" t="s">
        <v>167</v>
      </c>
      <c r="AG86" s="65"/>
      <c r="AJ86" s="69"/>
      <c r="AK86" s="69">
        <v>0</v>
      </c>
      <c r="BB86" s="129" t="s">
        <v>1</v>
      </c>
      <c r="BM86" s="65">
        <f>IFERROR(X86*I86/H86,"0")</f>
        <v>531.66666666666674</v>
      </c>
      <c r="BN86" s="65">
        <f>IFERROR(Y86*I86/H86,"0")</f>
        <v>534.00599999999997</v>
      </c>
      <c r="BO86" s="65">
        <f>IFERROR(1/J86*(X86/H86),"0")</f>
        <v>0.96450617283950624</v>
      </c>
      <c r="BP86" s="65">
        <f>IFERROR(1/J86*(Y86/H86),"0")</f>
        <v>0.96875</v>
      </c>
    </row>
    <row r="87" spans="1:68" ht="27" customHeight="1" x14ac:dyDescent="0.25">
      <c r="A87" s="55" t="s">
        <v>168</v>
      </c>
      <c r="B87" s="55" t="s">
        <v>169</v>
      </c>
      <c r="C87" s="32">
        <v>4301051730</v>
      </c>
      <c r="D87" s="396">
        <v>4607091383256</v>
      </c>
      <c r="E87" s="397"/>
      <c r="F87" s="388">
        <v>0.33</v>
      </c>
      <c r="G87" s="33">
        <v>6</v>
      </c>
      <c r="H87" s="388">
        <v>1.98</v>
      </c>
      <c r="I87" s="388">
        <v>2.226</v>
      </c>
      <c r="J87" s="33">
        <v>182</v>
      </c>
      <c r="K87" s="33" t="s">
        <v>69</v>
      </c>
      <c r="L87" s="33"/>
      <c r="M87" s="34" t="s">
        <v>112</v>
      </c>
      <c r="N87" s="34"/>
      <c r="O87" s="33">
        <v>45</v>
      </c>
      <c r="P87" s="5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394"/>
      <c r="R87" s="394"/>
      <c r="S87" s="394"/>
      <c r="T87" s="395"/>
      <c r="U87" s="35"/>
      <c r="V87" s="35"/>
      <c r="W87" s="36" t="s">
        <v>71</v>
      </c>
      <c r="X87" s="389">
        <v>0</v>
      </c>
      <c r="Y87" s="390">
        <f>IFERROR(IF(X87="",0,CEILING((X87/$H87),1)*$H87),"")</f>
        <v>0</v>
      </c>
      <c r="Z87" s="37" t="str">
        <f>IFERROR(IF(Y87=0,"",ROUNDUP(Y87/H87,0)*0.00651),"")</f>
        <v/>
      </c>
      <c r="AA87" s="57"/>
      <c r="AB87" s="58"/>
      <c r="AC87" s="130" t="s">
        <v>167</v>
      </c>
      <c r="AG87" s="65"/>
      <c r="AJ87" s="69"/>
      <c r="AK87" s="69">
        <v>0</v>
      </c>
      <c r="BB87" s="131" t="s">
        <v>1</v>
      </c>
      <c r="BM87" s="65">
        <f>IFERROR(X87*I87/H87,"0")</f>
        <v>0</v>
      </c>
      <c r="BN87" s="65">
        <f>IFERROR(Y87*I87/H87,"0")</f>
        <v>0</v>
      </c>
      <c r="BO87" s="65">
        <f>IFERROR(1/J87*(X87/H87),"0")</f>
        <v>0</v>
      </c>
      <c r="BP87" s="65">
        <f>IFERROR(1/J87*(Y87/H87),"0")</f>
        <v>0</v>
      </c>
    </row>
    <row r="88" spans="1:68" ht="27" customHeight="1" x14ac:dyDescent="0.25">
      <c r="A88" s="55" t="s">
        <v>170</v>
      </c>
      <c r="B88" s="55" t="s">
        <v>171</v>
      </c>
      <c r="C88" s="32">
        <v>4301051721</v>
      </c>
      <c r="D88" s="396">
        <v>4607091385748</v>
      </c>
      <c r="E88" s="397"/>
      <c r="F88" s="388">
        <v>0.45</v>
      </c>
      <c r="G88" s="33">
        <v>6</v>
      </c>
      <c r="H88" s="388">
        <v>2.7</v>
      </c>
      <c r="I88" s="388">
        <v>2.952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394"/>
      <c r="R88" s="394"/>
      <c r="S88" s="394"/>
      <c r="T88" s="395"/>
      <c r="U88" s="35"/>
      <c r="V88" s="35"/>
      <c r="W88" s="36" t="s">
        <v>71</v>
      </c>
      <c r="X88" s="389">
        <v>50</v>
      </c>
      <c r="Y88" s="390">
        <f>IFERROR(IF(X88="",0,CEILING((X88/$H88),1)*$H88),"")</f>
        <v>51.300000000000004</v>
      </c>
      <c r="Z88" s="37">
        <f>IFERROR(IF(Y88=0,"",ROUNDUP(Y88/H88,0)*0.00651),"")</f>
        <v>0.12369000000000001</v>
      </c>
      <c r="AA88" s="57"/>
      <c r="AB88" s="58"/>
      <c r="AC88" s="132" t="s">
        <v>167</v>
      </c>
      <c r="AG88" s="65"/>
      <c r="AJ88" s="69"/>
      <c r="AK88" s="69">
        <v>0</v>
      </c>
      <c r="BB88" s="133" t="s">
        <v>1</v>
      </c>
      <c r="BM88" s="65">
        <f>IFERROR(X88*I88/H88,"0")</f>
        <v>54.666666666666664</v>
      </c>
      <c r="BN88" s="65">
        <f>IFERROR(Y88*I88/H88,"0")</f>
        <v>56.088000000000001</v>
      </c>
      <c r="BO88" s="65">
        <f>IFERROR(1/J88*(X88/H88),"0")</f>
        <v>0.10175010175010175</v>
      </c>
      <c r="BP88" s="65">
        <f>IFERROR(1/J88*(Y88/H88),"0")</f>
        <v>0.1043956043956044</v>
      </c>
    </row>
    <row r="89" spans="1:68" x14ac:dyDescent="0.2">
      <c r="A89" s="41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19"/>
      <c r="P89" s="401" t="s">
        <v>76</v>
      </c>
      <c r="Q89" s="402"/>
      <c r="R89" s="402"/>
      <c r="S89" s="402"/>
      <c r="T89" s="402"/>
      <c r="U89" s="402"/>
      <c r="V89" s="403"/>
      <c r="W89" s="38" t="s">
        <v>77</v>
      </c>
      <c r="X89" s="391">
        <f>IFERROR(X86/H86,"0")+IFERROR(X87/H87,"0")+IFERROR(X88/H88,"0")</f>
        <v>80.246913580246911</v>
      </c>
      <c r="Y89" s="391">
        <f>IFERROR(Y86/H86,"0")+IFERROR(Y87/H87,"0")+IFERROR(Y88/H88,"0")</f>
        <v>81</v>
      </c>
      <c r="Z89" s="391">
        <f>IFERROR(IF(Z86="",0,Z86),"0")+IFERROR(IF(Z87="",0,Z87),"0")+IFERROR(IF(Z88="",0,Z88),"0")</f>
        <v>1.3004500000000001</v>
      </c>
      <c r="AA89" s="392"/>
      <c r="AB89" s="392"/>
      <c r="AC89" s="392"/>
    </row>
    <row r="90" spans="1:68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19"/>
      <c r="P90" s="401" t="s">
        <v>76</v>
      </c>
      <c r="Q90" s="402"/>
      <c r="R90" s="402"/>
      <c r="S90" s="402"/>
      <c r="T90" s="402"/>
      <c r="U90" s="402"/>
      <c r="V90" s="403"/>
      <c r="W90" s="38" t="s">
        <v>71</v>
      </c>
      <c r="X90" s="391">
        <f>IFERROR(SUM(X86:X88),"0")</f>
        <v>550</v>
      </c>
      <c r="Y90" s="391">
        <f>IFERROR(SUM(Y86:Y88),"0")</f>
        <v>553.5</v>
      </c>
      <c r="Z90" s="38"/>
      <c r="AA90" s="392"/>
      <c r="AB90" s="392"/>
      <c r="AC90" s="392"/>
    </row>
    <row r="91" spans="1:68" ht="14.25" customHeight="1" x14ac:dyDescent="0.25">
      <c r="A91" s="410" t="s">
        <v>125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385"/>
      <c r="AB91" s="385"/>
      <c r="AC91" s="385"/>
    </row>
    <row r="92" spans="1:68" ht="16.5" customHeight="1" x14ac:dyDescent="0.25">
      <c r="A92" s="55" t="s">
        <v>172</v>
      </c>
      <c r="B92" s="55" t="s">
        <v>173</v>
      </c>
      <c r="C92" s="32">
        <v>4301060317</v>
      </c>
      <c r="D92" s="396">
        <v>4680115880238</v>
      </c>
      <c r="E92" s="397"/>
      <c r="F92" s="388">
        <v>0.33</v>
      </c>
      <c r="G92" s="33">
        <v>6</v>
      </c>
      <c r="H92" s="388">
        <v>1.98</v>
      </c>
      <c r="I92" s="388">
        <v>2.238</v>
      </c>
      <c r="J92" s="33">
        <v>182</v>
      </c>
      <c r="K92" s="33" t="s">
        <v>69</v>
      </c>
      <c r="L92" s="33"/>
      <c r="M92" s="34" t="s">
        <v>95</v>
      </c>
      <c r="N92" s="34"/>
      <c r="O92" s="33">
        <v>40</v>
      </c>
      <c r="P92" s="4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394"/>
      <c r="R92" s="394"/>
      <c r="S92" s="394"/>
      <c r="T92" s="395"/>
      <c r="U92" s="35"/>
      <c r="V92" s="35"/>
      <c r="W92" s="36" t="s">
        <v>71</v>
      </c>
      <c r="X92" s="389">
        <v>0</v>
      </c>
      <c r="Y92" s="390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34" t="s">
        <v>174</v>
      </c>
      <c r="AG92" s="65"/>
      <c r="AJ92" s="69"/>
      <c r="AK92" s="69">
        <v>0</v>
      </c>
      <c r="BB92" s="135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x14ac:dyDescent="0.2">
      <c r="A93" s="418"/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19"/>
      <c r="P93" s="401" t="s">
        <v>76</v>
      </c>
      <c r="Q93" s="402"/>
      <c r="R93" s="402"/>
      <c r="S93" s="402"/>
      <c r="T93" s="402"/>
      <c r="U93" s="402"/>
      <c r="V93" s="403"/>
      <c r="W93" s="38" t="s">
        <v>77</v>
      </c>
      <c r="X93" s="391">
        <f>IFERROR(X92/H92,"0")</f>
        <v>0</v>
      </c>
      <c r="Y93" s="391">
        <f>IFERROR(Y92/H92,"0")</f>
        <v>0</v>
      </c>
      <c r="Z93" s="391">
        <f>IFERROR(IF(Z92="",0,Z92),"0")</f>
        <v>0</v>
      </c>
      <c r="AA93" s="392"/>
      <c r="AB93" s="392"/>
      <c r="AC93" s="392"/>
    </row>
    <row r="94" spans="1:68" x14ac:dyDescent="0.2">
      <c r="A94" s="408"/>
      <c r="B94" s="408"/>
      <c r="C94" s="408"/>
      <c r="D94" s="408"/>
      <c r="E94" s="408"/>
      <c r="F94" s="408"/>
      <c r="G94" s="408"/>
      <c r="H94" s="408"/>
      <c r="I94" s="408"/>
      <c r="J94" s="408"/>
      <c r="K94" s="408"/>
      <c r="L94" s="408"/>
      <c r="M94" s="408"/>
      <c r="N94" s="408"/>
      <c r="O94" s="419"/>
      <c r="P94" s="401" t="s">
        <v>76</v>
      </c>
      <c r="Q94" s="402"/>
      <c r="R94" s="402"/>
      <c r="S94" s="402"/>
      <c r="T94" s="402"/>
      <c r="U94" s="402"/>
      <c r="V94" s="403"/>
      <c r="W94" s="38" t="s">
        <v>71</v>
      </c>
      <c r="X94" s="391">
        <f>IFERROR(SUM(X92:X92),"0")</f>
        <v>0</v>
      </c>
      <c r="Y94" s="391">
        <f>IFERROR(SUM(Y92:Y92),"0")</f>
        <v>0</v>
      </c>
      <c r="Z94" s="38"/>
      <c r="AA94" s="392"/>
      <c r="AB94" s="392"/>
      <c r="AC94" s="392"/>
    </row>
    <row r="95" spans="1:68" ht="16.5" customHeight="1" x14ac:dyDescent="0.25">
      <c r="A95" s="407" t="s">
        <v>84</v>
      </c>
      <c r="B95" s="408"/>
      <c r="C95" s="408"/>
      <c r="D95" s="408"/>
      <c r="E95" s="408"/>
      <c r="F95" s="408"/>
      <c r="G95" s="408"/>
      <c r="H95" s="408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  <c r="V95" s="408"/>
      <c r="W95" s="408"/>
      <c r="X95" s="408"/>
      <c r="Y95" s="408"/>
      <c r="Z95" s="408"/>
      <c r="AA95" s="384"/>
      <c r="AB95" s="384"/>
      <c r="AC95" s="384"/>
    </row>
    <row r="96" spans="1:68" ht="14.25" customHeight="1" x14ac:dyDescent="0.25">
      <c r="A96" s="410" t="s">
        <v>86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  <c r="AA96" s="385"/>
      <c r="AB96" s="385"/>
      <c r="AC96" s="385"/>
    </row>
    <row r="97" spans="1:68" ht="27" customHeight="1" x14ac:dyDescent="0.25">
      <c r="A97" s="55" t="s">
        <v>175</v>
      </c>
      <c r="B97" s="55" t="s">
        <v>176</v>
      </c>
      <c r="C97" s="32">
        <v>4301011705</v>
      </c>
      <c r="D97" s="396">
        <v>4607091384604</v>
      </c>
      <c r="E97" s="397"/>
      <c r="F97" s="388">
        <v>0.4</v>
      </c>
      <c r="G97" s="33">
        <v>10</v>
      </c>
      <c r="H97" s="388">
        <v>4</v>
      </c>
      <c r="I97" s="388">
        <v>4.21</v>
      </c>
      <c r="J97" s="33">
        <v>132</v>
      </c>
      <c r="K97" s="33" t="s">
        <v>94</v>
      </c>
      <c r="L97" s="33"/>
      <c r="M97" s="34" t="s">
        <v>90</v>
      </c>
      <c r="N97" s="34"/>
      <c r="O97" s="33">
        <v>50</v>
      </c>
      <c r="P97" s="4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394"/>
      <c r="R97" s="394"/>
      <c r="S97" s="394"/>
      <c r="T97" s="395"/>
      <c r="U97" s="35"/>
      <c r="V97" s="35"/>
      <c r="W97" s="36" t="s">
        <v>71</v>
      </c>
      <c r="X97" s="389">
        <v>0</v>
      </c>
      <c r="Y97" s="390">
        <f>IFERROR(IF(X97="",0,CEILING((X97/$H97),1)*$H97),"")</f>
        <v>0</v>
      </c>
      <c r="Z97" s="37" t="str">
        <f>IFERROR(IF(Y97=0,"",ROUNDUP(Y97/H97,0)*0.00902),"")</f>
        <v/>
      </c>
      <c r="AA97" s="57"/>
      <c r="AB97" s="58"/>
      <c r="AC97" s="136" t="s">
        <v>177</v>
      </c>
      <c r="AG97" s="65"/>
      <c r="AJ97" s="69"/>
      <c r="AK97" s="69">
        <v>0</v>
      </c>
      <c r="BB97" s="137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16.5" customHeight="1" x14ac:dyDescent="0.25">
      <c r="A98" s="55" t="s">
        <v>178</v>
      </c>
      <c r="B98" s="55" t="s">
        <v>179</v>
      </c>
      <c r="C98" s="32">
        <v>4301012179</v>
      </c>
      <c r="D98" s="396">
        <v>4680115886810</v>
      </c>
      <c r="E98" s="397"/>
      <c r="F98" s="388">
        <v>0.3</v>
      </c>
      <c r="G98" s="33">
        <v>10</v>
      </c>
      <c r="H98" s="388">
        <v>3</v>
      </c>
      <c r="I98" s="388">
        <v>3.18</v>
      </c>
      <c r="J98" s="33">
        <v>182</v>
      </c>
      <c r="K98" s="33" t="s">
        <v>69</v>
      </c>
      <c r="L98" s="33"/>
      <c r="M98" s="34" t="s">
        <v>90</v>
      </c>
      <c r="N98" s="34"/>
      <c r="O98" s="33">
        <v>55</v>
      </c>
      <c r="P98" s="574" t="s">
        <v>180</v>
      </c>
      <c r="Q98" s="394"/>
      <c r="R98" s="394"/>
      <c r="S98" s="394"/>
      <c r="T98" s="395"/>
      <c r="U98" s="35"/>
      <c r="V98" s="35"/>
      <c r="W98" s="36" t="s">
        <v>71</v>
      </c>
      <c r="X98" s="389">
        <v>0</v>
      </c>
      <c r="Y98" s="390">
        <f>IFERROR(IF(X98="",0,CEILING((X98/$H98),1)*$H98),"")</f>
        <v>0</v>
      </c>
      <c r="Z98" s="37" t="str">
        <f>IFERROR(IF(Y98=0,"",ROUNDUP(Y98/H98,0)*0.00651),"")</f>
        <v/>
      </c>
      <c r="AA98" s="57"/>
      <c r="AB98" s="58"/>
      <c r="AC98" s="138" t="s">
        <v>181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1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19"/>
      <c r="P99" s="401" t="s">
        <v>76</v>
      </c>
      <c r="Q99" s="402"/>
      <c r="R99" s="402"/>
      <c r="S99" s="402"/>
      <c r="T99" s="402"/>
      <c r="U99" s="402"/>
      <c r="V99" s="403"/>
      <c r="W99" s="38" t="s">
        <v>77</v>
      </c>
      <c r="X99" s="391">
        <f>IFERROR(X97/H97,"0")+IFERROR(X98/H98,"0")</f>
        <v>0</v>
      </c>
      <c r="Y99" s="391">
        <f>IFERROR(Y97/H97,"0")+IFERROR(Y98/H98,"0")</f>
        <v>0</v>
      </c>
      <c r="Z99" s="391">
        <f>IFERROR(IF(Z97="",0,Z97),"0")+IFERROR(IF(Z98="",0,Z98),"0")</f>
        <v>0</v>
      </c>
      <c r="AA99" s="392"/>
      <c r="AB99" s="392"/>
      <c r="AC99" s="392"/>
    </row>
    <row r="100" spans="1:68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19"/>
      <c r="P100" s="401" t="s">
        <v>76</v>
      </c>
      <c r="Q100" s="402"/>
      <c r="R100" s="402"/>
      <c r="S100" s="402"/>
      <c r="T100" s="402"/>
      <c r="U100" s="402"/>
      <c r="V100" s="403"/>
      <c r="W100" s="38" t="s">
        <v>71</v>
      </c>
      <c r="X100" s="391">
        <f>IFERROR(SUM(X97:X98),"0")</f>
        <v>0</v>
      </c>
      <c r="Y100" s="391">
        <f>IFERROR(SUM(Y97:Y98),"0")</f>
        <v>0</v>
      </c>
      <c r="Z100" s="38"/>
      <c r="AA100" s="392"/>
      <c r="AB100" s="392"/>
      <c r="AC100" s="392"/>
    </row>
    <row r="101" spans="1:68" ht="14.25" customHeight="1" x14ac:dyDescent="0.25">
      <c r="A101" s="410" t="s">
        <v>182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385"/>
      <c r="AB101" s="385"/>
      <c r="AC101" s="385"/>
    </row>
    <row r="102" spans="1:68" ht="16.5" customHeight="1" x14ac:dyDescent="0.25">
      <c r="A102" s="55" t="s">
        <v>183</v>
      </c>
      <c r="B102" s="55" t="s">
        <v>184</v>
      </c>
      <c r="C102" s="32">
        <v>4301030895</v>
      </c>
      <c r="D102" s="396">
        <v>4607091387667</v>
      </c>
      <c r="E102" s="397"/>
      <c r="F102" s="388">
        <v>0.9</v>
      </c>
      <c r="G102" s="33">
        <v>10</v>
      </c>
      <c r="H102" s="388">
        <v>9</v>
      </c>
      <c r="I102" s="388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4"/>
      <c r="R102" s="394"/>
      <c r="S102" s="394"/>
      <c r="T102" s="395"/>
      <c r="U102" s="35"/>
      <c r="V102" s="35"/>
      <c r="W102" s="36" t="s">
        <v>71</v>
      </c>
      <c r="X102" s="389">
        <v>0</v>
      </c>
      <c r="Y102" s="390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185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186</v>
      </c>
      <c r="B103" s="55" t="s">
        <v>187</v>
      </c>
      <c r="C103" s="32">
        <v>4301030961</v>
      </c>
      <c r="D103" s="396">
        <v>4607091387636</v>
      </c>
      <c r="E103" s="397"/>
      <c r="F103" s="388">
        <v>0.7</v>
      </c>
      <c r="G103" s="33">
        <v>6</v>
      </c>
      <c r="H103" s="388">
        <v>4.2</v>
      </c>
      <c r="I103" s="388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4"/>
      <c r="R103" s="394"/>
      <c r="S103" s="394"/>
      <c r="T103" s="395"/>
      <c r="U103" s="35"/>
      <c r="V103" s="35"/>
      <c r="W103" s="36" t="s">
        <v>71</v>
      </c>
      <c r="X103" s="389">
        <v>0</v>
      </c>
      <c r="Y103" s="390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188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189</v>
      </c>
      <c r="B104" s="55" t="s">
        <v>190</v>
      </c>
      <c r="C104" s="32">
        <v>4301030963</v>
      </c>
      <c r="D104" s="396">
        <v>4607091382426</v>
      </c>
      <c r="E104" s="397"/>
      <c r="F104" s="388">
        <v>0.9</v>
      </c>
      <c r="G104" s="33">
        <v>10</v>
      </c>
      <c r="H104" s="388">
        <v>9</v>
      </c>
      <c r="I104" s="388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4"/>
      <c r="R104" s="394"/>
      <c r="S104" s="394"/>
      <c r="T104" s="395"/>
      <c r="U104" s="35"/>
      <c r="V104" s="35"/>
      <c r="W104" s="36" t="s">
        <v>71</v>
      </c>
      <c r="X104" s="389">
        <v>0</v>
      </c>
      <c r="Y104" s="390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191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18"/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19"/>
      <c r="P105" s="401" t="s">
        <v>76</v>
      </c>
      <c r="Q105" s="402"/>
      <c r="R105" s="402"/>
      <c r="S105" s="402"/>
      <c r="T105" s="402"/>
      <c r="U105" s="402"/>
      <c r="V105" s="403"/>
      <c r="W105" s="38" t="s">
        <v>77</v>
      </c>
      <c r="X105" s="391">
        <f>IFERROR(X102/H102,"0")+IFERROR(X103/H103,"0")+IFERROR(X104/H104,"0")</f>
        <v>0</v>
      </c>
      <c r="Y105" s="391">
        <f>IFERROR(Y102/H102,"0")+IFERROR(Y103/H103,"0")+IFERROR(Y104/H104,"0")</f>
        <v>0</v>
      </c>
      <c r="Z105" s="391">
        <f>IFERROR(IF(Z102="",0,Z102),"0")+IFERROR(IF(Z103="",0,Z103),"0")+IFERROR(IF(Z104="",0,Z104),"0")</f>
        <v>0</v>
      </c>
      <c r="AA105" s="392"/>
      <c r="AB105" s="392"/>
      <c r="AC105" s="392"/>
    </row>
    <row r="106" spans="1:68" x14ac:dyDescent="0.2">
      <c r="A106" s="408"/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19"/>
      <c r="P106" s="401" t="s">
        <v>76</v>
      </c>
      <c r="Q106" s="402"/>
      <c r="R106" s="402"/>
      <c r="S106" s="402"/>
      <c r="T106" s="402"/>
      <c r="U106" s="402"/>
      <c r="V106" s="403"/>
      <c r="W106" s="38" t="s">
        <v>71</v>
      </c>
      <c r="X106" s="391">
        <f>IFERROR(SUM(X102:X104),"0")</f>
        <v>0</v>
      </c>
      <c r="Y106" s="391">
        <f>IFERROR(SUM(Y102:Y104),"0")</f>
        <v>0</v>
      </c>
      <c r="Z106" s="38"/>
      <c r="AA106" s="392"/>
      <c r="AB106" s="392"/>
      <c r="AC106" s="392"/>
    </row>
    <row r="107" spans="1:68" ht="27.75" customHeight="1" x14ac:dyDescent="0.2">
      <c r="A107" s="476" t="s">
        <v>192</v>
      </c>
      <c r="B107" s="477"/>
      <c r="C107" s="477"/>
      <c r="D107" s="477"/>
      <c r="E107" s="477"/>
      <c r="F107" s="477"/>
      <c r="G107" s="477"/>
      <c r="H107" s="477"/>
      <c r="I107" s="477"/>
      <c r="J107" s="477"/>
      <c r="K107" s="477"/>
      <c r="L107" s="477"/>
      <c r="M107" s="477"/>
      <c r="N107" s="477"/>
      <c r="O107" s="477"/>
      <c r="P107" s="477"/>
      <c r="Q107" s="477"/>
      <c r="R107" s="477"/>
      <c r="S107" s="477"/>
      <c r="T107" s="477"/>
      <c r="U107" s="477"/>
      <c r="V107" s="477"/>
      <c r="W107" s="477"/>
      <c r="X107" s="477"/>
      <c r="Y107" s="477"/>
      <c r="Z107" s="477"/>
      <c r="AA107" s="49"/>
      <c r="AB107" s="49"/>
      <c r="AC107" s="49"/>
    </row>
    <row r="108" spans="1:68" ht="16.5" customHeight="1" x14ac:dyDescent="0.25">
      <c r="A108" s="407" t="s">
        <v>193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384"/>
      <c r="AB108" s="384"/>
      <c r="AC108" s="384"/>
    </row>
    <row r="109" spans="1:68" ht="14.25" customHeight="1" x14ac:dyDescent="0.25">
      <c r="A109" s="410" t="s">
        <v>182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385"/>
      <c r="AB109" s="385"/>
      <c r="AC109" s="385"/>
    </row>
    <row r="110" spans="1:68" ht="27" customHeight="1" x14ac:dyDescent="0.25">
      <c r="A110" s="55" t="s">
        <v>194</v>
      </c>
      <c r="B110" s="55" t="s">
        <v>195</v>
      </c>
      <c r="C110" s="32">
        <v>4301031191</v>
      </c>
      <c r="D110" s="396">
        <v>4680115880993</v>
      </c>
      <c r="E110" s="397"/>
      <c r="F110" s="388">
        <v>0.7</v>
      </c>
      <c r="G110" s="33">
        <v>6</v>
      </c>
      <c r="H110" s="388">
        <v>4.2</v>
      </c>
      <c r="I110" s="388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4"/>
      <c r="R110" s="394"/>
      <c r="S110" s="394"/>
      <c r="T110" s="395"/>
      <c r="U110" s="35"/>
      <c r="V110" s="35"/>
      <c r="W110" s="36" t="s">
        <v>71</v>
      </c>
      <c r="X110" s="389">
        <v>0</v>
      </c>
      <c r="Y110" s="390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196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197</v>
      </c>
      <c r="B111" s="55" t="s">
        <v>198</v>
      </c>
      <c r="C111" s="32">
        <v>4301031204</v>
      </c>
      <c r="D111" s="396">
        <v>4680115881761</v>
      </c>
      <c r="E111" s="397"/>
      <c r="F111" s="388">
        <v>0.7</v>
      </c>
      <c r="G111" s="33">
        <v>6</v>
      </c>
      <c r="H111" s="388">
        <v>4.2</v>
      </c>
      <c r="I111" s="388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4"/>
      <c r="R111" s="394"/>
      <c r="S111" s="394"/>
      <c r="T111" s="395"/>
      <c r="U111" s="35"/>
      <c r="V111" s="35"/>
      <c r="W111" s="36" t="s">
        <v>71</v>
      </c>
      <c r="X111" s="389">
        <v>100</v>
      </c>
      <c r="Y111" s="390">
        <f t="shared" si="5"/>
        <v>100.80000000000001</v>
      </c>
      <c r="Z111" s="37">
        <f>IFERROR(IF(Y111=0,"",ROUNDUP(Y111/H111,0)*0.00902),"")</f>
        <v>0.21648000000000001</v>
      </c>
      <c r="AA111" s="57"/>
      <c r="AB111" s="58"/>
      <c r="AC111" s="148" t="s">
        <v>199</v>
      </c>
      <c r="AG111" s="65"/>
      <c r="AJ111" s="69"/>
      <c r="AK111" s="69">
        <v>0</v>
      </c>
      <c r="BB111" s="149" t="s">
        <v>1</v>
      </c>
      <c r="BM111" s="65">
        <f t="shared" si="6"/>
        <v>106.42857142857143</v>
      </c>
      <c r="BN111" s="65">
        <f t="shared" si="7"/>
        <v>107.28</v>
      </c>
      <c r="BO111" s="65">
        <f t="shared" si="8"/>
        <v>0.18037518037518038</v>
      </c>
      <c r="BP111" s="65">
        <f t="shared" si="9"/>
        <v>0.18181818181818182</v>
      </c>
    </row>
    <row r="112" spans="1:68" ht="27" customHeight="1" x14ac:dyDescent="0.25">
      <c r="A112" s="55" t="s">
        <v>200</v>
      </c>
      <c r="B112" s="55" t="s">
        <v>201</v>
      </c>
      <c r="C112" s="32">
        <v>4301031201</v>
      </c>
      <c r="D112" s="396">
        <v>4680115881563</v>
      </c>
      <c r="E112" s="397"/>
      <c r="F112" s="388">
        <v>0.7</v>
      </c>
      <c r="G112" s="33">
        <v>6</v>
      </c>
      <c r="H112" s="388">
        <v>4.2</v>
      </c>
      <c r="I112" s="388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4"/>
      <c r="R112" s="394"/>
      <c r="S112" s="394"/>
      <c r="T112" s="395"/>
      <c r="U112" s="35"/>
      <c r="V112" s="35"/>
      <c r="W112" s="36" t="s">
        <v>71</v>
      </c>
      <c r="X112" s="389">
        <v>100</v>
      </c>
      <c r="Y112" s="390">
        <f t="shared" si="5"/>
        <v>100.80000000000001</v>
      </c>
      <c r="Z112" s="37">
        <f>IFERROR(IF(Y112=0,"",ROUNDUP(Y112/H112,0)*0.00902),"")</f>
        <v>0.21648000000000001</v>
      </c>
      <c r="AA112" s="57"/>
      <c r="AB112" s="58"/>
      <c r="AC112" s="150" t="s">
        <v>202</v>
      </c>
      <c r="AG112" s="65"/>
      <c r="AJ112" s="69"/>
      <c r="AK112" s="69">
        <v>0</v>
      </c>
      <c r="BB112" s="151" t="s">
        <v>1</v>
      </c>
      <c r="BM112" s="65">
        <f t="shared" si="6"/>
        <v>105</v>
      </c>
      <c r="BN112" s="65">
        <f t="shared" si="7"/>
        <v>105.84000000000002</v>
      </c>
      <c r="BO112" s="65">
        <f t="shared" si="8"/>
        <v>0.18037518037518038</v>
      </c>
      <c r="BP112" s="65">
        <f t="shared" si="9"/>
        <v>0.18181818181818182</v>
      </c>
    </row>
    <row r="113" spans="1:68" ht="27" customHeight="1" x14ac:dyDescent="0.25">
      <c r="A113" s="55" t="s">
        <v>203</v>
      </c>
      <c r="B113" s="55" t="s">
        <v>204</v>
      </c>
      <c r="C113" s="32">
        <v>4301031199</v>
      </c>
      <c r="D113" s="396">
        <v>4680115880986</v>
      </c>
      <c r="E113" s="397"/>
      <c r="F113" s="388">
        <v>0.35</v>
      </c>
      <c r="G113" s="33">
        <v>6</v>
      </c>
      <c r="H113" s="388">
        <v>2.1</v>
      </c>
      <c r="I113" s="388">
        <v>2.23</v>
      </c>
      <c r="J113" s="33">
        <v>234</v>
      </c>
      <c r="K113" s="33" t="s">
        <v>162</v>
      </c>
      <c r="L113" s="33"/>
      <c r="M113" s="34" t="s">
        <v>70</v>
      </c>
      <c r="N113" s="34"/>
      <c r="O113" s="33">
        <v>40</v>
      </c>
      <c r="P113" s="4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4"/>
      <c r="R113" s="394"/>
      <c r="S113" s="394"/>
      <c r="T113" s="395"/>
      <c r="U113" s="35"/>
      <c r="V113" s="35"/>
      <c r="W113" s="36" t="s">
        <v>71</v>
      </c>
      <c r="X113" s="389">
        <v>0</v>
      </c>
      <c r="Y113" s="390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196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205</v>
      </c>
      <c r="B114" s="55" t="s">
        <v>206</v>
      </c>
      <c r="C114" s="32">
        <v>4301031205</v>
      </c>
      <c r="D114" s="396">
        <v>4680115881785</v>
      </c>
      <c r="E114" s="397"/>
      <c r="F114" s="388">
        <v>0.35</v>
      </c>
      <c r="G114" s="33">
        <v>6</v>
      </c>
      <c r="H114" s="388">
        <v>2.1</v>
      </c>
      <c r="I114" s="388">
        <v>2.23</v>
      </c>
      <c r="J114" s="33">
        <v>234</v>
      </c>
      <c r="K114" s="33" t="s">
        <v>162</v>
      </c>
      <c r="L114" s="33"/>
      <c r="M114" s="34" t="s">
        <v>70</v>
      </c>
      <c r="N114" s="34"/>
      <c r="O114" s="33">
        <v>40</v>
      </c>
      <c r="P114" s="5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4"/>
      <c r="R114" s="394"/>
      <c r="S114" s="394"/>
      <c r="T114" s="395"/>
      <c r="U114" s="35"/>
      <c r="V114" s="35"/>
      <c r="W114" s="36" t="s">
        <v>71</v>
      </c>
      <c r="X114" s="389">
        <v>150</v>
      </c>
      <c r="Y114" s="390">
        <f t="shared" si="5"/>
        <v>151.20000000000002</v>
      </c>
      <c r="Z114" s="37">
        <f>IFERROR(IF(Y114=0,"",ROUNDUP(Y114/H114,0)*0.00502),"")</f>
        <v>0.36143999999999998</v>
      </c>
      <c r="AA114" s="57"/>
      <c r="AB114" s="58"/>
      <c r="AC114" s="154" t="s">
        <v>199</v>
      </c>
      <c r="AG114" s="65"/>
      <c r="AJ114" s="69"/>
      <c r="AK114" s="69">
        <v>0</v>
      </c>
      <c r="BB114" s="155" t="s">
        <v>1</v>
      </c>
      <c r="BM114" s="65">
        <f t="shared" si="6"/>
        <v>159.28571428571428</v>
      </c>
      <c r="BN114" s="65">
        <f t="shared" si="7"/>
        <v>160.56</v>
      </c>
      <c r="BO114" s="65">
        <f t="shared" si="8"/>
        <v>0.30525030525030528</v>
      </c>
      <c r="BP114" s="65">
        <f t="shared" si="9"/>
        <v>0.30769230769230771</v>
      </c>
    </row>
    <row r="115" spans="1:68" ht="37.5" customHeight="1" x14ac:dyDescent="0.25">
      <c r="A115" s="55" t="s">
        <v>207</v>
      </c>
      <c r="B115" s="55" t="s">
        <v>208</v>
      </c>
      <c r="C115" s="32">
        <v>4301031202</v>
      </c>
      <c r="D115" s="396">
        <v>4680115881679</v>
      </c>
      <c r="E115" s="397"/>
      <c r="F115" s="388">
        <v>0.35</v>
      </c>
      <c r="G115" s="33">
        <v>6</v>
      </c>
      <c r="H115" s="388">
        <v>2.1</v>
      </c>
      <c r="I115" s="388">
        <v>2.2000000000000002</v>
      </c>
      <c r="J115" s="33">
        <v>234</v>
      </c>
      <c r="K115" s="33" t="s">
        <v>162</v>
      </c>
      <c r="L115" s="33"/>
      <c r="M115" s="34" t="s">
        <v>70</v>
      </c>
      <c r="N115" s="34"/>
      <c r="O115" s="33">
        <v>40</v>
      </c>
      <c r="P115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4"/>
      <c r="R115" s="394"/>
      <c r="S115" s="394"/>
      <c r="T115" s="395"/>
      <c r="U115" s="35"/>
      <c r="V115" s="35"/>
      <c r="W115" s="36" t="s">
        <v>71</v>
      </c>
      <c r="X115" s="389">
        <v>150</v>
      </c>
      <c r="Y115" s="390">
        <f t="shared" si="5"/>
        <v>151.20000000000002</v>
      </c>
      <c r="Z115" s="37">
        <f>IFERROR(IF(Y115=0,"",ROUNDUP(Y115/H115,0)*0.00502),"")</f>
        <v>0.36143999999999998</v>
      </c>
      <c r="AA115" s="57"/>
      <c r="AB115" s="58"/>
      <c r="AC115" s="156" t="s">
        <v>202</v>
      </c>
      <c r="AG115" s="65"/>
      <c r="AJ115" s="69"/>
      <c r="AK115" s="69">
        <v>0</v>
      </c>
      <c r="BB115" s="157" t="s">
        <v>1</v>
      </c>
      <c r="BM115" s="65">
        <f t="shared" si="6"/>
        <v>157.14285714285714</v>
      </c>
      <c r="BN115" s="65">
        <f t="shared" si="7"/>
        <v>158.4</v>
      </c>
      <c r="BO115" s="65">
        <f t="shared" si="8"/>
        <v>0.30525030525030528</v>
      </c>
      <c r="BP115" s="65">
        <f t="shared" si="9"/>
        <v>0.30769230769230771</v>
      </c>
    </row>
    <row r="116" spans="1:68" ht="27" customHeight="1" x14ac:dyDescent="0.25">
      <c r="A116" s="55" t="s">
        <v>209</v>
      </c>
      <c r="B116" s="55" t="s">
        <v>210</v>
      </c>
      <c r="C116" s="32">
        <v>4301031158</v>
      </c>
      <c r="D116" s="396">
        <v>4680115880191</v>
      </c>
      <c r="E116" s="397"/>
      <c r="F116" s="388">
        <v>0.4</v>
      </c>
      <c r="G116" s="33">
        <v>6</v>
      </c>
      <c r="H116" s="388">
        <v>2.4</v>
      </c>
      <c r="I116" s="388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4"/>
      <c r="R116" s="394"/>
      <c r="S116" s="394"/>
      <c r="T116" s="395"/>
      <c r="U116" s="35"/>
      <c r="V116" s="35"/>
      <c r="W116" s="36" t="s">
        <v>71</v>
      </c>
      <c r="X116" s="389">
        <v>0</v>
      </c>
      <c r="Y116" s="390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211</v>
      </c>
      <c r="B117" s="55" t="s">
        <v>212</v>
      </c>
      <c r="C117" s="32">
        <v>4301031245</v>
      </c>
      <c r="D117" s="396">
        <v>4680115883963</v>
      </c>
      <c r="E117" s="397"/>
      <c r="F117" s="388">
        <v>0.28000000000000003</v>
      </c>
      <c r="G117" s="33">
        <v>6</v>
      </c>
      <c r="H117" s="388">
        <v>1.68</v>
      </c>
      <c r="I117" s="388">
        <v>1.78</v>
      </c>
      <c r="J117" s="33">
        <v>234</v>
      </c>
      <c r="K117" s="33" t="s">
        <v>162</v>
      </c>
      <c r="L117" s="33"/>
      <c r="M117" s="34" t="s">
        <v>70</v>
      </c>
      <c r="N117" s="34"/>
      <c r="O117" s="33">
        <v>40</v>
      </c>
      <c r="P117" s="4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4"/>
      <c r="R117" s="394"/>
      <c r="S117" s="394"/>
      <c r="T117" s="395"/>
      <c r="U117" s="35"/>
      <c r="V117" s="35"/>
      <c r="W117" s="36" t="s">
        <v>71</v>
      </c>
      <c r="X117" s="389">
        <v>0</v>
      </c>
      <c r="Y117" s="390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213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1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19"/>
      <c r="P118" s="401" t="s">
        <v>76</v>
      </c>
      <c r="Q118" s="402"/>
      <c r="R118" s="402"/>
      <c r="S118" s="402"/>
      <c r="T118" s="402"/>
      <c r="U118" s="402"/>
      <c r="V118" s="403"/>
      <c r="W118" s="38" t="s">
        <v>77</v>
      </c>
      <c r="X118" s="391">
        <f>IFERROR(X110/H110,"0")+IFERROR(X111/H111,"0")+IFERROR(X112/H112,"0")+IFERROR(X113/H113,"0")+IFERROR(X114/H114,"0")+IFERROR(X115/H115,"0")+IFERROR(X116/H116,"0")+IFERROR(X117/H117,"0")</f>
        <v>190.47619047619048</v>
      </c>
      <c r="Y118" s="391">
        <f>IFERROR(Y110/H110,"0")+IFERROR(Y111/H111,"0")+IFERROR(Y112/H112,"0")+IFERROR(Y113/H113,"0")+IFERROR(Y114/H114,"0")+IFERROR(Y115/H115,"0")+IFERROR(Y116/H116,"0")+IFERROR(Y117/H117,"0")</f>
        <v>192</v>
      </c>
      <c r="Z118" s="391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1.15584</v>
      </c>
      <c r="AA118" s="392"/>
      <c r="AB118" s="392"/>
      <c r="AC118" s="392"/>
    </row>
    <row r="119" spans="1:68" x14ac:dyDescent="0.2">
      <c r="A119" s="408"/>
      <c r="B119" s="408"/>
      <c r="C119" s="408"/>
      <c r="D119" s="408"/>
      <c r="E119" s="408"/>
      <c r="F119" s="408"/>
      <c r="G119" s="408"/>
      <c r="H119" s="408"/>
      <c r="I119" s="408"/>
      <c r="J119" s="408"/>
      <c r="K119" s="408"/>
      <c r="L119" s="408"/>
      <c r="M119" s="408"/>
      <c r="N119" s="408"/>
      <c r="O119" s="419"/>
      <c r="P119" s="401" t="s">
        <v>76</v>
      </c>
      <c r="Q119" s="402"/>
      <c r="R119" s="402"/>
      <c r="S119" s="402"/>
      <c r="T119" s="402"/>
      <c r="U119" s="402"/>
      <c r="V119" s="403"/>
      <c r="W119" s="38" t="s">
        <v>71</v>
      </c>
      <c r="X119" s="391">
        <f>IFERROR(SUM(X110:X117),"0")</f>
        <v>500</v>
      </c>
      <c r="Y119" s="391">
        <f>IFERROR(SUM(Y110:Y117),"0")</f>
        <v>504.00000000000011</v>
      </c>
      <c r="Z119" s="38"/>
      <c r="AA119" s="392"/>
      <c r="AB119" s="392"/>
      <c r="AC119" s="392"/>
    </row>
    <row r="120" spans="1:68" ht="14.25" customHeight="1" x14ac:dyDescent="0.25">
      <c r="A120" s="410" t="s">
        <v>78</v>
      </c>
      <c r="B120" s="408"/>
      <c r="C120" s="408"/>
      <c r="D120" s="408"/>
      <c r="E120" s="408"/>
      <c r="F120" s="408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385"/>
      <c r="AB120" s="385"/>
      <c r="AC120" s="385"/>
    </row>
    <row r="121" spans="1:68" ht="27" customHeight="1" x14ac:dyDescent="0.25">
      <c r="A121" s="55" t="s">
        <v>214</v>
      </c>
      <c r="B121" s="55" t="s">
        <v>215</v>
      </c>
      <c r="C121" s="32">
        <v>4301032053</v>
      </c>
      <c r="D121" s="396">
        <v>4680115886780</v>
      </c>
      <c r="E121" s="397"/>
      <c r="F121" s="388">
        <v>7.0000000000000007E-2</v>
      </c>
      <c r="G121" s="33">
        <v>18</v>
      </c>
      <c r="H121" s="388">
        <v>1.26</v>
      </c>
      <c r="I121" s="388">
        <v>1.45</v>
      </c>
      <c r="J121" s="33">
        <v>216</v>
      </c>
      <c r="K121" s="33" t="s">
        <v>216</v>
      </c>
      <c r="L121" s="33"/>
      <c r="M121" s="34" t="s">
        <v>217</v>
      </c>
      <c r="N121" s="34"/>
      <c r="O121" s="33">
        <v>60</v>
      </c>
      <c r="P121" s="6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4"/>
      <c r="R121" s="394"/>
      <c r="S121" s="394"/>
      <c r="T121" s="395"/>
      <c r="U121" s="35"/>
      <c r="V121" s="35"/>
      <c r="W121" s="36" t="s">
        <v>71</v>
      </c>
      <c r="X121" s="389">
        <v>0</v>
      </c>
      <c r="Y121" s="390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218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219</v>
      </c>
      <c r="B122" s="55" t="s">
        <v>220</v>
      </c>
      <c r="C122" s="32">
        <v>4301032051</v>
      </c>
      <c r="D122" s="396">
        <v>4680115886742</v>
      </c>
      <c r="E122" s="397"/>
      <c r="F122" s="388">
        <v>7.0000000000000007E-2</v>
      </c>
      <c r="G122" s="33">
        <v>18</v>
      </c>
      <c r="H122" s="388">
        <v>1.26</v>
      </c>
      <c r="I122" s="388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90</v>
      </c>
      <c r="P122" s="5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4"/>
      <c r="R122" s="394"/>
      <c r="S122" s="394"/>
      <c r="T122" s="395"/>
      <c r="U122" s="35"/>
      <c r="V122" s="35"/>
      <c r="W122" s="36" t="s">
        <v>71</v>
      </c>
      <c r="X122" s="389">
        <v>0</v>
      </c>
      <c r="Y122" s="390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221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222</v>
      </c>
      <c r="B123" s="55" t="s">
        <v>223</v>
      </c>
      <c r="C123" s="32">
        <v>4301032052</v>
      </c>
      <c r="D123" s="396">
        <v>4680115886766</v>
      </c>
      <c r="E123" s="397"/>
      <c r="F123" s="388">
        <v>7.0000000000000007E-2</v>
      </c>
      <c r="G123" s="33">
        <v>18</v>
      </c>
      <c r="H123" s="388">
        <v>1.26</v>
      </c>
      <c r="I123" s="388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4"/>
      <c r="R123" s="394"/>
      <c r="S123" s="394"/>
      <c r="T123" s="395"/>
      <c r="U123" s="35"/>
      <c r="V123" s="35"/>
      <c r="W123" s="36" t="s">
        <v>71</v>
      </c>
      <c r="X123" s="389">
        <v>0</v>
      </c>
      <c r="Y123" s="390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18"/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19"/>
      <c r="P124" s="401" t="s">
        <v>76</v>
      </c>
      <c r="Q124" s="402"/>
      <c r="R124" s="402"/>
      <c r="S124" s="402"/>
      <c r="T124" s="402"/>
      <c r="U124" s="402"/>
      <c r="V124" s="403"/>
      <c r="W124" s="38" t="s">
        <v>77</v>
      </c>
      <c r="X124" s="391">
        <f>IFERROR(X121/H121,"0")+IFERROR(X122/H122,"0")+IFERROR(X123/H123,"0")</f>
        <v>0</v>
      </c>
      <c r="Y124" s="391">
        <f>IFERROR(Y121/H121,"0")+IFERROR(Y122/H122,"0")+IFERROR(Y123/H123,"0")</f>
        <v>0</v>
      </c>
      <c r="Z124" s="391">
        <f>IFERROR(IF(Z121="",0,Z121),"0")+IFERROR(IF(Z122="",0,Z122),"0")+IFERROR(IF(Z123="",0,Z123),"0")</f>
        <v>0</v>
      </c>
      <c r="AA124" s="392"/>
      <c r="AB124" s="392"/>
      <c r="AC124" s="392"/>
    </row>
    <row r="125" spans="1:68" x14ac:dyDescent="0.2">
      <c r="A125" s="408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08"/>
      <c r="O125" s="419"/>
      <c r="P125" s="401" t="s">
        <v>76</v>
      </c>
      <c r="Q125" s="402"/>
      <c r="R125" s="402"/>
      <c r="S125" s="402"/>
      <c r="T125" s="402"/>
      <c r="U125" s="402"/>
      <c r="V125" s="403"/>
      <c r="W125" s="38" t="s">
        <v>71</v>
      </c>
      <c r="X125" s="391">
        <f>IFERROR(SUM(X121:X123),"0")</f>
        <v>0</v>
      </c>
      <c r="Y125" s="391">
        <f>IFERROR(SUM(Y121:Y123),"0")</f>
        <v>0</v>
      </c>
      <c r="Z125" s="38"/>
      <c r="AA125" s="392"/>
      <c r="AB125" s="392"/>
      <c r="AC125" s="392"/>
    </row>
    <row r="126" spans="1:68" ht="14.25" customHeight="1" x14ac:dyDescent="0.25">
      <c r="A126" s="410" t="s">
        <v>224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385"/>
      <c r="AB126" s="385"/>
      <c r="AC126" s="385"/>
    </row>
    <row r="127" spans="1:68" ht="27" customHeight="1" x14ac:dyDescent="0.25">
      <c r="A127" s="55" t="s">
        <v>225</v>
      </c>
      <c r="B127" s="55" t="s">
        <v>226</v>
      </c>
      <c r="C127" s="32">
        <v>4301170013</v>
      </c>
      <c r="D127" s="396">
        <v>4680115886797</v>
      </c>
      <c r="E127" s="397"/>
      <c r="F127" s="388">
        <v>7.0000000000000007E-2</v>
      </c>
      <c r="G127" s="33">
        <v>18</v>
      </c>
      <c r="H127" s="388">
        <v>1.26</v>
      </c>
      <c r="I127" s="388">
        <v>1.45</v>
      </c>
      <c r="J127" s="33">
        <v>216</v>
      </c>
      <c r="K127" s="33" t="s">
        <v>216</v>
      </c>
      <c r="L127" s="33"/>
      <c r="M127" s="34" t="s">
        <v>217</v>
      </c>
      <c r="N127" s="34"/>
      <c r="O127" s="33">
        <v>90</v>
      </c>
      <c r="P127" s="6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4"/>
      <c r="R127" s="394"/>
      <c r="S127" s="394"/>
      <c r="T127" s="395"/>
      <c r="U127" s="35"/>
      <c r="V127" s="35"/>
      <c r="W127" s="36" t="s">
        <v>71</v>
      </c>
      <c r="X127" s="389">
        <v>0</v>
      </c>
      <c r="Y127" s="390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221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1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19"/>
      <c r="P128" s="401" t="s">
        <v>76</v>
      </c>
      <c r="Q128" s="402"/>
      <c r="R128" s="402"/>
      <c r="S128" s="402"/>
      <c r="T128" s="402"/>
      <c r="U128" s="402"/>
      <c r="V128" s="403"/>
      <c r="W128" s="38" t="s">
        <v>77</v>
      </c>
      <c r="X128" s="391">
        <f>IFERROR(X127/H127,"0")</f>
        <v>0</v>
      </c>
      <c r="Y128" s="391">
        <f>IFERROR(Y127/H127,"0")</f>
        <v>0</v>
      </c>
      <c r="Z128" s="391">
        <f>IFERROR(IF(Z127="",0,Z127),"0")</f>
        <v>0</v>
      </c>
      <c r="AA128" s="392"/>
      <c r="AB128" s="392"/>
      <c r="AC128" s="392"/>
    </row>
    <row r="129" spans="1:68" x14ac:dyDescent="0.2">
      <c r="A129" s="408"/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19"/>
      <c r="P129" s="401" t="s">
        <v>76</v>
      </c>
      <c r="Q129" s="402"/>
      <c r="R129" s="402"/>
      <c r="S129" s="402"/>
      <c r="T129" s="402"/>
      <c r="U129" s="402"/>
      <c r="V129" s="403"/>
      <c r="W129" s="38" t="s">
        <v>71</v>
      </c>
      <c r="X129" s="391">
        <f>IFERROR(SUM(X127:X127),"0")</f>
        <v>0</v>
      </c>
      <c r="Y129" s="391">
        <f>IFERROR(SUM(Y127:Y127),"0")</f>
        <v>0</v>
      </c>
      <c r="Z129" s="38"/>
      <c r="AA129" s="392"/>
      <c r="AB129" s="392"/>
      <c r="AC129" s="392"/>
    </row>
    <row r="130" spans="1:68" ht="16.5" customHeight="1" x14ac:dyDescent="0.25">
      <c r="A130" s="407" t="s">
        <v>227</v>
      </c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384"/>
      <c r="AB130" s="384"/>
      <c r="AC130" s="384"/>
    </row>
    <row r="131" spans="1:68" ht="14.25" customHeight="1" x14ac:dyDescent="0.25">
      <c r="A131" s="410" t="s">
        <v>86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385"/>
      <c r="AB131" s="385"/>
      <c r="AC131" s="385"/>
    </row>
    <row r="132" spans="1:68" ht="16.5" customHeight="1" x14ac:dyDescent="0.25">
      <c r="A132" s="55" t="s">
        <v>228</v>
      </c>
      <c r="B132" s="55" t="s">
        <v>229</v>
      </c>
      <c r="C132" s="32">
        <v>4301011450</v>
      </c>
      <c r="D132" s="396">
        <v>4680115881402</v>
      </c>
      <c r="E132" s="397"/>
      <c r="F132" s="388">
        <v>1.35</v>
      </c>
      <c r="G132" s="33">
        <v>8</v>
      </c>
      <c r="H132" s="388">
        <v>10.8</v>
      </c>
      <c r="I132" s="388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4"/>
      <c r="R132" s="394"/>
      <c r="S132" s="394"/>
      <c r="T132" s="395"/>
      <c r="U132" s="35"/>
      <c r="V132" s="35"/>
      <c r="W132" s="36" t="s">
        <v>71</v>
      </c>
      <c r="X132" s="389">
        <v>0</v>
      </c>
      <c r="Y132" s="390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230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231</v>
      </c>
      <c r="B133" s="55" t="s">
        <v>232</v>
      </c>
      <c r="C133" s="32">
        <v>4301011768</v>
      </c>
      <c r="D133" s="396">
        <v>4680115881396</v>
      </c>
      <c r="E133" s="397"/>
      <c r="F133" s="388">
        <v>0.45</v>
      </c>
      <c r="G133" s="33">
        <v>6</v>
      </c>
      <c r="H133" s="388">
        <v>2.7</v>
      </c>
      <c r="I133" s="388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4"/>
      <c r="R133" s="394"/>
      <c r="S133" s="394"/>
      <c r="T133" s="395"/>
      <c r="U133" s="35"/>
      <c r="V133" s="35"/>
      <c r="W133" s="36" t="s">
        <v>71</v>
      </c>
      <c r="X133" s="389">
        <v>0</v>
      </c>
      <c r="Y133" s="390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18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08"/>
      <c r="O134" s="419"/>
      <c r="P134" s="401" t="s">
        <v>76</v>
      </c>
      <c r="Q134" s="402"/>
      <c r="R134" s="402"/>
      <c r="S134" s="402"/>
      <c r="T134" s="402"/>
      <c r="U134" s="402"/>
      <c r="V134" s="403"/>
      <c r="W134" s="38" t="s">
        <v>77</v>
      </c>
      <c r="X134" s="391">
        <f>IFERROR(X132/H132,"0")+IFERROR(X133/H133,"0")</f>
        <v>0</v>
      </c>
      <c r="Y134" s="391">
        <f>IFERROR(Y132/H132,"0")+IFERROR(Y133/H133,"0")</f>
        <v>0</v>
      </c>
      <c r="Z134" s="391">
        <f>IFERROR(IF(Z132="",0,Z132),"0")+IFERROR(IF(Z133="",0,Z133),"0")</f>
        <v>0</v>
      </c>
      <c r="AA134" s="392"/>
      <c r="AB134" s="392"/>
      <c r="AC134" s="392"/>
    </row>
    <row r="135" spans="1:68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19"/>
      <c r="P135" s="401" t="s">
        <v>76</v>
      </c>
      <c r="Q135" s="402"/>
      <c r="R135" s="402"/>
      <c r="S135" s="402"/>
      <c r="T135" s="402"/>
      <c r="U135" s="402"/>
      <c r="V135" s="403"/>
      <c r="W135" s="38" t="s">
        <v>71</v>
      </c>
      <c r="X135" s="391">
        <f>IFERROR(SUM(X132:X133),"0")</f>
        <v>0</v>
      </c>
      <c r="Y135" s="391">
        <f>IFERROR(SUM(Y132:Y133),"0")</f>
        <v>0</v>
      </c>
      <c r="Z135" s="38"/>
      <c r="AA135" s="392"/>
      <c r="AB135" s="392"/>
      <c r="AC135" s="392"/>
    </row>
    <row r="136" spans="1:68" ht="14.25" customHeight="1" x14ac:dyDescent="0.25">
      <c r="A136" s="410" t="s">
        <v>117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385"/>
      <c r="AB136" s="385"/>
      <c r="AC136" s="385"/>
    </row>
    <row r="137" spans="1:68" ht="16.5" customHeight="1" x14ac:dyDescent="0.25">
      <c r="A137" s="55" t="s">
        <v>233</v>
      </c>
      <c r="B137" s="55" t="s">
        <v>234</v>
      </c>
      <c r="C137" s="32">
        <v>4301020262</v>
      </c>
      <c r="D137" s="396">
        <v>4680115882935</v>
      </c>
      <c r="E137" s="397"/>
      <c r="F137" s="388">
        <v>1.35</v>
      </c>
      <c r="G137" s="33">
        <v>8</v>
      </c>
      <c r="H137" s="388">
        <v>10.8</v>
      </c>
      <c r="I137" s="388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4"/>
      <c r="R137" s="394"/>
      <c r="S137" s="394"/>
      <c r="T137" s="395"/>
      <c r="U137" s="35"/>
      <c r="V137" s="35"/>
      <c r="W137" s="36" t="s">
        <v>71</v>
      </c>
      <c r="X137" s="389">
        <v>100</v>
      </c>
      <c r="Y137" s="390">
        <f>IFERROR(IF(X137="",0,CEILING((X137/$H137),1)*$H137),"")</f>
        <v>108</v>
      </c>
      <c r="Z137" s="37">
        <f>IFERROR(IF(Y137=0,"",ROUNDUP(Y137/H137,0)*0.01898),"")</f>
        <v>0.1898</v>
      </c>
      <c r="AA137" s="57"/>
      <c r="AB137" s="58"/>
      <c r="AC137" s="174" t="s">
        <v>235</v>
      </c>
      <c r="AG137" s="65"/>
      <c r="AJ137" s="69"/>
      <c r="AK137" s="69">
        <v>0</v>
      </c>
      <c r="BB137" s="175" t="s">
        <v>1</v>
      </c>
      <c r="BM137" s="65">
        <f>IFERROR(X137*I137/H137,"0")</f>
        <v>104.02777777777777</v>
      </c>
      <c r="BN137" s="65">
        <f>IFERROR(Y137*I137/H137,"0")</f>
        <v>112.34999999999998</v>
      </c>
      <c r="BO137" s="65">
        <f>IFERROR(1/J137*(X137/H137),"0")</f>
        <v>0.14467592592592593</v>
      </c>
      <c r="BP137" s="65">
        <f>IFERROR(1/J137*(Y137/H137),"0")</f>
        <v>0.15625</v>
      </c>
    </row>
    <row r="138" spans="1:68" ht="16.5" customHeight="1" x14ac:dyDescent="0.25">
      <c r="A138" s="55" t="s">
        <v>236</v>
      </c>
      <c r="B138" s="55" t="s">
        <v>237</v>
      </c>
      <c r="C138" s="32">
        <v>4301020220</v>
      </c>
      <c r="D138" s="396">
        <v>4680115880764</v>
      </c>
      <c r="E138" s="397"/>
      <c r="F138" s="388">
        <v>0.35</v>
      </c>
      <c r="G138" s="33">
        <v>6</v>
      </c>
      <c r="H138" s="388">
        <v>2.1</v>
      </c>
      <c r="I138" s="388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4"/>
      <c r="R138" s="394"/>
      <c r="S138" s="394"/>
      <c r="T138" s="395"/>
      <c r="U138" s="35"/>
      <c r="V138" s="35"/>
      <c r="W138" s="36" t="s">
        <v>71</v>
      </c>
      <c r="X138" s="389">
        <v>0</v>
      </c>
      <c r="Y138" s="390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18"/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19"/>
      <c r="P139" s="401" t="s">
        <v>76</v>
      </c>
      <c r="Q139" s="402"/>
      <c r="R139" s="402"/>
      <c r="S139" s="402"/>
      <c r="T139" s="402"/>
      <c r="U139" s="402"/>
      <c r="V139" s="403"/>
      <c r="W139" s="38" t="s">
        <v>77</v>
      </c>
      <c r="X139" s="391">
        <f>IFERROR(X137/H137,"0")+IFERROR(X138/H138,"0")</f>
        <v>9.2592592592592595</v>
      </c>
      <c r="Y139" s="391">
        <f>IFERROR(Y137/H137,"0")+IFERROR(Y138/H138,"0")</f>
        <v>10</v>
      </c>
      <c r="Z139" s="391">
        <f>IFERROR(IF(Z137="",0,Z137),"0")+IFERROR(IF(Z138="",0,Z138),"0")</f>
        <v>0.1898</v>
      </c>
      <c r="AA139" s="392"/>
      <c r="AB139" s="392"/>
      <c r="AC139" s="392"/>
    </row>
    <row r="140" spans="1:68" x14ac:dyDescent="0.2">
      <c r="A140" s="408"/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19"/>
      <c r="P140" s="401" t="s">
        <v>76</v>
      </c>
      <c r="Q140" s="402"/>
      <c r="R140" s="402"/>
      <c r="S140" s="402"/>
      <c r="T140" s="402"/>
      <c r="U140" s="402"/>
      <c r="V140" s="403"/>
      <c r="W140" s="38" t="s">
        <v>71</v>
      </c>
      <c r="X140" s="391">
        <f>IFERROR(SUM(X137:X138),"0")</f>
        <v>100</v>
      </c>
      <c r="Y140" s="391">
        <f>IFERROR(SUM(Y137:Y138),"0")</f>
        <v>108</v>
      </c>
      <c r="Z140" s="38"/>
      <c r="AA140" s="392"/>
      <c r="AB140" s="392"/>
      <c r="AC140" s="392"/>
    </row>
    <row r="141" spans="1:68" ht="14.25" customHeight="1" x14ac:dyDescent="0.25">
      <c r="A141" s="410" t="s">
        <v>182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385"/>
      <c r="AB141" s="385"/>
      <c r="AC141" s="385"/>
    </row>
    <row r="142" spans="1:68" ht="27" customHeight="1" x14ac:dyDescent="0.25">
      <c r="A142" s="55" t="s">
        <v>238</v>
      </c>
      <c r="B142" s="55" t="s">
        <v>239</v>
      </c>
      <c r="C142" s="32">
        <v>4301031224</v>
      </c>
      <c r="D142" s="396">
        <v>4680115882683</v>
      </c>
      <c r="E142" s="397"/>
      <c r="F142" s="388">
        <v>0.9</v>
      </c>
      <c r="G142" s="33">
        <v>6</v>
      </c>
      <c r="H142" s="388">
        <v>5.4</v>
      </c>
      <c r="I142" s="388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4"/>
      <c r="R142" s="394"/>
      <c r="S142" s="394"/>
      <c r="T142" s="395"/>
      <c r="U142" s="35"/>
      <c r="V142" s="35"/>
      <c r="W142" s="36" t="s">
        <v>71</v>
      </c>
      <c r="X142" s="389">
        <v>70</v>
      </c>
      <c r="Y142" s="390">
        <f>IFERROR(IF(X142="",0,CEILING((X142/$H142),1)*$H142),"")</f>
        <v>70.2</v>
      </c>
      <c r="Z142" s="37">
        <f>IFERROR(IF(Y142=0,"",ROUNDUP(Y142/H142,0)*0.00902),"")</f>
        <v>0.11726</v>
      </c>
      <c r="AA142" s="57"/>
      <c r="AB142" s="58"/>
      <c r="AC142" s="178" t="s">
        <v>240</v>
      </c>
      <c r="AG142" s="65"/>
      <c r="AJ142" s="69"/>
      <c r="AK142" s="69">
        <v>0</v>
      </c>
      <c r="BB142" s="179" t="s">
        <v>1</v>
      </c>
      <c r="BM142" s="65">
        <f>IFERROR(X142*I142/H142,"0")</f>
        <v>72.722222222222229</v>
      </c>
      <c r="BN142" s="65">
        <f>IFERROR(Y142*I142/H142,"0")</f>
        <v>72.930000000000007</v>
      </c>
      <c r="BO142" s="65">
        <f>IFERROR(1/J142*(X142/H142),"0")</f>
        <v>9.8204264870931535E-2</v>
      </c>
      <c r="BP142" s="65">
        <f>IFERROR(1/J142*(Y142/H142),"0")</f>
        <v>9.8484848484848481E-2</v>
      </c>
    </row>
    <row r="143" spans="1:68" ht="27" customHeight="1" x14ac:dyDescent="0.25">
      <c r="A143" s="55" t="s">
        <v>241</v>
      </c>
      <c r="B143" s="55" t="s">
        <v>242</v>
      </c>
      <c r="C143" s="32">
        <v>4301031230</v>
      </c>
      <c r="D143" s="396">
        <v>4680115882690</v>
      </c>
      <c r="E143" s="397"/>
      <c r="F143" s="388">
        <v>0.9</v>
      </c>
      <c r="G143" s="33">
        <v>6</v>
      </c>
      <c r="H143" s="388">
        <v>5.4</v>
      </c>
      <c r="I143" s="388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4"/>
      <c r="R143" s="394"/>
      <c r="S143" s="394"/>
      <c r="T143" s="395"/>
      <c r="U143" s="35"/>
      <c r="V143" s="35"/>
      <c r="W143" s="36" t="s">
        <v>71</v>
      </c>
      <c r="X143" s="389">
        <v>0</v>
      </c>
      <c r="Y143" s="390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243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244</v>
      </c>
      <c r="B144" s="55" t="s">
        <v>245</v>
      </c>
      <c r="C144" s="32">
        <v>4301031220</v>
      </c>
      <c r="D144" s="396">
        <v>4680115882669</v>
      </c>
      <c r="E144" s="397"/>
      <c r="F144" s="388">
        <v>0.9</v>
      </c>
      <c r="G144" s="33">
        <v>6</v>
      </c>
      <c r="H144" s="388">
        <v>5.4</v>
      </c>
      <c r="I144" s="388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3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4"/>
      <c r="R144" s="394"/>
      <c r="S144" s="394"/>
      <c r="T144" s="395"/>
      <c r="U144" s="35"/>
      <c r="V144" s="35"/>
      <c r="W144" s="36" t="s">
        <v>71</v>
      </c>
      <c r="X144" s="389">
        <v>0</v>
      </c>
      <c r="Y144" s="390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246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247</v>
      </c>
      <c r="B145" s="55" t="s">
        <v>248</v>
      </c>
      <c r="C145" s="32">
        <v>4301031221</v>
      </c>
      <c r="D145" s="396">
        <v>4680115882676</v>
      </c>
      <c r="E145" s="397"/>
      <c r="F145" s="388">
        <v>0.9</v>
      </c>
      <c r="G145" s="33">
        <v>6</v>
      </c>
      <c r="H145" s="388">
        <v>5.4</v>
      </c>
      <c r="I145" s="388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4"/>
      <c r="R145" s="394"/>
      <c r="S145" s="394"/>
      <c r="T145" s="395"/>
      <c r="U145" s="35"/>
      <c r="V145" s="35"/>
      <c r="W145" s="36" t="s">
        <v>71</v>
      </c>
      <c r="X145" s="389">
        <v>0</v>
      </c>
      <c r="Y145" s="390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249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1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19"/>
      <c r="P146" s="401" t="s">
        <v>76</v>
      </c>
      <c r="Q146" s="402"/>
      <c r="R146" s="402"/>
      <c r="S146" s="402"/>
      <c r="T146" s="402"/>
      <c r="U146" s="402"/>
      <c r="V146" s="403"/>
      <c r="W146" s="38" t="s">
        <v>77</v>
      </c>
      <c r="X146" s="391">
        <f>IFERROR(X142/H142,"0")+IFERROR(X143/H143,"0")+IFERROR(X144/H144,"0")+IFERROR(X145/H145,"0")</f>
        <v>12.962962962962962</v>
      </c>
      <c r="Y146" s="391">
        <f>IFERROR(Y142/H142,"0")+IFERROR(Y143/H143,"0")+IFERROR(Y144/H144,"0")+IFERROR(Y145/H145,"0")</f>
        <v>13</v>
      </c>
      <c r="Z146" s="391">
        <f>IFERROR(IF(Z142="",0,Z142),"0")+IFERROR(IF(Z143="",0,Z143),"0")+IFERROR(IF(Z144="",0,Z144),"0")+IFERROR(IF(Z145="",0,Z145),"0")</f>
        <v>0.11726</v>
      </c>
      <c r="AA146" s="392"/>
      <c r="AB146" s="392"/>
      <c r="AC146" s="392"/>
    </row>
    <row r="147" spans="1:68" x14ac:dyDescent="0.2">
      <c r="A147" s="408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19"/>
      <c r="P147" s="401" t="s">
        <v>76</v>
      </c>
      <c r="Q147" s="402"/>
      <c r="R147" s="402"/>
      <c r="S147" s="402"/>
      <c r="T147" s="402"/>
      <c r="U147" s="402"/>
      <c r="V147" s="403"/>
      <c r="W147" s="38" t="s">
        <v>71</v>
      </c>
      <c r="X147" s="391">
        <f>IFERROR(SUM(X142:X145),"0")</f>
        <v>70</v>
      </c>
      <c r="Y147" s="391">
        <f>IFERROR(SUM(Y142:Y145),"0")</f>
        <v>70.2</v>
      </c>
      <c r="Z147" s="38"/>
      <c r="AA147" s="392"/>
      <c r="AB147" s="392"/>
      <c r="AC147" s="392"/>
    </row>
    <row r="148" spans="1:68" ht="14.25" customHeight="1" x14ac:dyDescent="0.25">
      <c r="A148" s="410" t="s">
        <v>66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385"/>
      <c r="AB148" s="385"/>
      <c r="AC148" s="385"/>
    </row>
    <row r="149" spans="1:68" ht="27" customHeight="1" x14ac:dyDescent="0.25">
      <c r="A149" s="55" t="s">
        <v>250</v>
      </c>
      <c r="B149" s="55" t="s">
        <v>251</v>
      </c>
      <c r="C149" s="32">
        <v>4301051408</v>
      </c>
      <c r="D149" s="396">
        <v>4680115881594</v>
      </c>
      <c r="E149" s="397"/>
      <c r="F149" s="388">
        <v>1.35</v>
      </c>
      <c r="G149" s="33">
        <v>6</v>
      </c>
      <c r="H149" s="388">
        <v>8.1</v>
      </c>
      <c r="I149" s="388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4"/>
      <c r="R149" s="394"/>
      <c r="S149" s="394"/>
      <c r="T149" s="395"/>
      <c r="U149" s="35"/>
      <c r="V149" s="35"/>
      <c r="W149" s="36" t="s">
        <v>71</v>
      </c>
      <c r="X149" s="389">
        <v>0</v>
      </c>
      <c r="Y149" s="390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252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253</v>
      </c>
      <c r="B150" s="55" t="s">
        <v>254</v>
      </c>
      <c r="C150" s="32">
        <v>4301051411</v>
      </c>
      <c r="D150" s="396">
        <v>4680115881617</v>
      </c>
      <c r="E150" s="397"/>
      <c r="F150" s="388">
        <v>1.35</v>
      </c>
      <c r="G150" s="33">
        <v>6</v>
      </c>
      <c r="H150" s="388">
        <v>8.1</v>
      </c>
      <c r="I150" s="388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4"/>
      <c r="R150" s="394"/>
      <c r="S150" s="394"/>
      <c r="T150" s="395"/>
      <c r="U150" s="35"/>
      <c r="V150" s="35"/>
      <c r="W150" s="36" t="s">
        <v>71</v>
      </c>
      <c r="X150" s="389">
        <v>150</v>
      </c>
      <c r="Y150" s="390">
        <f t="shared" si="10"/>
        <v>153.9</v>
      </c>
      <c r="Z150" s="37">
        <f>IFERROR(IF(Y150=0,"",ROUNDUP(Y150/H150,0)*0.01898),"")</f>
        <v>0.36062</v>
      </c>
      <c r="AA150" s="57"/>
      <c r="AB150" s="58"/>
      <c r="AC150" s="188" t="s">
        <v>255</v>
      </c>
      <c r="AG150" s="65"/>
      <c r="AJ150" s="69"/>
      <c r="AK150" s="69">
        <v>0</v>
      </c>
      <c r="BB150" s="189" t="s">
        <v>1</v>
      </c>
      <c r="BM150" s="65">
        <f t="shared" si="11"/>
        <v>159.2777777777778</v>
      </c>
      <c r="BN150" s="65">
        <f t="shared" si="12"/>
        <v>163.41900000000004</v>
      </c>
      <c r="BO150" s="65">
        <f t="shared" si="13"/>
        <v>0.28935185185185186</v>
      </c>
      <c r="BP150" s="65">
        <f t="shared" si="14"/>
        <v>0.296875</v>
      </c>
    </row>
    <row r="151" spans="1:68" ht="16.5" customHeight="1" x14ac:dyDescent="0.25">
      <c r="A151" s="55" t="s">
        <v>256</v>
      </c>
      <c r="B151" s="55" t="s">
        <v>257</v>
      </c>
      <c r="C151" s="32">
        <v>4301051656</v>
      </c>
      <c r="D151" s="396">
        <v>4680115880573</v>
      </c>
      <c r="E151" s="397"/>
      <c r="F151" s="388">
        <v>1.45</v>
      </c>
      <c r="G151" s="33">
        <v>6</v>
      </c>
      <c r="H151" s="388">
        <v>8.6999999999999993</v>
      </c>
      <c r="I151" s="388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4"/>
      <c r="R151" s="394"/>
      <c r="S151" s="394"/>
      <c r="T151" s="395"/>
      <c r="U151" s="35"/>
      <c r="V151" s="35"/>
      <c r="W151" s="36" t="s">
        <v>71</v>
      </c>
      <c r="X151" s="389">
        <v>120</v>
      </c>
      <c r="Y151" s="390">
        <f t="shared" si="10"/>
        <v>121.79999999999998</v>
      </c>
      <c r="Z151" s="37">
        <f>IFERROR(IF(Y151=0,"",ROUNDUP(Y151/H151,0)*0.01898),"")</f>
        <v>0.26572000000000001</v>
      </c>
      <c r="AA151" s="57"/>
      <c r="AB151" s="58"/>
      <c r="AC151" s="190" t="s">
        <v>258</v>
      </c>
      <c r="AG151" s="65"/>
      <c r="AJ151" s="69"/>
      <c r="AK151" s="69">
        <v>0</v>
      </c>
      <c r="BB151" s="191" t="s">
        <v>1</v>
      </c>
      <c r="BM151" s="65">
        <f t="shared" si="11"/>
        <v>127.15862068965518</v>
      </c>
      <c r="BN151" s="65">
        <f t="shared" si="12"/>
        <v>129.06599999999997</v>
      </c>
      <c r="BO151" s="65">
        <f t="shared" si="13"/>
        <v>0.21551724137931036</v>
      </c>
      <c r="BP151" s="65">
        <f t="shared" si="14"/>
        <v>0.21875</v>
      </c>
    </row>
    <row r="152" spans="1:68" ht="27" customHeight="1" x14ac:dyDescent="0.25">
      <c r="A152" s="55" t="s">
        <v>259</v>
      </c>
      <c r="B152" s="55" t="s">
        <v>260</v>
      </c>
      <c r="C152" s="32">
        <v>4301051407</v>
      </c>
      <c r="D152" s="396">
        <v>4680115882195</v>
      </c>
      <c r="E152" s="397"/>
      <c r="F152" s="388">
        <v>0.4</v>
      </c>
      <c r="G152" s="33">
        <v>6</v>
      </c>
      <c r="H152" s="388">
        <v>2.4</v>
      </c>
      <c r="I152" s="388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4"/>
      <c r="R152" s="394"/>
      <c r="S152" s="394"/>
      <c r="T152" s="395"/>
      <c r="U152" s="35"/>
      <c r="V152" s="35"/>
      <c r="W152" s="36" t="s">
        <v>71</v>
      </c>
      <c r="X152" s="389">
        <v>0</v>
      </c>
      <c r="Y152" s="390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252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261</v>
      </c>
      <c r="B153" s="55" t="s">
        <v>262</v>
      </c>
      <c r="C153" s="32">
        <v>4301051752</v>
      </c>
      <c r="D153" s="396">
        <v>4680115882607</v>
      </c>
      <c r="E153" s="397"/>
      <c r="F153" s="388">
        <v>0.3</v>
      </c>
      <c r="G153" s="33">
        <v>6</v>
      </c>
      <c r="H153" s="388">
        <v>1.8</v>
      </c>
      <c r="I153" s="388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4"/>
      <c r="R153" s="394"/>
      <c r="S153" s="394"/>
      <c r="T153" s="395"/>
      <c r="U153" s="35"/>
      <c r="V153" s="35"/>
      <c r="W153" s="36" t="s">
        <v>71</v>
      </c>
      <c r="X153" s="389">
        <v>0</v>
      </c>
      <c r="Y153" s="390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263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264</v>
      </c>
      <c r="B154" s="55" t="s">
        <v>265</v>
      </c>
      <c r="C154" s="32">
        <v>4301051666</v>
      </c>
      <c r="D154" s="396">
        <v>4680115880092</v>
      </c>
      <c r="E154" s="397"/>
      <c r="F154" s="388">
        <v>0.4</v>
      </c>
      <c r="G154" s="33">
        <v>6</v>
      </c>
      <c r="H154" s="388">
        <v>2.4</v>
      </c>
      <c r="I154" s="388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4"/>
      <c r="R154" s="394"/>
      <c r="S154" s="394"/>
      <c r="T154" s="395"/>
      <c r="U154" s="35"/>
      <c r="V154" s="35"/>
      <c r="W154" s="36" t="s">
        <v>71</v>
      </c>
      <c r="X154" s="389">
        <v>0</v>
      </c>
      <c r="Y154" s="390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258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266</v>
      </c>
      <c r="B155" s="55" t="s">
        <v>267</v>
      </c>
      <c r="C155" s="32">
        <v>4301051668</v>
      </c>
      <c r="D155" s="396">
        <v>4680115880221</v>
      </c>
      <c r="E155" s="397"/>
      <c r="F155" s="388">
        <v>0.4</v>
      </c>
      <c r="G155" s="33">
        <v>6</v>
      </c>
      <c r="H155" s="388">
        <v>2.4</v>
      </c>
      <c r="I155" s="388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4"/>
      <c r="R155" s="394"/>
      <c r="S155" s="394"/>
      <c r="T155" s="395"/>
      <c r="U155" s="35"/>
      <c r="V155" s="35"/>
      <c r="W155" s="36" t="s">
        <v>71</v>
      </c>
      <c r="X155" s="389">
        <v>0</v>
      </c>
      <c r="Y155" s="390">
        <f t="shared" si="10"/>
        <v>0</v>
      </c>
      <c r="Z155" s="37" t="str">
        <f>IFERROR(IF(Y155=0,"",ROUNDUP(Y155/H155,0)*0.00651),"")</f>
        <v/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0</v>
      </c>
      <c r="BN155" s="65">
        <f t="shared" si="12"/>
        <v>0</v>
      </c>
      <c r="BO155" s="65">
        <f t="shared" si="13"/>
        <v>0</v>
      </c>
      <c r="BP155" s="65">
        <f t="shared" si="14"/>
        <v>0</v>
      </c>
    </row>
    <row r="156" spans="1:68" ht="27" customHeight="1" x14ac:dyDescent="0.25">
      <c r="A156" s="55" t="s">
        <v>268</v>
      </c>
      <c r="B156" s="55" t="s">
        <v>269</v>
      </c>
      <c r="C156" s="32">
        <v>4301051410</v>
      </c>
      <c r="D156" s="396">
        <v>4680115882164</v>
      </c>
      <c r="E156" s="397"/>
      <c r="F156" s="388">
        <v>0.4</v>
      </c>
      <c r="G156" s="33">
        <v>6</v>
      </c>
      <c r="H156" s="388">
        <v>2.4</v>
      </c>
      <c r="I156" s="388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4"/>
      <c r="R156" s="394"/>
      <c r="S156" s="394"/>
      <c r="T156" s="395"/>
      <c r="U156" s="35"/>
      <c r="V156" s="35"/>
      <c r="W156" s="36" t="s">
        <v>71</v>
      </c>
      <c r="X156" s="389">
        <v>0</v>
      </c>
      <c r="Y156" s="390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255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18"/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19"/>
      <c r="P157" s="401" t="s">
        <v>76</v>
      </c>
      <c r="Q157" s="402"/>
      <c r="R157" s="402"/>
      <c r="S157" s="402"/>
      <c r="T157" s="402"/>
      <c r="U157" s="402"/>
      <c r="V157" s="403"/>
      <c r="W157" s="38" t="s">
        <v>77</v>
      </c>
      <c r="X157" s="391">
        <f>IFERROR(X149/H149,"0")+IFERROR(X150/H150,"0")+IFERROR(X151/H151,"0")+IFERROR(X152/H152,"0")+IFERROR(X153/H153,"0")+IFERROR(X154/H154,"0")+IFERROR(X155/H155,"0")+IFERROR(X156/H156,"0")</f>
        <v>32.311621966794384</v>
      </c>
      <c r="Y157" s="391">
        <f>IFERROR(Y149/H149,"0")+IFERROR(Y150/H150,"0")+IFERROR(Y151/H151,"0")+IFERROR(Y152/H152,"0")+IFERROR(Y153/H153,"0")+IFERROR(Y154/H154,"0")+IFERROR(Y155/H155,"0")+IFERROR(Y156/H156,"0")</f>
        <v>33</v>
      </c>
      <c r="Z157" s="391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0.62634000000000001</v>
      </c>
      <c r="AA157" s="392"/>
      <c r="AB157" s="392"/>
      <c r="AC157" s="392"/>
    </row>
    <row r="158" spans="1:68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19"/>
      <c r="P158" s="401" t="s">
        <v>76</v>
      </c>
      <c r="Q158" s="402"/>
      <c r="R158" s="402"/>
      <c r="S158" s="402"/>
      <c r="T158" s="402"/>
      <c r="U158" s="402"/>
      <c r="V158" s="403"/>
      <c r="W158" s="38" t="s">
        <v>71</v>
      </c>
      <c r="X158" s="391">
        <f>IFERROR(SUM(X149:X156),"0")</f>
        <v>270</v>
      </c>
      <c r="Y158" s="391">
        <f>IFERROR(SUM(Y149:Y156),"0")</f>
        <v>275.7</v>
      </c>
      <c r="Z158" s="38"/>
      <c r="AA158" s="392"/>
      <c r="AB158" s="392"/>
      <c r="AC158" s="392"/>
    </row>
    <row r="159" spans="1:68" ht="14.25" customHeight="1" x14ac:dyDescent="0.25">
      <c r="A159" s="410" t="s">
        <v>125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385"/>
      <c r="AB159" s="385"/>
      <c r="AC159" s="385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396">
        <v>4680115880801</v>
      </c>
      <c r="E160" s="397"/>
      <c r="F160" s="388">
        <v>0.4</v>
      </c>
      <c r="G160" s="33">
        <v>6</v>
      </c>
      <c r="H160" s="388">
        <v>2.4</v>
      </c>
      <c r="I160" s="388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4"/>
      <c r="R160" s="394"/>
      <c r="S160" s="394"/>
      <c r="T160" s="395"/>
      <c r="U160" s="35"/>
      <c r="V160" s="35"/>
      <c r="W160" s="36" t="s">
        <v>71</v>
      </c>
      <c r="X160" s="389">
        <v>0</v>
      </c>
      <c r="Y160" s="390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18"/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19"/>
      <c r="P161" s="401" t="s">
        <v>76</v>
      </c>
      <c r="Q161" s="402"/>
      <c r="R161" s="402"/>
      <c r="S161" s="402"/>
      <c r="T161" s="402"/>
      <c r="U161" s="402"/>
      <c r="V161" s="403"/>
      <c r="W161" s="38" t="s">
        <v>77</v>
      </c>
      <c r="X161" s="391">
        <f>IFERROR(X160/H160,"0")</f>
        <v>0</v>
      </c>
      <c r="Y161" s="391">
        <f>IFERROR(Y160/H160,"0")</f>
        <v>0</v>
      </c>
      <c r="Z161" s="391">
        <f>IFERROR(IF(Z160="",0,Z160),"0")</f>
        <v>0</v>
      </c>
      <c r="AA161" s="392"/>
      <c r="AB161" s="392"/>
      <c r="AC161" s="392"/>
    </row>
    <row r="162" spans="1:68" x14ac:dyDescent="0.2">
      <c r="A162" s="408"/>
      <c r="B162" s="408"/>
      <c r="C162" s="408"/>
      <c r="D162" s="408"/>
      <c r="E162" s="408"/>
      <c r="F162" s="408"/>
      <c r="G162" s="408"/>
      <c r="H162" s="408"/>
      <c r="I162" s="408"/>
      <c r="J162" s="408"/>
      <c r="K162" s="408"/>
      <c r="L162" s="408"/>
      <c r="M162" s="408"/>
      <c r="N162" s="408"/>
      <c r="O162" s="419"/>
      <c r="P162" s="401" t="s">
        <v>76</v>
      </c>
      <c r="Q162" s="402"/>
      <c r="R162" s="402"/>
      <c r="S162" s="402"/>
      <c r="T162" s="402"/>
      <c r="U162" s="402"/>
      <c r="V162" s="403"/>
      <c r="W162" s="38" t="s">
        <v>71</v>
      </c>
      <c r="X162" s="391">
        <f>IFERROR(SUM(X160:X160),"0")</f>
        <v>0</v>
      </c>
      <c r="Y162" s="391">
        <f>IFERROR(SUM(Y160:Y160),"0")</f>
        <v>0</v>
      </c>
      <c r="Z162" s="38"/>
      <c r="AA162" s="392"/>
      <c r="AB162" s="392"/>
      <c r="AC162" s="392"/>
    </row>
    <row r="163" spans="1:68" ht="16.5" customHeight="1" x14ac:dyDescent="0.25">
      <c r="A163" s="407" t="s">
        <v>273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384"/>
      <c r="AB163" s="384"/>
      <c r="AC163" s="384"/>
    </row>
    <row r="164" spans="1:68" ht="14.25" customHeight="1" x14ac:dyDescent="0.25">
      <c r="A164" s="410" t="s">
        <v>86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385"/>
      <c r="AB164" s="385"/>
      <c r="AC164" s="385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396">
        <v>4680115884137</v>
      </c>
      <c r="E165" s="397"/>
      <c r="F165" s="388">
        <v>1.45</v>
      </c>
      <c r="G165" s="33">
        <v>8</v>
      </c>
      <c r="H165" s="388">
        <v>11.6</v>
      </c>
      <c r="I165" s="388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4"/>
      <c r="R165" s="394"/>
      <c r="S165" s="394"/>
      <c r="T165" s="395"/>
      <c r="U165" s="35"/>
      <c r="V165" s="35"/>
      <c r="W165" s="36" t="s">
        <v>71</v>
      </c>
      <c r="X165" s="389">
        <v>0</v>
      </c>
      <c r="Y165" s="390">
        <f t="shared" ref="Y165:Y172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2" si="16">IFERROR(X165*I165/H165,"0")</f>
        <v>0</v>
      </c>
      <c r="BN165" s="65">
        <f t="shared" ref="BN165:BN172" si="17">IFERROR(Y165*I165/H165,"0")</f>
        <v>0</v>
      </c>
      <c r="BO165" s="65">
        <f t="shared" ref="BO165:BO172" si="18">IFERROR(1/J165*(X165/H165),"0")</f>
        <v>0</v>
      </c>
      <c r="BP165" s="65">
        <f t="shared" ref="BP165:BP172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396">
        <v>4680115884236</v>
      </c>
      <c r="E166" s="397"/>
      <c r="F166" s="388">
        <v>1.45</v>
      </c>
      <c r="G166" s="33">
        <v>8</v>
      </c>
      <c r="H166" s="388">
        <v>11.6</v>
      </c>
      <c r="I166" s="388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4"/>
      <c r="R166" s="394"/>
      <c r="S166" s="394"/>
      <c r="T166" s="395"/>
      <c r="U166" s="35"/>
      <c r="V166" s="35"/>
      <c r="W166" s="36" t="s">
        <v>71</v>
      </c>
      <c r="X166" s="389">
        <v>0</v>
      </c>
      <c r="Y166" s="390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396">
        <v>4680115884175</v>
      </c>
      <c r="E167" s="397"/>
      <c r="F167" s="388">
        <v>1.45</v>
      </c>
      <c r="G167" s="33">
        <v>8</v>
      </c>
      <c r="H167" s="388">
        <v>11.6</v>
      </c>
      <c r="I167" s="388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4"/>
      <c r="R167" s="394"/>
      <c r="S167" s="394"/>
      <c r="T167" s="395"/>
      <c r="U167" s="35"/>
      <c r="V167" s="35"/>
      <c r="W167" s="36" t="s">
        <v>71</v>
      </c>
      <c r="X167" s="389">
        <v>0</v>
      </c>
      <c r="Y167" s="390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396">
        <v>4680115884144</v>
      </c>
      <c r="E168" s="397"/>
      <c r="F168" s="388">
        <v>0.4</v>
      </c>
      <c r="G168" s="33">
        <v>10</v>
      </c>
      <c r="H168" s="388">
        <v>4</v>
      </c>
      <c r="I168" s="388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4"/>
      <c r="R168" s="394"/>
      <c r="S168" s="394"/>
      <c r="T168" s="395"/>
      <c r="U168" s="35"/>
      <c r="V168" s="35"/>
      <c r="W168" s="36" t="s">
        <v>71</v>
      </c>
      <c r="X168" s="389">
        <v>0</v>
      </c>
      <c r="Y168" s="390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283</v>
      </c>
      <c r="B169" s="55" t="s">
        <v>285</v>
      </c>
      <c r="C169" s="32">
        <v>4301012196</v>
      </c>
      <c r="D169" s="396">
        <v>4680115884144</v>
      </c>
      <c r="E169" s="397"/>
      <c r="F169" s="388">
        <v>0.4</v>
      </c>
      <c r="G169" s="33">
        <v>10</v>
      </c>
      <c r="H169" s="388">
        <v>4</v>
      </c>
      <c r="I169" s="388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90" t="s">
        <v>286</v>
      </c>
      <c r="Q169" s="394"/>
      <c r="R169" s="394"/>
      <c r="S169" s="394"/>
      <c r="T169" s="395"/>
      <c r="U169" s="35"/>
      <c r="V169" s="35"/>
      <c r="W169" s="36" t="s">
        <v>71</v>
      </c>
      <c r="X169" s="389">
        <v>0</v>
      </c>
      <c r="Y169" s="390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4301011726</v>
      </c>
      <c r="D170" s="396">
        <v>4680115884182</v>
      </c>
      <c r="E170" s="397"/>
      <c r="F170" s="388">
        <v>0.37</v>
      </c>
      <c r="G170" s="33">
        <v>10</v>
      </c>
      <c r="H170" s="388">
        <v>3.7</v>
      </c>
      <c r="I170" s="388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394"/>
      <c r="R170" s="394"/>
      <c r="S170" s="394"/>
      <c r="T170" s="395"/>
      <c r="U170" s="35"/>
      <c r="V170" s="35"/>
      <c r="W170" s="36" t="s">
        <v>71</v>
      </c>
      <c r="X170" s="389">
        <v>0</v>
      </c>
      <c r="Y170" s="390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279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4301011722</v>
      </c>
      <c r="D171" s="396">
        <v>4680115884205</v>
      </c>
      <c r="E171" s="397"/>
      <c r="F171" s="388">
        <v>0.4</v>
      </c>
      <c r="G171" s="33">
        <v>10</v>
      </c>
      <c r="H171" s="388">
        <v>4</v>
      </c>
      <c r="I171" s="388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394"/>
      <c r="R171" s="394"/>
      <c r="S171" s="394"/>
      <c r="T171" s="395"/>
      <c r="U171" s="35"/>
      <c r="V171" s="35"/>
      <c r="W171" s="36" t="s">
        <v>71</v>
      </c>
      <c r="X171" s="389">
        <v>0</v>
      </c>
      <c r="Y171" s="390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291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289</v>
      </c>
      <c r="B172" s="55" t="s">
        <v>292</v>
      </c>
      <c r="C172" s="32">
        <v>4301012195</v>
      </c>
      <c r="D172" s="396">
        <v>4680115884205</v>
      </c>
      <c r="E172" s="397"/>
      <c r="F172" s="388">
        <v>0.4</v>
      </c>
      <c r="G172" s="33">
        <v>10</v>
      </c>
      <c r="H172" s="388">
        <v>4</v>
      </c>
      <c r="I172" s="388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13" t="s">
        <v>293</v>
      </c>
      <c r="Q172" s="394"/>
      <c r="R172" s="394"/>
      <c r="S172" s="394"/>
      <c r="T172" s="395"/>
      <c r="U172" s="35"/>
      <c r="V172" s="35"/>
      <c r="W172" s="36" t="s">
        <v>71</v>
      </c>
      <c r="X172" s="389">
        <v>0</v>
      </c>
      <c r="Y172" s="390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291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1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19"/>
      <c r="P173" s="401" t="s">
        <v>76</v>
      </c>
      <c r="Q173" s="402"/>
      <c r="R173" s="402"/>
      <c r="S173" s="402"/>
      <c r="T173" s="402"/>
      <c r="U173" s="402"/>
      <c r="V173" s="403"/>
      <c r="W173" s="38" t="s">
        <v>77</v>
      </c>
      <c r="X173" s="391">
        <f>IFERROR(X165/H165,"0")+IFERROR(X166/H166,"0")+IFERROR(X167/H167,"0")+IFERROR(X168/H168,"0")+IFERROR(X169/H169,"0")+IFERROR(X170/H170,"0")+IFERROR(X171/H171,"0")+IFERROR(X172/H172,"0")</f>
        <v>0</v>
      </c>
      <c r="Y173" s="391">
        <f>IFERROR(Y165/H165,"0")+IFERROR(Y166/H166,"0")+IFERROR(Y167/H167,"0")+IFERROR(Y168/H168,"0")+IFERROR(Y169/H169,"0")+IFERROR(Y170/H170,"0")+IFERROR(Y171/H171,"0")+IFERROR(Y172/H172,"0")</f>
        <v>0</v>
      </c>
      <c r="Z173" s="391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392"/>
      <c r="AB173" s="392"/>
      <c r="AC173" s="392"/>
    </row>
    <row r="174" spans="1:68" x14ac:dyDescent="0.2">
      <c r="A174" s="408"/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19"/>
      <c r="P174" s="401" t="s">
        <v>76</v>
      </c>
      <c r="Q174" s="402"/>
      <c r="R174" s="402"/>
      <c r="S174" s="402"/>
      <c r="T174" s="402"/>
      <c r="U174" s="402"/>
      <c r="V174" s="403"/>
      <c r="W174" s="38" t="s">
        <v>71</v>
      </c>
      <c r="X174" s="391">
        <f>IFERROR(SUM(X165:X172),"0")</f>
        <v>0</v>
      </c>
      <c r="Y174" s="391">
        <f>IFERROR(SUM(Y165:Y172),"0")</f>
        <v>0</v>
      </c>
      <c r="Z174" s="38"/>
      <c r="AA174" s="392"/>
      <c r="AB174" s="392"/>
      <c r="AC174" s="392"/>
    </row>
    <row r="175" spans="1:68" ht="16.5" customHeight="1" x14ac:dyDescent="0.25">
      <c r="A175" s="407" t="s">
        <v>294</v>
      </c>
      <c r="B175" s="408"/>
      <c r="C175" s="408"/>
      <c r="D175" s="408"/>
      <c r="E175" s="408"/>
      <c r="F175" s="408"/>
      <c r="G175" s="408"/>
      <c r="H175" s="408"/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384"/>
      <c r="AB175" s="384"/>
      <c r="AC175" s="384"/>
    </row>
    <row r="176" spans="1:68" ht="14.25" customHeight="1" x14ac:dyDescent="0.25">
      <c r="A176" s="410" t="s">
        <v>86</v>
      </c>
      <c r="B176" s="408"/>
      <c r="C176" s="408"/>
      <c r="D176" s="408"/>
      <c r="E176" s="408"/>
      <c r="F176" s="408"/>
      <c r="G176" s="408"/>
      <c r="H176" s="408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  <c r="AA176" s="385"/>
      <c r="AB176" s="385"/>
      <c r="AC176" s="385"/>
    </row>
    <row r="177" spans="1:68" ht="27" customHeight="1" x14ac:dyDescent="0.25">
      <c r="A177" s="55" t="s">
        <v>295</v>
      </c>
      <c r="B177" s="55" t="s">
        <v>296</v>
      </c>
      <c r="C177" s="32">
        <v>4301011855</v>
      </c>
      <c r="D177" s="396">
        <v>4680115885837</v>
      </c>
      <c r="E177" s="397"/>
      <c r="F177" s="388">
        <v>1.35</v>
      </c>
      <c r="G177" s="33">
        <v>8</v>
      </c>
      <c r="H177" s="388">
        <v>10.8</v>
      </c>
      <c r="I177" s="388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394"/>
      <c r="R177" s="394"/>
      <c r="S177" s="394"/>
      <c r="T177" s="395"/>
      <c r="U177" s="35"/>
      <c r="V177" s="35"/>
      <c r="W177" s="36" t="s">
        <v>71</v>
      </c>
      <c r="X177" s="389">
        <v>0</v>
      </c>
      <c r="Y177" s="390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297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298</v>
      </c>
      <c r="B178" s="55" t="s">
        <v>299</v>
      </c>
      <c r="C178" s="32">
        <v>4301011853</v>
      </c>
      <c r="D178" s="396">
        <v>4680115885851</v>
      </c>
      <c r="E178" s="397"/>
      <c r="F178" s="388">
        <v>1.35</v>
      </c>
      <c r="G178" s="33">
        <v>8</v>
      </c>
      <c r="H178" s="388">
        <v>10.8</v>
      </c>
      <c r="I178" s="388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5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394"/>
      <c r="R178" s="394"/>
      <c r="S178" s="394"/>
      <c r="T178" s="395"/>
      <c r="U178" s="35"/>
      <c r="V178" s="35"/>
      <c r="W178" s="36" t="s">
        <v>71</v>
      </c>
      <c r="X178" s="389">
        <v>0</v>
      </c>
      <c r="Y178" s="390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300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301</v>
      </c>
      <c r="B179" s="55" t="s">
        <v>302</v>
      </c>
      <c r="C179" s="32">
        <v>4301011850</v>
      </c>
      <c r="D179" s="396">
        <v>4680115885806</v>
      </c>
      <c r="E179" s="397"/>
      <c r="F179" s="388">
        <v>1.35</v>
      </c>
      <c r="G179" s="33">
        <v>8</v>
      </c>
      <c r="H179" s="388">
        <v>10.8</v>
      </c>
      <c r="I179" s="388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394"/>
      <c r="R179" s="394"/>
      <c r="S179" s="394"/>
      <c r="T179" s="395"/>
      <c r="U179" s="35"/>
      <c r="V179" s="35"/>
      <c r="W179" s="36" t="s">
        <v>71</v>
      </c>
      <c r="X179" s="389">
        <v>0</v>
      </c>
      <c r="Y179" s="390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303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304</v>
      </c>
      <c r="B180" s="55" t="s">
        <v>305</v>
      </c>
      <c r="C180" s="32">
        <v>4301011852</v>
      </c>
      <c r="D180" s="396">
        <v>4680115885844</v>
      </c>
      <c r="E180" s="397"/>
      <c r="F180" s="388">
        <v>0.4</v>
      </c>
      <c r="G180" s="33">
        <v>10</v>
      </c>
      <c r="H180" s="388">
        <v>4</v>
      </c>
      <c r="I180" s="388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8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394"/>
      <c r="R180" s="394"/>
      <c r="S180" s="394"/>
      <c r="T180" s="395"/>
      <c r="U180" s="35"/>
      <c r="V180" s="35"/>
      <c r="W180" s="36" t="s">
        <v>71</v>
      </c>
      <c r="X180" s="389">
        <v>0</v>
      </c>
      <c r="Y180" s="390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306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37.5" customHeight="1" x14ac:dyDescent="0.25">
      <c r="A181" s="55" t="s">
        <v>307</v>
      </c>
      <c r="B181" s="55" t="s">
        <v>308</v>
      </c>
      <c r="C181" s="32">
        <v>4301011851</v>
      </c>
      <c r="D181" s="396">
        <v>4680115885820</v>
      </c>
      <c r="E181" s="397"/>
      <c r="F181" s="388">
        <v>0.4</v>
      </c>
      <c r="G181" s="33">
        <v>10</v>
      </c>
      <c r="H181" s="388">
        <v>4</v>
      </c>
      <c r="I181" s="388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394"/>
      <c r="R181" s="394"/>
      <c r="S181" s="394"/>
      <c r="T181" s="395"/>
      <c r="U181" s="35"/>
      <c r="V181" s="35"/>
      <c r="W181" s="36" t="s">
        <v>71</v>
      </c>
      <c r="X181" s="389">
        <v>100</v>
      </c>
      <c r="Y181" s="390">
        <f>IFERROR(IF(X181="",0,CEILING((X181/$H181),1)*$H181),"")</f>
        <v>100</v>
      </c>
      <c r="Z181" s="37">
        <f>IFERROR(IF(Y181=0,"",ROUNDUP(Y181/H181,0)*0.00902),"")</f>
        <v>0.22550000000000001</v>
      </c>
      <c r="AA181" s="57"/>
      <c r="AB181" s="58"/>
      <c r="AC181" s="228" t="s">
        <v>309</v>
      </c>
      <c r="AG181" s="65"/>
      <c r="AJ181" s="69"/>
      <c r="AK181" s="69">
        <v>0</v>
      </c>
      <c r="BB181" s="229" t="s">
        <v>1</v>
      </c>
      <c r="BM181" s="65">
        <f>IFERROR(X181*I181/H181,"0")</f>
        <v>105.25</v>
      </c>
      <c r="BN181" s="65">
        <f>IFERROR(Y181*I181/H181,"0")</f>
        <v>105.25</v>
      </c>
      <c r="BO181" s="65">
        <f>IFERROR(1/J181*(X181/H181),"0")</f>
        <v>0.18939393939393939</v>
      </c>
      <c r="BP181" s="65">
        <f>IFERROR(1/J181*(Y181/H181),"0")</f>
        <v>0.18939393939393939</v>
      </c>
    </row>
    <row r="182" spans="1:68" x14ac:dyDescent="0.2">
      <c r="A182" s="418"/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19"/>
      <c r="P182" s="401" t="s">
        <v>76</v>
      </c>
      <c r="Q182" s="402"/>
      <c r="R182" s="402"/>
      <c r="S182" s="402"/>
      <c r="T182" s="402"/>
      <c r="U182" s="402"/>
      <c r="V182" s="403"/>
      <c r="W182" s="38" t="s">
        <v>77</v>
      </c>
      <c r="X182" s="391">
        <f>IFERROR(X177/H177,"0")+IFERROR(X178/H178,"0")+IFERROR(X179/H179,"0")+IFERROR(X180/H180,"0")+IFERROR(X181/H181,"0")</f>
        <v>25</v>
      </c>
      <c r="Y182" s="391">
        <f>IFERROR(Y177/H177,"0")+IFERROR(Y178/H178,"0")+IFERROR(Y179/H179,"0")+IFERROR(Y180/H180,"0")+IFERROR(Y181/H181,"0")</f>
        <v>25</v>
      </c>
      <c r="Z182" s="391">
        <f>IFERROR(IF(Z177="",0,Z177),"0")+IFERROR(IF(Z178="",0,Z178),"0")+IFERROR(IF(Z179="",0,Z179),"0")+IFERROR(IF(Z180="",0,Z180),"0")+IFERROR(IF(Z181="",0,Z181),"0")</f>
        <v>0.22550000000000001</v>
      </c>
      <c r="AA182" s="392"/>
      <c r="AB182" s="392"/>
      <c r="AC182" s="392"/>
    </row>
    <row r="183" spans="1:68" x14ac:dyDescent="0.2">
      <c r="A183" s="408"/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19"/>
      <c r="P183" s="401" t="s">
        <v>76</v>
      </c>
      <c r="Q183" s="402"/>
      <c r="R183" s="402"/>
      <c r="S183" s="402"/>
      <c r="T183" s="402"/>
      <c r="U183" s="402"/>
      <c r="V183" s="403"/>
      <c r="W183" s="38" t="s">
        <v>71</v>
      </c>
      <c r="X183" s="391">
        <f>IFERROR(SUM(X177:X181),"0")</f>
        <v>100</v>
      </c>
      <c r="Y183" s="391">
        <f>IFERROR(SUM(Y177:Y181),"0")</f>
        <v>100</v>
      </c>
      <c r="Z183" s="38"/>
      <c r="AA183" s="392"/>
      <c r="AB183" s="392"/>
      <c r="AC183" s="392"/>
    </row>
    <row r="184" spans="1:68" ht="16.5" customHeight="1" x14ac:dyDescent="0.25">
      <c r="A184" s="407" t="s">
        <v>310</v>
      </c>
      <c r="B184" s="408"/>
      <c r="C184" s="408"/>
      <c r="D184" s="408"/>
      <c r="E184" s="408"/>
      <c r="F184" s="408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  <c r="AA184" s="384"/>
      <c r="AB184" s="384"/>
      <c r="AC184" s="384"/>
    </row>
    <row r="185" spans="1:68" ht="14.25" customHeight="1" x14ac:dyDescent="0.25">
      <c r="A185" s="410" t="s">
        <v>86</v>
      </c>
      <c r="B185" s="408"/>
      <c r="C185" s="408"/>
      <c r="D185" s="408"/>
      <c r="E185" s="408"/>
      <c r="F185" s="408"/>
      <c r="G185" s="408"/>
      <c r="H185" s="408"/>
      <c r="I185" s="408"/>
      <c r="J185" s="408"/>
      <c r="K185" s="408"/>
      <c r="L185" s="408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  <c r="AA185" s="385"/>
      <c r="AB185" s="385"/>
      <c r="AC185" s="385"/>
    </row>
    <row r="186" spans="1:68" ht="27" customHeight="1" x14ac:dyDescent="0.25">
      <c r="A186" s="55" t="s">
        <v>311</v>
      </c>
      <c r="B186" s="55" t="s">
        <v>312</v>
      </c>
      <c r="C186" s="32">
        <v>4301011223</v>
      </c>
      <c r="D186" s="396">
        <v>4607091383423</v>
      </c>
      <c r="E186" s="397"/>
      <c r="F186" s="388">
        <v>1.35</v>
      </c>
      <c r="G186" s="33">
        <v>8</v>
      </c>
      <c r="H186" s="388">
        <v>10.8</v>
      </c>
      <c r="I186" s="388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394"/>
      <c r="R186" s="394"/>
      <c r="S186" s="394"/>
      <c r="T186" s="395"/>
      <c r="U186" s="35"/>
      <c r="V186" s="35"/>
      <c r="W186" s="36" t="s">
        <v>71</v>
      </c>
      <c r="X186" s="389">
        <v>0</v>
      </c>
      <c r="Y186" s="390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313</v>
      </c>
      <c r="B187" s="55" t="s">
        <v>314</v>
      </c>
      <c r="C187" s="32">
        <v>4301012199</v>
      </c>
      <c r="D187" s="396">
        <v>4680115886957</v>
      </c>
      <c r="E187" s="397"/>
      <c r="F187" s="388">
        <v>1.35</v>
      </c>
      <c r="G187" s="33">
        <v>8</v>
      </c>
      <c r="H187" s="388">
        <v>10.8</v>
      </c>
      <c r="I187" s="388">
        <v>11.234999999999999</v>
      </c>
      <c r="J187" s="33">
        <v>64</v>
      </c>
      <c r="K187" s="33" t="s">
        <v>89</v>
      </c>
      <c r="L187" s="33"/>
      <c r="M187" s="34" t="s">
        <v>95</v>
      </c>
      <c r="N187" s="34"/>
      <c r="O187" s="33">
        <v>30</v>
      </c>
      <c r="P187" s="474" t="s">
        <v>315</v>
      </c>
      <c r="Q187" s="394"/>
      <c r="R187" s="394"/>
      <c r="S187" s="394"/>
      <c r="T187" s="395"/>
      <c r="U187" s="35"/>
      <c r="V187" s="35"/>
      <c r="W187" s="36" t="s">
        <v>71</v>
      </c>
      <c r="X187" s="389">
        <v>0</v>
      </c>
      <c r="Y187" s="390">
        <f>IFERROR(IF(X187="",0,CEILING((X187/$H187),1)*$H187),"")</f>
        <v>0</v>
      </c>
      <c r="Z187" s="37" t="str">
        <f>IFERROR(IF(Y187=0,"",ROUNDUP(Y187/H187,0)*0.01898),"")</f>
        <v/>
      </c>
      <c r="AA187" s="57"/>
      <c r="AB187" s="58"/>
      <c r="AC187" s="232" t="s">
        <v>316</v>
      </c>
      <c r="AG187" s="65"/>
      <c r="AJ187" s="69"/>
      <c r="AK187" s="69">
        <v>0</v>
      </c>
      <c r="BB187" s="233" t="s">
        <v>1</v>
      </c>
      <c r="BM187" s="65">
        <f>IFERROR(X187*I187/H187,"0")</f>
        <v>0</v>
      </c>
      <c r="BN187" s="65">
        <f>IFERROR(Y187*I187/H187,"0")</f>
        <v>0</v>
      </c>
      <c r="BO187" s="65">
        <f>IFERROR(1/J187*(X187/H187),"0")</f>
        <v>0</v>
      </c>
      <c r="BP187" s="65">
        <f>IFERROR(1/J187*(Y187/H187),"0")</f>
        <v>0</v>
      </c>
    </row>
    <row r="188" spans="1:68" x14ac:dyDescent="0.2">
      <c r="A188" s="418"/>
      <c r="B188" s="408"/>
      <c r="C188" s="408"/>
      <c r="D188" s="408"/>
      <c r="E188" s="408"/>
      <c r="F188" s="408"/>
      <c r="G188" s="408"/>
      <c r="H188" s="408"/>
      <c r="I188" s="408"/>
      <c r="J188" s="408"/>
      <c r="K188" s="408"/>
      <c r="L188" s="408"/>
      <c r="M188" s="408"/>
      <c r="N188" s="408"/>
      <c r="O188" s="419"/>
      <c r="P188" s="401" t="s">
        <v>76</v>
      </c>
      <c r="Q188" s="402"/>
      <c r="R188" s="402"/>
      <c r="S188" s="402"/>
      <c r="T188" s="402"/>
      <c r="U188" s="402"/>
      <c r="V188" s="403"/>
      <c r="W188" s="38" t="s">
        <v>77</v>
      </c>
      <c r="X188" s="391">
        <f>IFERROR(X186/H186,"0")+IFERROR(X187/H187,"0")</f>
        <v>0</v>
      </c>
      <c r="Y188" s="391">
        <f>IFERROR(Y186/H186,"0")+IFERROR(Y187/H187,"0")</f>
        <v>0</v>
      </c>
      <c r="Z188" s="391">
        <f>IFERROR(IF(Z186="",0,Z186),"0")+IFERROR(IF(Z187="",0,Z187),"0")</f>
        <v>0</v>
      </c>
      <c r="AA188" s="392"/>
      <c r="AB188" s="392"/>
      <c r="AC188" s="392"/>
    </row>
    <row r="189" spans="1:68" x14ac:dyDescent="0.2">
      <c r="A189" s="408"/>
      <c r="B189" s="408"/>
      <c r="C189" s="408"/>
      <c r="D189" s="408"/>
      <c r="E189" s="408"/>
      <c r="F189" s="408"/>
      <c r="G189" s="408"/>
      <c r="H189" s="408"/>
      <c r="I189" s="408"/>
      <c r="J189" s="408"/>
      <c r="K189" s="408"/>
      <c r="L189" s="408"/>
      <c r="M189" s="408"/>
      <c r="N189" s="408"/>
      <c r="O189" s="419"/>
      <c r="P189" s="401" t="s">
        <v>76</v>
      </c>
      <c r="Q189" s="402"/>
      <c r="R189" s="402"/>
      <c r="S189" s="402"/>
      <c r="T189" s="402"/>
      <c r="U189" s="402"/>
      <c r="V189" s="403"/>
      <c r="W189" s="38" t="s">
        <v>71</v>
      </c>
      <c r="X189" s="391">
        <f>IFERROR(SUM(X186:X187),"0")</f>
        <v>0</v>
      </c>
      <c r="Y189" s="391">
        <f>IFERROR(SUM(Y186:Y187),"0")</f>
        <v>0</v>
      </c>
      <c r="Z189" s="38"/>
      <c r="AA189" s="392"/>
      <c r="AB189" s="392"/>
      <c r="AC189" s="392"/>
    </row>
    <row r="190" spans="1:68" ht="16.5" customHeight="1" x14ac:dyDescent="0.25">
      <c r="A190" s="407" t="s">
        <v>317</v>
      </c>
      <c r="B190" s="408"/>
      <c r="C190" s="408"/>
      <c r="D190" s="408"/>
      <c r="E190" s="408"/>
      <c r="F190" s="408"/>
      <c r="G190" s="408"/>
      <c r="H190" s="408"/>
      <c r="I190" s="408"/>
      <c r="J190" s="408"/>
      <c r="K190" s="408"/>
      <c r="L190" s="408"/>
      <c r="M190" s="408"/>
      <c r="N190" s="408"/>
      <c r="O190" s="408"/>
      <c r="P190" s="408"/>
      <c r="Q190" s="408"/>
      <c r="R190" s="408"/>
      <c r="S190" s="408"/>
      <c r="T190" s="408"/>
      <c r="U190" s="408"/>
      <c r="V190" s="408"/>
      <c r="W190" s="408"/>
      <c r="X190" s="408"/>
      <c r="Y190" s="408"/>
      <c r="Z190" s="408"/>
      <c r="AA190" s="384"/>
      <c r="AB190" s="384"/>
      <c r="AC190" s="384"/>
    </row>
    <row r="191" spans="1:68" ht="14.25" customHeight="1" x14ac:dyDescent="0.25">
      <c r="A191" s="410" t="s">
        <v>66</v>
      </c>
      <c r="B191" s="408"/>
      <c r="C191" s="408"/>
      <c r="D191" s="408"/>
      <c r="E191" s="408"/>
      <c r="F191" s="408"/>
      <c r="G191" s="408"/>
      <c r="H191" s="408"/>
      <c r="I191" s="408"/>
      <c r="J191" s="408"/>
      <c r="K191" s="408"/>
      <c r="L191" s="408"/>
      <c r="M191" s="408"/>
      <c r="N191" s="408"/>
      <c r="O191" s="408"/>
      <c r="P191" s="408"/>
      <c r="Q191" s="408"/>
      <c r="R191" s="408"/>
      <c r="S191" s="408"/>
      <c r="T191" s="408"/>
      <c r="U191" s="408"/>
      <c r="V191" s="408"/>
      <c r="W191" s="408"/>
      <c r="X191" s="408"/>
      <c r="Y191" s="408"/>
      <c r="Z191" s="408"/>
      <c r="AA191" s="385"/>
      <c r="AB191" s="385"/>
      <c r="AC191" s="385"/>
    </row>
    <row r="192" spans="1:68" ht="37.5" customHeight="1" x14ac:dyDescent="0.25">
      <c r="A192" s="55" t="s">
        <v>318</v>
      </c>
      <c r="B192" s="55" t="s">
        <v>319</v>
      </c>
      <c r="C192" s="32">
        <v>4301051388</v>
      </c>
      <c r="D192" s="396">
        <v>4680115881211</v>
      </c>
      <c r="E192" s="397"/>
      <c r="F192" s="388">
        <v>0.4</v>
      </c>
      <c r="G192" s="33">
        <v>6</v>
      </c>
      <c r="H192" s="388">
        <v>2.4</v>
      </c>
      <c r="I192" s="388">
        <v>2.58</v>
      </c>
      <c r="J192" s="33">
        <v>182</v>
      </c>
      <c r="K192" s="33" t="s">
        <v>69</v>
      </c>
      <c r="L192" s="33"/>
      <c r="M192" s="34" t="s">
        <v>95</v>
      </c>
      <c r="N192" s="34"/>
      <c r="O192" s="33">
        <v>45</v>
      </c>
      <c r="P192" s="4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394"/>
      <c r="R192" s="394"/>
      <c r="S192" s="394"/>
      <c r="T192" s="395"/>
      <c r="U192" s="35"/>
      <c r="V192" s="35"/>
      <c r="W192" s="36" t="s">
        <v>71</v>
      </c>
      <c r="X192" s="389">
        <v>0</v>
      </c>
      <c r="Y192" s="390">
        <f>IFERROR(IF(X192="",0,CEILING((X192/$H192),1)*$H192),"")</f>
        <v>0</v>
      </c>
      <c r="Z192" s="37" t="str">
        <f>IFERROR(IF(Y192=0,"",ROUNDUP(Y192/H192,0)*0.00651),"")</f>
        <v/>
      </c>
      <c r="AA192" s="57"/>
      <c r="AB192" s="58"/>
      <c r="AC192" s="234" t="s">
        <v>320</v>
      </c>
      <c r="AG192" s="65"/>
      <c r="AJ192" s="69"/>
      <c r="AK192" s="69">
        <v>0</v>
      </c>
      <c r="BB192" s="235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18"/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19"/>
      <c r="P193" s="401" t="s">
        <v>76</v>
      </c>
      <c r="Q193" s="402"/>
      <c r="R193" s="402"/>
      <c r="S193" s="402"/>
      <c r="T193" s="402"/>
      <c r="U193" s="402"/>
      <c r="V193" s="403"/>
      <c r="W193" s="38" t="s">
        <v>77</v>
      </c>
      <c r="X193" s="391">
        <f>IFERROR(X192/H192,"0")</f>
        <v>0</v>
      </c>
      <c r="Y193" s="391">
        <f>IFERROR(Y192/H192,"0")</f>
        <v>0</v>
      </c>
      <c r="Z193" s="391">
        <f>IFERROR(IF(Z192="",0,Z192),"0")</f>
        <v>0</v>
      </c>
      <c r="AA193" s="392"/>
      <c r="AB193" s="392"/>
      <c r="AC193" s="392"/>
    </row>
    <row r="194" spans="1:68" x14ac:dyDescent="0.2">
      <c r="A194" s="408"/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19"/>
      <c r="P194" s="401" t="s">
        <v>76</v>
      </c>
      <c r="Q194" s="402"/>
      <c r="R194" s="402"/>
      <c r="S194" s="402"/>
      <c r="T194" s="402"/>
      <c r="U194" s="402"/>
      <c r="V194" s="403"/>
      <c r="W194" s="38" t="s">
        <v>71</v>
      </c>
      <c r="X194" s="391">
        <f>IFERROR(SUM(X192:X192),"0")</f>
        <v>0</v>
      </c>
      <c r="Y194" s="391">
        <f>IFERROR(SUM(Y192:Y192),"0")</f>
        <v>0</v>
      </c>
      <c r="Z194" s="38"/>
      <c r="AA194" s="392"/>
      <c r="AB194" s="392"/>
      <c r="AC194" s="392"/>
    </row>
    <row r="195" spans="1:68" ht="16.5" customHeight="1" x14ac:dyDescent="0.25">
      <c r="A195" s="407" t="s">
        <v>321</v>
      </c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384"/>
      <c r="AB195" s="384"/>
      <c r="AC195" s="384"/>
    </row>
    <row r="196" spans="1:68" ht="14.25" customHeight="1" x14ac:dyDescent="0.25">
      <c r="A196" s="410" t="s">
        <v>66</v>
      </c>
      <c r="B196" s="408"/>
      <c r="C196" s="408"/>
      <c r="D196" s="408"/>
      <c r="E196" s="408"/>
      <c r="F196" s="408"/>
      <c r="G196" s="408"/>
      <c r="H196" s="408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385"/>
      <c r="AB196" s="385"/>
      <c r="AC196" s="385"/>
    </row>
    <row r="197" spans="1:68" ht="27" customHeight="1" x14ac:dyDescent="0.25">
      <c r="A197" s="55" t="s">
        <v>322</v>
      </c>
      <c r="B197" s="55" t="s">
        <v>323</v>
      </c>
      <c r="C197" s="32">
        <v>4301051782</v>
      </c>
      <c r="D197" s="396">
        <v>4680115884618</v>
      </c>
      <c r="E197" s="397"/>
      <c r="F197" s="388">
        <v>0.6</v>
      </c>
      <c r="G197" s="33">
        <v>6</v>
      </c>
      <c r="H197" s="388">
        <v>3.6</v>
      </c>
      <c r="I197" s="388">
        <v>3.81</v>
      </c>
      <c r="J197" s="33">
        <v>132</v>
      </c>
      <c r="K197" s="33" t="s">
        <v>94</v>
      </c>
      <c r="L197" s="33"/>
      <c r="M197" s="34" t="s">
        <v>95</v>
      </c>
      <c r="N197" s="34"/>
      <c r="O197" s="33">
        <v>45</v>
      </c>
      <c r="P197" s="4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394"/>
      <c r="R197" s="394"/>
      <c r="S197" s="394"/>
      <c r="T197" s="395"/>
      <c r="U197" s="35"/>
      <c r="V197" s="35"/>
      <c r="W197" s="36" t="s">
        <v>71</v>
      </c>
      <c r="X197" s="389">
        <v>0</v>
      </c>
      <c r="Y197" s="390">
        <f>IFERROR(IF(X197="",0,CEILING((X197/$H197),1)*$H197),"")</f>
        <v>0</v>
      </c>
      <c r="Z197" s="37" t="str">
        <f>IFERROR(IF(Y197=0,"",ROUNDUP(Y197/H197,0)*0.00902),"")</f>
        <v/>
      </c>
      <c r="AA197" s="57"/>
      <c r="AB197" s="58"/>
      <c r="AC197" s="236" t="s">
        <v>324</v>
      </c>
      <c r="AG197" s="65"/>
      <c r="AJ197" s="69"/>
      <c r="AK197" s="69">
        <v>0</v>
      </c>
      <c r="BB197" s="237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x14ac:dyDescent="0.2">
      <c r="A198" s="41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19"/>
      <c r="P198" s="401" t="s">
        <v>76</v>
      </c>
      <c r="Q198" s="402"/>
      <c r="R198" s="402"/>
      <c r="S198" s="402"/>
      <c r="T198" s="402"/>
      <c r="U198" s="402"/>
      <c r="V198" s="403"/>
      <c r="W198" s="38" t="s">
        <v>77</v>
      </c>
      <c r="X198" s="391">
        <f>IFERROR(X197/H197,"0")</f>
        <v>0</v>
      </c>
      <c r="Y198" s="391">
        <f>IFERROR(Y197/H197,"0")</f>
        <v>0</v>
      </c>
      <c r="Z198" s="391">
        <f>IFERROR(IF(Z197="",0,Z197),"0")</f>
        <v>0</v>
      </c>
      <c r="AA198" s="392"/>
      <c r="AB198" s="392"/>
      <c r="AC198" s="392"/>
    </row>
    <row r="199" spans="1:68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19"/>
      <c r="P199" s="401" t="s">
        <v>76</v>
      </c>
      <c r="Q199" s="402"/>
      <c r="R199" s="402"/>
      <c r="S199" s="402"/>
      <c r="T199" s="402"/>
      <c r="U199" s="402"/>
      <c r="V199" s="403"/>
      <c r="W199" s="38" t="s">
        <v>71</v>
      </c>
      <c r="X199" s="391">
        <f>IFERROR(SUM(X197:X197),"0")</f>
        <v>0</v>
      </c>
      <c r="Y199" s="391">
        <f>IFERROR(SUM(Y197:Y197),"0")</f>
        <v>0</v>
      </c>
      <c r="Z199" s="38"/>
      <c r="AA199" s="392"/>
      <c r="AB199" s="392"/>
      <c r="AC199" s="392"/>
    </row>
    <row r="200" spans="1:68" ht="16.5" customHeight="1" x14ac:dyDescent="0.25">
      <c r="A200" s="407" t="s">
        <v>325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408"/>
      <c r="AA200" s="384"/>
      <c r="AB200" s="384"/>
      <c r="AC200" s="384"/>
    </row>
    <row r="201" spans="1:68" ht="14.25" customHeight="1" x14ac:dyDescent="0.25">
      <c r="A201" s="410" t="s">
        <v>86</v>
      </c>
      <c r="B201" s="408"/>
      <c r="C201" s="408"/>
      <c r="D201" s="408"/>
      <c r="E201" s="408"/>
      <c r="F201" s="408"/>
      <c r="G201" s="408"/>
      <c r="H201" s="408"/>
      <c r="I201" s="408"/>
      <c r="J201" s="408"/>
      <c r="K201" s="408"/>
      <c r="L201" s="408"/>
      <c r="M201" s="408"/>
      <c r="N201" s="408"/>
      <c r="O201" s="408"/>
      <c r="P201" s="408"/>
      <c r="Q201" s="408"/>
      <c r="R201" s="408"/>
      <c r="S201" s="408"/>
      <c r="T201" s="408"/>
      <c r="U201" s="408"/>
      <c r="V201" s="408"/>
      <c r="W201" s="408"/>
      <c r="X201" s="408"/>
      <c r="Y201" s="408"/>
      <c r="Z201" s="408"/>
      <c r="AA201" s="385"/>
      <c r="AB201" s="385"/>
      <c r="AC201" s="385"/>
    </row>
    <row r="202" spans="1:68" ht="27" customHeight="1" x14ac:dyDescent="0.25">
      <c r="A202" s="55" t="s">
        <v>326</v>
      </c>
      <c r="B202" s="55" t="s">
        <v>327</v>
      </c>
      <c r="C202" s="32">
        <v>4301011662</v>
      </c>
      <c r="D202" s="396">
        <v>4680115883703</v>
      </c>
      <c r="E202" s="397"/>
      <c r="F202" s="388">
        <v>1.35</v>
      </c>
      <c r="G202" s="33">
        <v>8</v>
      </c>
      <c r="H202" s="388">
        <v>10.8</v>
      </c>
      <c r="I202" s="388">
        <v>11.234999999999999</v>
      </c>
      <c r="J202" s="33">
        <v>64</v>
      </c>
      <c r="K202" s="33" t="s">
        <v>89</v>
      </c>
      <c r="L202" s="33"/>
      <c r="M202" s="34" t="s">
        <v>90</v>
      </c>
      <c r="N202" s="34"/>
      <c r="O202" s="33">
        <v>55</v>
      </c>
      <c r="P202" s="63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394"/>
      <c r="R202" s="394"/>
      <c r="S202" s="394"/>
      <c r="T202" s="395"/>
      <c r="U202" s="35"/>
      <c r="V202" s="35"/>
      <c r="W202" s="36" t="s">
        <v>71</v>
      </c>
      <c r="X202" s="389">
        <v>0</v>
      </c>
      <c r="Y202" s="390">
        <f>IFERROR(IF(X202="",0,CEILING((X202/$H202),1)*$H202),"")</f>
        <v>0</v>
      </c>
      <c r="Z202" s="37" t="str">
        <f>IFERROR(IF(Y202=0,"",ROUNDUP(Y202/H202,0)*0.01898),"")</f>
        <v/>
      </c>
      <c r="AA202" s="57" t="s">
        <v>328</v>
      </c>
      <c r="AB202" s="58"/>
      <c r="AC202" s="238" t="s">
        <v>329</v>
      </c>
      <c r="AG202" s="65"/>
      <c r="AJ202" s="69"/>
      <c r="AK202" s="69">
        <v>0</v>
      </c>
      <c r="BB202" s="239" t="s">
        <v>1</v>
      </c>
      <c r="BM202" s="65">
        <f>IFERROR(X202*I202/H202,"0")</f>
        <v>0</v>
      </c>
      <c r="BN202" s="65">
        <f>IFERROR(Y202*I202/H202,"0")</f>
        <v>0</v>
      </c>
      <c r="BO202" s="65">
        <f>IFERROR(1/J202*(X202/H202),"0")</f>
        <v>0</v>
      </c>
      <c r="BP202" s="65">
        <f>IFERROR(1/J202*(Y202/H202),"0")</f>
        <v>0</v>
      </c>
    </row>
    <row r="203" spans="1:68" x14ac:dyDescent="0.2">
      <c r="A203" s="41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8"/>
      <c r="O203" s="419"/>
      <c r="P203" s="401" t="s">
        <v>76</v>
      </c>
      <c r="Q203" s="402"/>
      <c r="R203" s="402"/>
      <c r="S203" s="402"/>
      <c r="T203" s="402"/>
      <c r="U203" s="402"/>
      <c r="V203" s="403"/>
      <c r="W203" s="38" t="s">
        <v>77</v>
      </c>
      <c r="X203" s="391">
        <f>IFERROR(X202/H202,"0")</f>
        <v>0</v>
      </c>
      <c r="Y203" s="391">
        <f>IFERROR(Y202/H202,"0")</f>
        <v>0</v>
      </c>
      <c r="Z203" s="391">
        <f>IFERROR(IF(Z202="",0,Z202),"0")</f>
        <v>0</v>
      </c>
      <c r="AA203" s="392"/>
      <c r="AB203" s="392"/>
      <c r="AC203" s="392"/>
    </row>
    <row r="204" spans="1:68" x14ac:dyDescent="0.2">
      <c r="A204" s="408"/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19"/>
      <c r="P204" s="401" t="s">
        <v>76</v>
      </c>
      <c r="Q204" s="402"/>
      <c r="R204" s="402"/>
      <c r="S204" s="402"/>
      <c r="T204" s="402"/>
      <c r="U204" s="402"/>
      <c r="V204" s="403"/>
      <c r="W204" s="38" t="s">
        <v>71</v>
      </c>
      <c r="X204" s="391">
        <f>IFERROR(SUM(X202:X202),"0")</f>
        <v>0</v>
      </c>
      <c r="Y204" s="391">
        <f>IFERROR(SUM(Y202:Y202),"0")</f>
        <v>0</v>
      </c>
      <c r="Z204" s="38"/>
      <c r="AA204" s="392"/>
      <c r="AB204" s="392"/>
      <c r="AC204" s="392"/>
    </row>
    <row r="205" spans="1:68" ht="16.5" customHeight="1" x14ac:dyDescent="0.25">
      <c r="A205" s="407" t="s">
        <v>330</v>
      </c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08"/>
      <c r="O205" s="408"/>
      <c r="P205" s="408"/>
      <c r="Q205" s="408"/>
      <c r="R205" s="408"/>
      <c r="S205" s="408"/>
      <c r="T205" s="408"/>
      <c r="U205" s="408"/>
      <c r="V205" s="408"/>
      <c r="W205" s="408"/>
      <c r="X205" s="408"/>
      <c r="Y205" s="408"/>
      <c r="Z205" s="408"/>
      <c r="AA205" s="384"/>
      <c r="AB205" s="384"/>
      <c r="AC205" s="384"/>
    </row>
    <row r="206" spans="1:68" ht="14.25" customHeight="1" x14ac:dyDescent="0.25">
      <c r="A206" s="410" t="s">
        <v>86</v>
      </c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385"/>
      <c r="AB206" s="385"/>
      <c r="AC206" s="385"/>
    </row>
    <row r="207" spans="1:68" ht="27" customHeight="1" x14ac:dyDescent="0.25">
      <c r="A207" s="55" t="s">
        <v>331</v>
      </c>
      <c r="B207" s="55" t="s">
        <v>332</v>
      </c>
      <c r="C207" s="32">
        <v>4301012024</v>
      </c>
      <c r="D207" s="396">
        <v>4680115885615</v>
      </c>
      <c r="E207" s="397"/>
      <c r="F207" s="388">
        <v>1.35</v>
      </c>
      <c r="G207" s="33">
        <v>8</v>
      </c>
      <c r="H207" s="388">
        <v>10.8</v>
      </c>
      <c r="I207" s="388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394"/>
      <c r="R207" s="394"/>
      <c r="S207" s="394"/>
      <c r="T207" s="395"/>
      <c r="U207" s="35"/>
      <c r="V207" s="35"/>
      <c r="W207" s="36" t="s">
        <v>71</v>
      </c>
      <c r="X207" s="389">
        <v>0</v>
      </c>
      <c r="Y207" s="390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333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334</v>
      </c>
      <c r="B208" s="55" t="s">
        <v>335</v>
      </c>
      <c r="C208" s="32">
        <v>4301011858</v>
      </c>
      <c r="D208" s="396">
        <v>4680115885646</v>
      </c>
      <c r="E208" s="397"/>
      <c r="F208" s="388">
        <v>1.35</v>
      </c>
      <c r="G208" s="33">
        <v>8</v>
      </c>
      <c r="H208" s="388">
        <v>10.8</v>
      </c>
      <c r="I208" s="388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394"/>
      <c r="R208" s="394"/>
      <c r="S208" s="394"/>
      <c r="T208" s="395"/>
      <c r="U208" s="35"/>
      <c r="V208" s="35"/>
      <c r="W208" s="36" t="s">
        <v>71</v>
      </c>
      <c r="X208" s="389">
        <v>0</v>
      </c>
      <c r="Y208" s="390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336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4301012016</v>
      </c>
      <c r="D209" s="396">
        <v>4680115885554</v>
      </c>
      <c r="E209" s="397"/>
      <c r="F209" s="388">
        <v>1.35</v>
      </c>
      <c r="G209" s="33">
        <v>8</v>
      </c>
      <c r="H209" s="388">
        <v>10.8</v>
      </c>
      <c r="I209" s="388">
        <v>11.234999999999999</v>
      </c>
      <c r="J209" s="33">
        <v>64</v>
      </c>
      <c r="K209" s="33" t="s">
        <v>89</v>
      </c>
      <c r="L209" s="33"/>
      <c r="M209" s="34" t="s">
        <v>95</v>
      </c>
      <c r="N209" s="34"/>
      <c r="O209" s="33">
        <v>55</v>
      </c>
      <c r="P209" s="43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394"/>
      <c r="R209" s="394"/>
      <c r="S209" s="394"/>
      <c r="T209" s="395"/>
      <c r="U209" s="35"/>
      <c r="V209" s="35"/>
      <c r="W209" s="36" t="s">
        <v>71</v>
      </c>
      <c r="X209" s="389">
        <v>0</v>
      </c>
      <c r="Y209" s="390">
        <f>IFERROR(IF(X209="",0,CEILING((X209/$H209),1)*$H209),"")</f>
        <v>0</v>
      </c>
      <c r="Z209" s="37" t="str">
        <f>IFERROR(IF(Y209=0,"",ROUNDUP(Y209/H209,0)*0.01898),"")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340</v>
      </c>
      <c r="B210" s="55" t="s">
        <v>341</v>
      </c>
      <c r="C210" s="32">
        <v>4301011857</v>
      </c>
      <c r="D210" s="396">
        <v>4680115885622</v>
      </c>
      <c r="E210" s="397"/>
      <c r="F210" s="388">
        <v>0.4</v>
      </c>
      <c r="G210" s="33">
        <v>10</v>
      </c>
      <c r="H210" s="388">
        <v>4</v>
      </c>
      <c r="I210" s="388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394"/>
      <c r="R210" s="394"/>
      <c r="S210" s="394"/>
      <c r="T210" s="395"/>
      <c r="U210" s="35"/>
      <c r="V210" s="35"/>
      <c r="W210" s="36" t="s">
        <v>71</v>
      </c>
      <c r="X210" s="389">
        <v>0</v>
      </c>
      <c r="Y210" s="390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333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ht="27" customHeight="1" x14ac:dyDescent="0.25">
      <c r="A211" s="55" t="s">
        <v>342</v>
      </c>
      <c r="B211" s="55" t="s">
        <v>343</v>
      </c>
      <c r="C211" s="32">
        <v>4301011859</v>
      </c>
      <c r="D211" s="396">
        <v>4680115885608</v>
      </c>
      <c r="E211" s="397"/>
      <c r="F211" s="388">
        <v>0.4</v>
      </c>
      <c r="G211" s="33">
        <v>10</v>
      </c>
      <c r="H211" s="388">
        <v>4</v>
      </c>
      <c r="I211" s="388">
        <v>4.21</v>
      </c>
      <c r="J211" s="33">
        <v>132</v>
      </c>
      <c r="K211" s="33" t="s">
        <v>94</v>
      </c>
      <c r="L211" s="33"/>
      <c r="M211" s="34" t="s">
        <v>90</v>
      </c>
      <c r="N211" s="34"/>
      <c r="O211" s="33">
        <v>55</v>
      </c>
      <c r="P211" s="5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394"/>
      <c r="R211" s="394"/>
      <c r="S211" s="394"/>
      <c r="T211" s="395"/>
      <c r="U211" s="35"/>
      <c r="V211" s="35"/>
      <c r="W211" s="36" t="s">
        <v>71</v>
      </c>
      <c r="X211" s="389">
        <v>0</v>
      </c>
      <c r="Y211" s="390">
        <f>IFERROR(IF(X211="",0,CEILING((X211/$H211),1)*$H211),"")</f>
        <v>0</v>
      </c>
      <c r="Z211" s="37" t="str">
        <f>IFERROR(IF(Y211=0,"",ROUNDUP(Y211/H211,0)*0.00902),"")</f>
        <v/>
      </c>
      <c r="AA211" s="57"/>
      <c r="AB211" s="58"/>
      <c r="AC211" s="248" t="s">
        <v>344</v>
      </c>
      <c r="AG211" s="65"/>
      <c r="AJ211" s="69"/>
      <c r="AK211" s="69">
        <v>0</v>
      </c>
      <c r="BB211" s="249" t="s">
        <v>1</v>
      </c>
      <c r="BM211" s="65">
        <f>IFERROR(X211*I211/H211,"0")</f>
        <v>0</v>
      </c>
      <c r="BN211" s="65">
        <f>IFERROR(Y211*I211/H211,"0")</f>
        <v>0</v>
      </c>
      <c r="BO211" s="65">
        <f>IFERROR(1/J211*(X211/H211),"0")</f>
        <v>0</v>
      </c>
      <c r="BP211" s="65">
        <f>IFERROR(1/J211*(Y211/H211),"0")</f>
        <v>0</v>
      </c>
    </row>
    <row r="212" spans="1:68" x14ac:dyDescent="0.2">
      <c r="A212" s="418"/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19"/>
      <c r="P212" s="401" t="s">
        <v>76</v>
      </c>
      <c r="Q212" s="402"/>
      <c r="R212" s="402"/>
      <c r="S212" s="402"/>
      <c r="T212" s="402"/>
      <c r="U212" s="402"/>
      <c r="V212" s="403"/>
      <c r="W212" s="38" t="s">
        <v>77</v>
      </c>
      <c r="X212" s="391">
        <f>IFERROR(X207/H207,"0")+IFERROR(X208/H208,"0")+IFERROR(X209/H209,"0")+IFERROR(X210/H210,"0")+IFERROR(X211/H211,"0")</f>
        <v>0</v>
      </c>
      <c r="Y212" s="391">
        <f>IFERROR(Y207/H207,"0")+IFERROR(Y208/H208,"0")+IFERROR(Y209/H209,"0")+IFERROR(Y210/H210,"0")+IFERROR(Y211/H211,"0")</f>
        <v>0</v>
      </c>
      <c r="Z212" s="391">
        <f>IFERROR(IF(Z207="",0,Z207),"0")+IFERROR(IF(Z208="",0,Z208),"0")+IFERROR(IF(Z209="",0,Z209),"0")+IFERROR(IF(Z210="",0,Z210),"0")+IFERROR(IF(Z211="",0,Z211),"0")</f>
        <v>0</v>
      </c>
      <c r="AA212" s="392"/>
      <c r="AB212" s="392"/>
      <c r="AC212" s="392"/>
    </row>
    <row r="213" spans="1:68" x14ac:dyDescent="0.2">
      <c r="A213" s="408"/>
      <c r="B213" s="408"/>
      <c r="C213" s="408"/>
      <c r="D213" s="408"/>
      <c r="E213" s="408"/>
      <c r="F213" s="408"/>
      <c r="G213" s="408"/>
      <c r="H213" s="408"/>
      <c r="I213" s="408"/>
      <c r="J213" s="408"/>
      <c r="K213" s="408"/>
      <c r="L213" s="408"/>
      <c r="M213" s="408"/>
      <c r="N213" s="408"/>
      <c r="O213" s="419"/>
      <c r="P213" s="401" t="s">
        <v>76</v>
      </c>
      <c r="Q213" s="402"/>
      <c r="R213" s="402"/>
      <c r="S213" s="402"/>
      <c r="T213" s="402"/>
      <c r="U213" s="402"/>
      <c r="V213" s="403"/>
      <c r="W213" s="38" t="s">
        <v>71</v>
      </c>
      <c r="X213" s="391">
        <f>IFERROR(SUM(X207:X211),"0")</f>
        <v>0</v>
      </c>
      <c r="Y213" s="391">
        <f>IFERROR(SUM(Y207:Y211),"0")</f>
        <v>0</v>
      </c>
      <c r="Z213" s="38"/>
      <c r="AA213" s="392"/>
      <c r="AB213" s="392"/>
      <c r="AC213" s="392"/>
    </row>
    <row r="214" spans="1:68" ht="14.25" customHeight="1" x14ac:dyDescent="0.25">
      <c r="A214" s="410" t="s">
        <v>182</v>
      </c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385"/>
      <c r="AB214" s="385"/>
      <c r="AC214" s="385"/>
    </row>
    <row r="215" spans="1:68" ht="27" customHeight="1" x14ac:dyDescent="0.25">
      <c r="A215" s="55" t="s">
        <v>345</v>
      </c>
      <c r="B215" s="55" t="s">
        <v>346</v>
      </c>
      <c r="C215" s="32">
        <v>4301030878</v>
      </c>
      <c r="D215" s="396">
        <v>4607091387193</v>
      </c>
      <c r="E215" s="397"/>
      <c r="F215" s="388">
        <v>0.7</v>
      </c>
      <c r="G215" s="33">
        <v>6</v>
      </c>
      <c r="H215" s="388">
        <v>4.2</v>
      </c>
      <c r="I215" s="388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35</v>
      </c>
      <c r="P215" s="4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394"/>
      <c r="R215" s="394"/>
      <c r="S215" s="394"/>
      <c r="T215" s="395"/>
      <c r="U215" s="35"/>
      <c r="V215" s="35"/>
      <c r="W215" s="36" t="s">
        <v>71</v>
      </c>
      <c r="X215" s="389">
        <v>0</v>
      </c>
      <c r="Y215" s="390">
        <f t="shared" ref="Y215:Y220" si="20"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50" t="s">
        <v>347</v>
      </c>
      <c r="AG215" s="65"/>
      <c r="AJ215" s="69"/>
      <c r="AK215" s="69">
        <v>0</v>
      </c>
      <c r="BB215" s="251" t="s">
        <v>1</v>
      </c>
      <c r="BM215" s="65">
        <f t="shared" ref="BM215:BM220" si="21">IFERROR(X215*I215/H215,"0")</f>
        <v>0</v>
      </c>
      <c r="BN215" s="65">
        <f t="shared" ref="BN215:BN220" si="22">IFERROR(Y215*I215/H215,"0")</f>
        <v>0</v>
      </c>
      <c r="BO215" s="65">
        <f t="shared" ref="BO215:BO220" si="23">IFERROR(1/J215*(X215/H215),"0")</f>
        <v>0</v>
      </c>
      <c r="BP215" s="65">
        <f t="shared" ref="BP215:BP220" si="24">IFERROR(1/J215*(Y215/H215),"0")</f>
        <v>0</v>
      </c>
    </row>
    <row r="216" spans="1:68" ht="27" customHeight="1" x14ac:dyDescent="0.25">
      <c r="A216" s="55" t="s">
        <v>348</v>
      </c>
      <c r="B216" s="55" t="s">
        <v>349</v>
      </c>
      <c r="C216" s="32">
        <v>4301031153</v>
      </c>
      <c r="D216" s="396">
        <v>4607091387230</v>
      </c>
      <c r="E216" s="397"/>
      <c r="F216" s="388">
        <v>0.7</v>
      </c>
      <c r="G216" s="33">
        <v>6</v>
      </c>
      <c r="H216" s="388">
        <v>4.2</v>
      </c>
      <c r="I216" s="388">
        <v>4.47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40</v>
      </c>
      <c r="P21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394"/>
      <c r="R216" s="394"/>
      <c r="S216" s="394"/>
      <c r="T216" s="395"/>
      <c r="U216" s="35"/>
      <c r="V216" s="35"/>
      <c r="W216" s="36" t="s">
        <v>71</v>
      </c>
      <c r="X216" s="389">
        <v>0</v>
      </c>
      <c r="Y216" s="390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350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4301031154</v>
      </c>
      <c r="D217" s="396">
        <v>4607091387292</v>
      </c>
      <c r="E217" s="397"/>
      <c r="F217" s="388">
        <v>0.73</v>
      </c>
      <c r="G217" s="33">
        <v>6</v>
      </c>
      <c r="H217" s="388">
        <v>4.38</v>
      </c>
      <c r="I217" s="388">
        <v>4.6500000000000004</v>
      </c>
      <c r="J217" s="33">
        <v>132</v>
      </c>
      <c r="K217" s="33" t="s">
        <v>94</v>
      </c>
      <c r="L217" s="33"/>
      <c r="M217" s="34" t="s">
        <v>70</v>
      </c>
      <c r="N217" s="34"/>
      <c r="O217" s="33">
        <v>45</v>
      </c>
      <c r="P217" s="5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394"/>
      <c r="R217" s="394"/>
      <c r="S217" s="394"/>
      <c r="T217" s="395"/>
      <c r="U217" s="35"/>
      <c r="V217" s="35"/>
      <c r="W217" s="36" t="s">
        <v>71</v>
      </c>
      <c r="X217" s="389">
        <v>0</v>
      </c>
      <c r="Y217" s="390">
        <f t="shared" si="20"/>
        <v>0</v>
      </c>
      <c r="Z217" s="37" t="str">
        <f>IFERROR(IF(Y217=0,"",ROUNDUP(Y217/H217,0)*0.00902),"")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4301031152</v>
      </c>
      <c r="D218" s="396">
        <v>4607091387285</v>
      </c>
      <c r="E218" s="397"/>
      <c r="F218" s="388">
        <v>0.35</v>
      </c>
      <c r="G218" s="33">
        <v>6</v>
      </c>
      <c r="H218" s="388">
        <v>2.1</v>
      </c>
      <c r="I218" s="388">
        <v>2.23</v>
      </c>
      <c r="J218" s="33">
        <v>234</v>
      </c>
      <c r="K218" s="33" t="s">
        <v>162</v>
      </c>
      <c r="L218" s="33"/>
      <c r="M218" s="34" t="s">
        <v>70</v>
      </c>
      <c r="N218" s="34"/>
      <c r="O218" s="33">
        <v>40</v>
      </c>
      <c r="P218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394"/>
      <c r="R218" s="394"/>
      <c r="S218" s="394"/>
      <c r="T218" s="395"/>
      <c r="U218" s="35"/>
      <c r="V218" s="35"/>
      <c r="W218" s="36" t="s">
        <v>71</v>
      </c>
      <c r="X218" s="389">
        <v>0</v>
      </c>
      <c r="Y218" s="390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350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356</v>
      </c>
      <c r="B219" s="55" t="s">
        <v>357</v>
      </c>
      <c r="C219" s="32">
        <v>4301031305</v>
      </c>
      <c r="D219" s="396">
        <v>4607091389845</v>
      </c>
      <c r="E219" s="397"/>
      <c r="F219" s="388">
        <v>0.35</v>
      </c>
      <c r="G219" s="33">
        <v>6</v>
      </c>
      <c r="H219" s="388">
        <v>2.1</v>
      </c>
      <c r="I219" s="388">
        <v>2.2000000000000002</v>
      </c>
      <c r="J219" s="33">
        <v>234</v>
      </c>
      <c r="K219" s="33" t="s">
        <v>162</v>
      </c>
      <c r="L219" s="33"/>
      <c r="M219" s="34" t="s">
        <v>70</v>
      </c>
      <c r="N219" s="34"/>
      <c r="O219" s="33">
        <v>40</v>
      </c>
      <c r="P219" s="5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394"/>
      <c r="R219" s="394"/>
      <c r="S219" s="394"/>
      <c r="T219" s="395"/>
      <c r="U219" s="35"/>
      <c r="V219" s="35"/>
      <c r="W219" s="36" t="s">
        <v>71</v>
      </c>
      <c r="X219" s="389">
        <v>0</v>
      </c>
      <c r="Y219" s="390">
        <f t="shared" si="20"/>
        <v>0</v>
      </c>
      <c r="Z219" s="37" t="str">
        <f>IFERROR(IF(Y219=0,"",ROUNDUP(Y219/H219,0)*0.00502),"")</f>
        <v/>
      </c>
      <c r="AA219" s="57"/>
      <c r="AB219" s="58"/>
      <c r="AC219" s="258" t="s">
        <v>358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ht="27" customHeight="1" x14ac:dyDescent="0.25">
      <c r="A220" s="55" t="s">
        <v>359</v>
      </c>
      <c r="B220" s="55" t="s">
        <v>360</v>
      </c>
      <c r="C220" s="32">
        <v>4301031066</v>
      </c>
      <c r="D220" s="396">
        <v>4607091383836</v>
      </c>
      <c r="E220" s="397"/>
      <c r="F220" s="388">
        <v>0.3</v>
      </c>
      <c r="G220" s="33">
        <v>6</v>
      </c>
      <c r="H220" s="388">
        <v>1.8</v>
      </c>
      <c r="I220" s="388">
        <v>2.028</v>
      </c>
      <c r="J220" s="33">
        <v>182</v>
      </c>
      <c r="K220" s="33" t="s">
        <v>69</v>
      </c>
      <c r="L220" s="33"/>
      <c r="M220" s="34" t="s">
        <v>70</v>
      </c>
      <c r="N220" s="34"/>
      <c r="O220" s="33">
        <v>40</v>
      </c>
      <c r="P220" s="4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394"/>
      <c r="R220" s="394"/>
      <c r="S220" s="394"/>
      <c r="T220" s="395"/>
      <c r="U220" s="35"/>
      <c r="V220" s="35"/>
      <c r="W220" s="36" t="s">
        <v>71</v>
      </c>
      <c r="X220" s="389">
        <v>0</v>
      </c>
      <c r="Y220" s="390">
        <f t="shared" si="20"/>
        <v>0</v>
      </c>
      <c r="Z220" s="37" t="str">
        <f>IFERROR(IF(Y220=0,"",ROUNDUP(Y220/H220,0)*0.00651),"")</f>
        <v/>
      </c>
      <c r="AA220" s="57"/>
      <c r="AB220" s="58"/>
      <c r="AC220" s="260" t="s">
        <v>361</v>
      </c>
      <c r="AG220" s="65"/>
      <c r="AJ220" s="69"/>
      <c r="AK220" s="69">
        <v>0</v>
      </c>
      <c r="BB220" s="261" t="s">
        <v>1</v>
      </c>
      <c r="BM220" s="65">
        <f t="shared" si="21"/>
        <v>0</v>
      </c>
      <c r="BN220" s="65">
        <f t="shared" si="22"/>
        <v>0</v>
      </c>
      <c r="BO220" s="65">
        <f t="shared" si="23"/>
        <v>0</v>
      </c>
      <c r="BP220" s="65">
        <f t="shared" si="24"/>
        <v>0</v>
      </c>
    </row>
    <row r="221" spans="1:68" x14ac:dyDescent="0.2">
      <c r="A221" s="41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8"/>
      <c r="O221" s="419"/>
      <c r="P221" s="401" t="s">
        <v>76</v>
      </c>
      <c r="Q221" s="402"/>
      <c r="R221" s="402"/>
      <c r="S221" s="402"/>
      <c r="T221" s="402"/>
      <c r="U221" s="402"/>
      <c r="V221" s="403"/>
      <c r="W221" s="38" t="s">
        <v>77</v>
      </c>
      <c r="X221" s="391">
        <f>IFERROR(X215/H215,"0")+IFERROR(X216/H216,"0")+IFERROR(X217/H217,"0")+IFERROR(X218/H218,"0")+IFERROR(X219/H219,"0")+IFERROR(X220/H220,"0")</f>
        <v>0</v>
      </c>
      <c r="Y221" s="391">
        <f>IFERROR(Y215/H215,"0")+IFERROR(Y216/H216,"0")+IFERROR(Y217/H217,"0")+IFERROR(Y218/H218,"0")+IFERROR(Y219/H219,"0")+IFERROR(Y220/H220,"0")</f>
        <v>0</v>
      </c>
      <c r="Z221" s="391">
        <f>IFERROR(IF(Z215="",0,Z215),"0")+IFERROR(IF(Z216="",0,Z216),"0")+IFERROR(IF(Z217="",0,Z217),"0")+IFERROR(IF(Z218="",0,Z218),"0")+IFERROR(IF(Z219="",0,Z219),"0")+IFERROR(IF(Z220="",0,Z220),"0")</f>
        <v>0</v>
      </c>
      <c r="AA221" s="392"/>
      <c r="AB221" s="392"/>
      <c r="AC221" s="392"/>
    </row>
    <row r="222" spans="1:68" x14ac:dyDescent="0.2">
      <c r="A222" s="408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08"/>
      <c r="O222" s="419"/>
      <c r="P222" s="401" t="s">
        <v>76</v>
      </c>
      <c r="Q222" s="402"/>
      <c r="R222" s="402"/>
      <c r="S222" s="402"/>
      <c r="T222" s="402"/>
      <c r="U222" s="402"/>
      <c r="V222" s="403"/>
      <c r="W222" s="38" t="s">
        <v>71</v>
      </c>
      <c r="X222" s="391">
        <f>IFERROR(SUM(X215:X220),"0")</f>
        <v>0</v>
      </c>
      <c r="Y222" s="391">
        <f>IFERROR(SUM(Y215:Y220),"0")</f>
        <v>0</v>
      </c>
      <c r="Z222" s="38"/>
      <c r="AA222" s="392"/>
      <c r="AB222" s="392"/>
      <c r="AC222" s="392"/>
    </row>
    <row r="223" spans="1:68" ht="14.25" customHeight="1" x14ac:dyDescent="0.25">
      <c r="A223" s="410" t="s">
        <v>66</v>
      </c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  <c r="AA223" s="385"/>
      <c r="AB223" s="385"/>
      <c r="AC223" s="385"/>
    </row>
    <row r="224" spans="1:68" ht="27" customHeight="1" x14ac:dyDescent="0.25">
      <c r="A224" s="55" t="s">
        <v>362</v>
      </c>
      <c r="B224" s="55" t="s">
        <v>363</v>
      </c>
      <c r="C224" s="32">
        <v>4301051100</v>
      </c>
      <c r="D224" s="396">
        <v>4607091387766</v>
      </c>
      <c r="E224" s="397"/>
      <c r="F224" s="388">
        <v>1.3</v>
      </c>
      <c r="G224" s="33">
        <v>6</v>
      </c>
      <c r="H224" s="388">
        <v>7.8</v>
      </c>
      <c r="I224" s="388">
        <v>8.3130000000000006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394"/>
      <c r="R224" s="394"/>
      <c r="S224" s="394"/>
      <c r="T224" s="395"/>
      <c r="U224" s="35"/>
      <c r="V224" s="35"/>
      <c r="W224" s="36" t="s">
        <v>71</v>
      </c>
      <c r="X224" s="389">
        <v>0</v>
      </c>
      <c r="Y224" s="390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364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365</v>
      </c>
      <c r="B225" s="55" t="s">
        <v>366</v>
      </c>
      <c r="C225" s="32">
        <v>4301051818</v>
      </c>
      <c r="D225" s="396">
        <v>4607091387957</v>
      </c>
      <c r="E225" s="397"/>
      <c r="F225" s="388">
        <v>1.3</v>
      </c>
      <c r="G225" s="33">
        <v>6</v>
      </c>
      <c r="H225" s="388">
        <v>7.8</v>
      </c>
      <c r="I225" s="388">
        <v>8.3190000000000008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394"/>
      <c r="R225" s="394"/>
      <c r="S225" s="394"/>
      <c r="T225" s="395"/>
      <c r="U225" s="35"/>
      <c r="V225" s="35"/>
      <c r="W225" s="36" t="s">
        <v>71</v>
      </c>
      <c r="X225" s="389">
        <v>0</v>
      </c>
      <c r="Y225" s="390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367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368</v>
      </c>
      <c r="B226" s="55" t="s">
        <v>369</v>
      </c>
      <c r="C226" s="32">
        <v>4301051819</v>
      </c>
      <c r="D226" s="396">
        <v>4607091387964</v>
      </c>
      <c r="E226" s="397"/>
      <c r="F226" s="388">
        <v>1.35</v>
      </c>
      <c r="G226" s="33">
        <v>6</v>
      </c>
      <c r="H226" s="388">
        <v>8.1</v>
      </c>
      <c r="I226" s="388">
        <v>8.6010000000000009</v>
      </c>
      <c r="J226" s="33">
        <v>64</v>
      </c>
      <c r="K226" s="33" t="s">
        <v>89</v>
      </c>
      <c r="L226" s="33"/>
      <c r="M226" s="34" t="s">
        <v>95</v>
      </c>
      <c r="N226" s="34"/>
      <c r="O226" s="33">
        <v>40</v>
      </c>
      <c r="P226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394"/>
      <c r="R226" s="394"/>
      <c r="S226" s="394"/>
      <c r="T226" s="395"/>
      <c r="U226" s="35"/>
      <c r="V226" s="35"/>
      <c r="W226" s="36" t="s">
        <v>71</v>
      </c>
      <c r="X226" s="389">
        <v>50</v>
      </c>
      <c r="Y226" s="390">
        <f>IFERROR(IF(X226="",0,CEILING((X226/$H226),1)*$H226),"")</f>
        <v>56.699999999999996</v>
      </c>
      <c r="Z226" s="37">
        <f>IFERROR(IF(Y226=0,"",ROUNDUP(Y226/H226,0)*0.01898),"")</f>
        <v>0.13286000000000001</v>
      </c>
      <c r="AA226" s="57"/>
      <c r="AB226" s="58"/>
      <c r="AC226" s="266" t="s">
        <v>370</v>
      </c>
      <c r="AG226" s="65"/>
      <c r="AJ226" s="69"/>
      <c r="AK226" s="69">
        <v>0</v>
      </c>
      <c r="BB226" s="267" t="s">
        <v>1</v>
      </c>
      <c r="BM226" s="65">
        <f>IFERROR(X226*I226/H226,"0")</f>
        <v>53.092592592592602</v>
      </c>
      <c r="BN226" s="65">
        <f>IFERROR(Y226*I226/H226,"0")</f>
        <v>60.207000000000008</v>
      </c>
      <c r="BO226" s="65">
        <f>IFERROR(1/J226*(X226/H226),"0")</f>
        <v>9.6450617283950615E-2</v>
      </c>
      <c r="BP226" s="65">
        <f>IFERROR(1/J226*(Y226/H226),"0")</f>
        <v>0.109375</v>
      </c>
    </row>
    <row r="227" spans="1:68" ht="27" customHeight="1" x14ac:dyDescent="0.25">
      <c r="A227" s="55" t="s">
        <v>371</v>
      </c>
      <c r="B227" s="55" t="s">
        <v>372</v>
      </c>
      <c r="C227" s="32">
        <v>4301051734</v>
      </c>
      <c r="D227" s="396">
        <v>4680115884588</v>
      </c>
      <c r="E227" s="397"/>
      <c r="F227" s="388">
        <v>0.5</v>
      </c>
      <c r="G227" s="33">
        <v>6</v>
      </c>
      <c r="H227" s="388">
        <v>3</v>
      </c>
      <c r="I227" s="388">
        <v>3.246</v>
      </c>
      <c r="J227" s="33">
        <v>182</v>
      </c>
      <c r="K227" s="33" t="s">
        <v>69</v>
      </c>
      <c r="L227" s="33"/>
      <c r="M227" s="34" t="s">
        <v>95</v>
      </c>
      <c r="N227" s="34"/>
      <c r="O227" s="33">
        <v>40</v>
      </c>
      <c r="P227" s="5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394"/>
      <c r="R227" s="394"/>
      <c r="S227" s="394"/>
      <c r="T227" s="395"/>
      <c r="U227" s="35"/>
      <c r="V227" s="35"/>
      <c r="W227" s="36" t="s">
        <v>71</v>
      </c>
      <c r="X227" s="389">
        <v>0</v>
      </c>
      <c r="Y227" s="390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373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374</v>
      </c>
      <c r="B228" s="55" t="s">
        <v>375</v>
      </c>
      <c r="C228" s="32">
        <v>4301051578</v>
      </c>
      <c r="D228" s="396">
        <v>4607091387513</v>
      </c>
      <c r="E228" s="397"/>
      <c r="F228" s="388">
        <v>0.45</v>
      </c>
      <c r="G228" s="33">
        <v>6</v>
      </c>
      <c r="H228" s="388">
        <v>2.7</v>
      </c>
      <c r="I228" s="388">
        <v>2.9580000000000002</v>
      </c>
      <c r="J228" s="33">
        <v>182</v>
      </c>
      <c r="K228" s="33" t="s">
        <v>69</v>
      </c>
      <c r="L228" s="33"/>
      <c r="M228" s="34" t="s">
        <v>112</v>
      </c>
      <c r="N228" s="34"/>
      <c r="O228" s="33">
        <v>40</v>
      </c>
      <c r="P228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394"/>
      <c r="R228" s="394"/>
      <c r="S228" s="394"/>
      <c r="T228" s="395"/>
      <c r="U228" s="35"/>
      <c r="V228" s="35"/>
      <c r="W228" s="36" t="s">
        <v>71</v>
      </c>
      <c r="X228" s="389">
        <v>0</v>
      </c>
      <c r="Y228" s="390">
        <f>IFERROR(IF(X228="",0,CEILING((X228/$H228),1)*$H228),"")</f>
        <v>0</v>
      </c>
      <c r="Z228" s="37" t="str">
        <f>IFERROR(IF(Y228=0,"",ROUNDUP(Y228/H228,0)*0.00651),"")</f>
        <v/>
      </c>
      <c r="AA228" s="57"/>
      <c r="AB228" s="58"/>
      <c r="AC228" s="270" t="s">
        <v>376</v>
      </c>
      <c r="AG228" s="65"/>
      <c r="AJ228" s="69"/>
      <c r="AK228" s="69">
        <v>0</v>
      </c>
      <c r="BB228" s="271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x14ac:dyDescent="0.2">
      <c r="A229" s="418"/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19"/>
      <c r="P229" s="401" t="s">
        <v>76</v>
      </c>
      <c r="Q229" s="402"/>
      <c r="R229" s="402"/>
      <c r="S229" s="402"/>
      <c r="T229" s="402"/>
      <c r="U229" s="402"/>
      <c r="V229" s="403"/>
      <c r="W229" s="38" t="s">
        <v>77</v>
      </c>
      <c r="X229" s="391">
        <f>IFERROR(X224/H224,"0")+IFERROR(X225/H225,"0")+IFERROR(X226/H226,"0")+IFERROR(X227/H227,"0")+IFERROR(X228/H228,"0")</f>
        <v>6.1728395061728394</v>
      </c>
      <c r="Y229" s="391">
        <f>IFERROR(Y224/H224,"0")+IFERROR(Y225/H225,"0")+IFERROR(Y226/H226,"0")+IFERROR(Y227/H227,"0")+IFERROR(Y228/H228,"0")</f>
        <v>7</v>
      </c>
      <c r="Z229" s="391">
        <f>IFERROR(IF(Z224="",0,Z224),"0")+IFERROR(IF(Z225="",0,Z225),"0")+IFERROR(IF(Z226="",0,Z226),"0")+IFERROR(IF(Z227="",0,Z227),"0")+IFERROR(IF(Z228="",0,Z228),"0")</f>
        <v>0.13286000000000001</v>
      </c>
      <c r="AA229" s="392"/>
      <c r="AB229" s="392"/>
      <c r="AC229" s="392"/>
    </row>
    <row r="230" spans="1:68" x14ac:dyDescent="0.2">
      <c r="A230" s="408"/>
      <c r="B230" s="408"/>
      <c r="C230" s="408"/>
      <c r="D230" s="408"/>
      <c r="E230" s="408"/>
      <c r="F230" s="408"/>
      <c r="G230" s="408"/>
      <c r="H230" s="408"/>
      <c r="I230" s="408"/>
      <c r="J230" s="408"/>
      <c r="K230" s="408"/>
      <c r="L230" s="408"/>
      <c r="M230" s="408"/>
      <c r="N230" s="408"/>
      <c r="O230" s="419"/>
      <c r="P230" s="401" t="s">
        <v>76</v>
      </c>
      <c r="Q230" s="402"/>
      <c r="R230" s="402"/>
      <c r="S230" s="402"/>
      <c r="T230" s="402"/>
      <c r="U230" s="402"/>
      <c r="V230" s="403"/>
      <c r="W230" s="38" t="s">
        <v>71</v>
      </c>
      <c r="X230" s="391">
        <f>IFERROR(SUM(X224:X228),"0")</f>
        <v>50</v>
      </c>
      <c r="Y230" s="391">
        <f>IFERROR(SUM(Y224:Y228),"0")</f>
        <v>56.699999999999996</v>
      </c>
      <c r="Z230" s="38"/>
      <c r="AA230" s="392"/>
      <c r="AB230" s="392"/>
      <c r="AC230" s="392"/>
    </row>
    <row r="231" spans="1:68" ht="14.25" customHeight="1" x14ac:dyDescent="0.25">
      <c r="A231" s="410" t="s">
        <v>125</v>
      </c>
      <c r="B231" s="408"/>
      <c r="C231" s="408"/>
      <c r="D231" s="408"/>
      <c r="E231" s="408"/>
      <c r="F231" s="408"/>
      <c r="G231" s="408"/>
      <c r="H231" s="408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  <c r="V231" s="408"/>
      <c r="W231" s="408"/>
      <c r="X231" s="408"/>
      <c r="Y231" s="408"/>
      <c r="Z231" s="408"/>
      <c r="AA231" s="385"/>
      <c r="AB231" s="385"/>
      <c r="AC231" s="385"/>
    </row>
    <row r="232" spans="1:68" ht="27" customHeight="1" x14ac:dyDescent="0.25">
      <c r="A232" s="55" t="s">
        <v>377</v>
      </c>
      <c r="B232" s="55" t="s">
        <v>378</v>
      </c>
      <c r="C232" s="32">
        <v>4301060387</v>
      </c>
      <c r="D232" s="396">
        <v>4607091380880</v>
      </c>
      <c r="E232" s="397"/>
      <c r="F232" s="388">
        <v>1.4</v>
      </c>
      <c r="G232" s="33">
        <v>6</v>
      </c>
      <c r="H232" s="388">
        <v>8.4</v>
      </c>
      <c r="I232" s="388">
        <v>8.9190000000000005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394"/>
      <c r="R232" s="394"/>
      <c r="S232" s="394"/>
      <c r="T232" s="395"/>
      <c r="U232" s="35"/>
      <c r="V232" s="35"/>
      <c r="W232" s="36" t="s">
        <v>71</v>
      </c>
      <c r="X232" s="389">
        <v>0</v>
      </c>
      <c r="Y232" s="390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379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27" customHeight="1" x14ac:dyDescent="0.25">
      <c r="A233" s="55" t="s">
        <v>380</v>
      </c>
      <c r="B233" s="55" t="s">
        <v>381</v>
      </c>
      <c r="C233" s="32">
        <v>4301060406</v>
      </c>
      <c r="D233" s="396">
        <v>4607091384482</v>
      </c>
      <c r="E233" s="397"/>
      <c r="F233" s="388">
        <v>1.3</v>
      </c>
      <c r="G233" s="33">
        <v>6</v>
      </c>
      <c r="H233" s="388">
        <v>7.8</v>
      </c>
      <c r="I233" s="388">
        <v>8.3190000000000008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30</v>
      </c>
      <c r="P233" s="5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394"/>
      <c r="R233" s="394"/>
      <c r="S233" s="394"/>
      <c r="T233" s="395"/>
      <c r="U233" s="35"/>
      <c r="V233" s="35"/>
      <c r="W233" s="36" t="s">
        <v>71</v>
      </c>
      <c r="X233" s="389">
        <v>0</v>
      </c>
      <c r="Y233" s="390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382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16.5" customHeight="1" x14ac:dyDescent="0.25">
      <c r="A234" s="55" t="s">
        <v>383</v>
      </c>
      <c r="B234" s="55" t="s">
        <v>384</v>
      </c>
      <c r="C234" s="32">
        <v>4301060484</v>
      </c>
      <c r="D234" s="396">
        <v>4607091380897</v>
      </c>
      <c r="E234" s="397"/>
      <c r="F234" s="388">
        <v>1.4</v>
      </c>
      <c r="G234" s="33">
        <v>6</v>
      </c>
      <c r="H234" s="388">
        <v>8.4</v>
      </c>
      <c r="I234" s="388">
        <v>8.9190000000000005</v>
      </c>
      <c r="J234" s="33">
        <v>64</v>
      </c>
      <c r="K234" s="33" t="s">
        <v>89</v>
      </c>
      <c r="L234" s="33"/>
      <c r="M234" s="34" t="s">
        <v>112</v>
      </c>
      <c r="N234" s="34"/>
      <c r="O234" s="33">
        <v>30</v>
      </c>
      <c r="P234" s="4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394"/>
      <c r="R234" s="394"/>
      <c r="S234" s="394"/>
      <c r="T234" s="395"/>
      <c r="U234" s="35"/>
      <c r="V234" s="35"/>
      <c r="W234" s="36" t="s">
        <v>71</v>
      </c>
      <c r="X234" s="389">
        <v>0</v>
      </c>
      <c r="Y234" s="390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76" t="s">
        <v>385</v>
      </c>
      <c r="AG234" s="65"/>
      <c r="AJ234" s="69"/>
      <c r="AK234" s="69">
        <v>0</v>
      </c>
      <c r="BB234" s="277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x14ac:dyDescent="0.2">
      <c r="A235" s="418"/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19"/>
      <c r="P235" s="401" t="s">
        <v>76</v>
      </c>
      <c r="Q235" s="402"/>
      <c r="R235" s="402"/>
      <c r="S235" s="402"/>
      <c r="T235" s="402"/>
      <c r="U235" s="402"/>
      <c r="V235" s="403"/>
      <c r="W235" s="38" t="s">
        <v>77</v>
      </c>
      <c r="X235" s="391">
        <f>IFERROR(X232/H232,"0")+IFERROR(X233/H233,"0")+IFERROR(X234/H234,"0")</f>
        <v>0</v>
      </c>
      <c r="Y235" s="391">
        <f>IFERROR(Y232/H232,"0")+IFERROR(Y233/H233,"0")+IFERROR(Y234/H234,"0")</f>
        <v>0</v>
      </c>
      <c r="Z235" s="391">
        <f>IFERROR(IF(Z232="",0,Z232),"0")+IFERROR(IF(Z233="",0,Z233),"0")+IFERROR(IF(Z234="",0,Z234),"0")</f>
        <v>0</v>
      </c>
      <c r="AA235" s="392"/>
      <c r="AB235" s="392"/>
      <c r="AC235" s="392"/>
    </row>
    <row r="236" spans="1:68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19"/>
      <c r="P236" s="401" t="s">
        <v>76</v>
      </c>
      <c r="Q236" s="402"/>
      <c r="R236" s="402"/>
      <c r="S236" s="402"/>
      <c r="T236" s="402"/>
      <c r="U236" s="402"/>
      <c r="V236" s="403"/>
      <c r="W236" s="38" t="s">
        <v>71</v>
      </c>
      <c r="X236" s="391">
        <f>IFERROR(SUM(X232:X234),"0")</f>
        <v>0</v>
      </c>
      <c r="Y236" s="391">
        <f>IFERROR(SUM(Y232:Y234),"0")</f>
        <v>0</v>
      </c>
      <c r="Z236" s="38"/>
      <c r="AA236" s="392"/>
      <c r="AB236" s="392"/>
      <c r="AC236" s="392"/>
    </row>
    <row r="237" spans="1:68" ht="14.25" customHeight="1" x14ac:dyDescent="0.25">
      <c r="A237" s="410" t="s">
        <v>78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385"/>
      <c r="AB237" s="385"/>
      <c r="AC237" s="385"/>
    </row>
    <row r="238" spans="1:68" ht="27" customHeight="1" x14ac:dyDescent="0.25">
      <c r="A238" s="55" t="s">
        <v>386</v>
      </c>
      <c r="B238" s="55" t="s">
        <v>387</v>
      </c>
      <c r="C238" s="32">
        <v>4301030235</v>
      </c>
      <c r="D238" s="396">
        <v>4607091388381</v>
      </c>
      <c r="E238" s="397"/>
      <c r="F238" s="388">
        <v>0.38</v>
      </c>
      <c r="G238" s="33">
        <v>8</v>
      </c>
      <c r="H238" s="388">
        <v>3.04</v>
      </c>
      <c r="I238" s="388">
        <v>3.33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37" t="s">
        <v>388</v>
      </c>
      <c r="Q238" s="394"/>
      <c r="R238" s="394"/>
      <c r="S238" s="394"/>
      <c r="T238" s="395"/>
      <c r="U238" s="35"/>
      <c r="V238" s="35"/>
      <c r="W238" s="36" t="s">
        <v>71</v>
      </c>
      <c r="X238" s="389">
        <v>0</v>
      </c>
      <c r="Y238" s="390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389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390</v>
      </c>
      <c r="B239" s="55" t="s">
        <v>391</v>
      </c>
      <c r="C239" s="32">
        <v>4301030232</v>
      </c>
      <c r="D239" s="396">
        <v>4607091388374</v>
      </c>
      <c r="E239" s="397"/>
      <c r="F239" s="388">
        <v>0.38</v>
      </c>
      <c r="G239" s="33">
        <v>8</v>
      </c>
      <c r="H239" s="388">
        <v>3.04</v>
      </c>
      <c r="I239" s="388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01" t="s">
        <v>392</v>
      </c>
      <c r="Q239" s="394"/>
      <c r="R239" s="394"/>
      <c r="S239" s="394"/>
      <c r="T239" s="395"/>
      <c r="U239" s="35"/>
      <c r="V239" s="35"/>
      <c r="W239" s="36" t="s">
        <v>71</v>
      </c>
      <c r="X239" s="389">
        <v>0</v>
      </c>
      <c r="Y239" s="390">
        <f>IFERROR(IF(X239="",0,CEILING((X239/$H239),1)*$H239),"")</f>
        <v>0</v>
      </c>
      <c r="Z239" s="37" t="str">
        <f>IFERROR(IF(Y239=0,"",ROUNDUP(Y239/H239,0)*0.00902),"")</f>
        <v/>
      </c>
      <c r="AA239" s="57"/>
      <c r="AB239" s="58"/>
      <c r="AC239" s="280" t="s">
        <v>389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393</v>
      </c>
      <c r="B240" s="55" t="s">
        <v>394</v>
      </c>
      <c r="C240" s="32">
        <v>4301032015</v>
      </c>
      <c r="D240" s="396">
        <v>4607091383102</v>
      </c>
      <c r="E240" s="397"/>
      <c r="F240" s="388">
        <v>0.17</v>
      </c>
      <c r="G240" s="33">
        <v>15</v>
      </c>
      <c r="H240" s="388">
        <v>2.5499999999999998</v>
      </c>
      <c r="I240" s="388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394"/>
      <c r="R240" s="394"/>
      <c r="S240" s="394"/>
      <c r="T240" s="395"/>
      <c r="U240" s="35"/>
      <c r="V240" s="35"/>
      <c r="W240" s="36" t="s">
        <v>71</v>
      </c>
      <c r="X240" s="389">
        <v>50</v>
      </c>
      <c r="Y240" s="390">
        <f>IFERROR(IF(X240="",0,CEILING((X240/$H240),1)*$H240),"")</f>
        <v>51</v>
      </c>
      <c r="Z240" s="37">
        <f>IFERROR(IF(Y240=0,"",ROUNDUP(Y240/H240,0)*0.00651),"")</f>
        <v>0.13020000000000001</v>
      </c>
      <c r="AA240" s="57"/>
      <c r="AB240" s="58"/>
      <c r="AC240" s="282" t="s">
        <v>395</v>
      </c>
      <c r="AG240" s="65"/>
      <c r="AJ240" s="69"/>
      <c r="AK240" s="69">
        <v>0</v>
      </c>
      <c r="BB240" s="283" t="s">
        <v>1</v>
      </c>
      <c r="BM240" s="65">
        <f>IFERROR(X240*I240/H240,"0")</f>
        <v>57.941176470588239</v>
      </c>
      <c r="BN240" s="65">
        <f>IFERROR(Y240*I240/H240,"0")</f>
        <v>59.100000000000009</v>
      </c>
      <c r="BO240" s="65">
        <f>IFERROR(1/J240*(X240/H240),"0")</f>
        <v>0.10773540185304893</v>
      </c>
      <c r="BP240" s="65">
        <f>IFERROR(1/J240*(Y240/H240),"0")</f>
        <v>0.1098901098901099</v>
      </c>
    </row>
    <row r="241" spans="1:68" ht="27" customHeight="1" x14ac:dyDescent="0.25">
      <c r="A241" s="55" t="s">
        <v>396</v>
      </c>
      <c r="B241" s="55" t="s">
        <v>397</v>
      </c>
      <c r="C241" s="32">
        <v>4301030233</v>
      </c>
      <c r="D241" s="396">
        <v>4607091388404</v>
      </c>
      <c r="E241" s="397"/>
      <c r="F241" s="388">
        <v>0.17</v>
      </c>
      <c r="G241" s="33">
        <v>15</v>
      </c>
      <c r="H241" s="388">
        <v>2.5499999999999998</v>
      </c>
      <c r="I241" s="388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394"/>
      <c r="R241" s="394"/>
      <c r="S241" s="394"/>
      <c r="T241" s="395"/>
      <c r="U241" s="35"/>
      <c r="V241" s="35"/>
      <c r="W241" s="36" t="s">
        <v>71</v>
      </c>
      <c r="X241" s="389">
        <v>0</v>
      </c>
      <c r="Y241" s="390">
        <f>IFERROR(IF(X241="",0,CEILING((X241/$H241),1)*$H241),"")</f>
        <v>0</v>
      </c>
      <c r="Z241" s="37" t="str">
        <f>IFERROR(IF(Y241=0,"",ROUNDUP(Y241/H241,0)*0.00651),"")</f>
        <v/>
      </c>
      <c r="AA241" s="57"/>
      <c r="AB241" s="58"/>
      <c r="AC241" s="284" t="s">
        <v>389</v>
      </c>
      <c r="AG241" s="65"/>
      <c r="AJ241" s="69"/>
      <c r="AK241" s="69">
        <v>0</v>
      </c>
      <c r="BB241" s="285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x14ac:dyDescent="0.2">
      <c r="A242" s="418"/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19"/>
      <c r="P242" s="401" t="s">
        <v>76</v>
      </c>
      <c r="Q242" s="402"/>
      <c r="R242" s="402"/>
      <c r="S242" s="402"/>
      <c r="T242" s="402"/>
      <c r="U242" s="402"/>
      <c r="V242" s="403"/>
      <c r="W242" s="38" t="s">
        <v>77</v>
      </c>
      <c r="X242" s="391">
        <f>IFERROR(X238/H238,"0")+IFERROR(X239/H239,"0")+IFERROR(X240/H240,"0")+IFERROR(X241/H241,"0")</f>
        <v>19.607843137254903</v>
      </c>
      <c r="Y242" s="391">
        <f>IFERROR(Y238/H238,"0")+IFERROR(Y239/H239,"0")+IFERROR(Y240/H240,"0")+IFERROR(Y241/H241,"0")</f>
        <v>20</v>
      </c>
      <c r="Z242" s="391">
        <f>IFERROR(IF(Z238="",0,Z238),"0")+IFERROR(IF(Z239="",0,Z239),"0")+IFERROR(IF(Z240="",0,Z240),"0")+IFERROR(IF(Z241="",0,Z241),"0")</f>
        <v>0.13020000000000001</v>
      </c>
      <c r="AA242" s="392"/>
      <c r="AB242" s="392"/>
      <c r="AC242" s="392"/>
    </row>
    <row r="243" spans="1:68" x14ac:dyDescent="0.2">
      <c r="A243" s="408"/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19"/>
      <c r="P243" s="401" t="s">
        <v>76</v>
      </c>
      <c r="Q243" s="402"/>
      <c r="R243" s="402"/>
      <c r="S243" s="402"/>
      <c r="T243" s="402"/>
      <c r="U243" s="402"/>
      <c r="V243" s="403"/>
      <c r="W243" s="38" t="s">
        <v>71</v>
      </c>
      <c r="X243" s="391">
        <f>IFERROR(SUM(X238:X241),"0")</f>
        <v>50</v>
      </c>
      <c r="Y243" s="391">
        <f>IFERROR(SUM(Y238:Y241),"0")</f>
        <v>51</v>
      </c>
      <c r="Z243" s="38"/>
      <c r="AA243" s="392"/>
      <c r="AB243" s="392"/>
      <c r="AC243" s="392"/>
    </row>
    <row r="244" spans="1:68" ht="14.25" customHeight="1" x14ac:dyDescent="0.25">
      <c r="A244" s="410" t="s">
        <v>398</v>
      </c>
      <c r="B244" s="40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385"/>
      <c r="AB244" s="385"/>
      <c r="AC244" s="385"/>
    </row>
    <row r="245" spans="1:68" ht="16.5" customHeight="1" x14ac:dyDescent="0.25">
      <c r="A245" s="55" t="s">
        <v>399</v>
      </c>
      <c r="B245" s="55" t="s">
        <v>400</v>
      </c>
      <c r="C245" s="32">
        <v>4301180007</v>
      </c>
      <c r="D245" s="396">
        <v>4680115881808</v>
      </c>
      <c r="E245" s="397"/>
      <c r="F245" s="388">
        <v>0.1</v>
      </c>
      <c r="G245" s="33">
        <v>20</v>
      </c>
      <c r="H245" s="388">
        <v>2</v>
      </c>
      <c r="I245" s="388">
        <v>2.2400000000000002</v>
      </c>
      <c r="J245" s="33">
        <v>238</v>
      </c>
      <c r="K245" s="33" t="s">
        <v>69</v>
      </c>
      <c r="L245" s="33"/>
      <c r="M245" s="34" t="s">
        <v>401</v>
      </c>
      <c r="N245" s="34"/>
      <c r="O245" s="33">
        <v>730</v>
      </c>
      <c r="P245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394"/>
      <c r="R245" s="394"/>
      <c r="S245" s="394"/>
      <c r="T245" s="395"/>
      <c r="U245" s="35"/>
      <c r="V245" s="35"/>
      <c r="W245" s="36" t="s">
        <v>71</v>
      </c>
      <c r="X245" s="389">
        <v>0</v>
      </c>
      <c r="Y245" s="390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402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403</v>
      </c>
      <c r="B246" s="55" t="s">
        <v>404</v>
      </c>
      <c r="C246" s="32">
        <v>4301180006</v>
      </c>
      <c r="D246" s="396">
        <v>4680115881822</v>
      </c>
      <c r="E246" s="397"/>
      <c r="F246" s="388">
        <v>0.1</v>
      </c>
      <c r="G246" s="33">
        <v>20</v>
      </c>
      <c r="H246" s="388">
        <v>2</v>
      </c>
      <c r="I246" s="388">
        <v>2.2400000000000002</v>
      </c>
      <c r="J246" s="33">
        <v>238</v>
      </c>
      <c r="K246" s="33" t="s">
        <v>69</v>
      </c>
      <c r="L246" s="33"/>
      <c r="M246" s="34" t="s">
        <v>401</v>
      </c>
      <c r="N246" s="34"/>
      <c r="O246" s="33">
        <v>730</v>
      </c>
      <c r="P246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394"/>
      <c r="R246" s="394"/>
      <c r="S246" s="394"/>
      <c r="T246" s="395"/>
      <c r="U246" s="35"/>
      <c r="V246" s="35"/>
      <c r="W246" s="36" t="s">
        <v>71</v>
      </c>
      <c r="X246" s="389">
        <v>0</v>
      </c>
      <c r="Y246" s="390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402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405</v>
      </c>
      <c r="B247" s="55" t="s">
        <v>406</v>
      </c>
      <c r="C247" s="32">
        <v>4301180001</v>
      </c>
      <c r="D247" s="396">
        <v>4680115880016</v>
      </c>
      <c r="E247" s="397"/>
      <c r="F247" s="388">
        <v>0.1</v>
      </c>
      <c r="G247" s="33">
        <v>20</v>
      </c>
      <c r="H247" s="388">
        <v>2</v>
      </c>
      <c r="I247" s="388">
        <v>2.2400000000000002</v>
      </c>
      <c r="J247" s="33">
        <v>238</v>
      </c>
      <c r="K247" s="33" t="s">
        <v>69</v>
      </c>
      <c r="L247" s="33"/>
      <c r="M247" s="34" t="s">
        <v>401</v>
      </c>
      <c r="N247" s="34"/>
      <c r="O247" s="33">
        <v>730</v>
      </c>
      <c r="P247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394"/>
      <c r="R247" s="394"/>
      <c r="S247" s="394"/>
      <c r="T247" s="395"/>
      <c r="U247" s="35"/>
      <c r="V247" s="35"/>
      <c r="W247" s="36" t="s">
        <v>71</v>
      </c>
      <c r="X247" s="389">
        <v>0</v>
      </c>
      <c r="Y247" s="390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402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18"/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19"/>
      <c r="P248" s="401" t="s">
        <v>76</v>
      </c>
      <c r="Q248" s="402"/>
      <c r="R248" s="402"/>
      <c r="S248" s="402"/>
      <c r="T248" s="402"/>
      <c r="U248" s="402"/>
      <c r="V248" s="403"/>
      <c r="W248" s="38" t="s">
        <v>77</v>
      </c>
      <c r="X248" s="391">
        <f>IFERROR(X245/H245,"0")+IFERROR(X246/H246,"0")+IFERROR(X247/H247,"0")</f>
        <v>0</v>
      </c>
      <c r="Y248" s="391">
        <f>IFERROR(Y245/H245,"0")+IFERROR(Y246/H246,"0")+IFERROR(Y247/H247,"0")</f>
        <v>0</v>
      </c>
      <c r="Z248" s="391">
        <f>IFERROR(IF(Z245="",0,Z245),"0")+IFERROR(IF(Z246="",0,Z246),"0")+IFERROR(IF(Z247="",0,Z247),"0")</f>
        <v>0</v>
      </c>
      <c r="AA248" s="392"/>
      <c r="AB248" s="392"/>
      <c r="AC248" s="392"/>
    </row>
    <row r="249" spans="1:68" x14ac:dyDescent="0.2">
      <c r="A249" s="408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19"/>
      <c r="P249" s="401" t="s">
        <v>76</v>
      </c>
      <c r="Q249" s="402"/>
      <c r="R249" s="402"/>
      <c r="S249" s="402"/>
      <c r="T249" s="402"/>
      <c r="U249" s="402"/>
      <c r="V249" s="403"/>
      <c r="W249" s="38" t="s">
        <v>71</v>
      </c>
      <c r="X249" s="391">
        <f>IFERROR(SUM(X245:X247),"0")</f>
        <v>0</v>
      </c>
      <c r="Y249" s="391">
        <f>IFERROR(SUM(Y245:Y247),"0")</f>
        <v>0</v>
      </c>
      <c r="Z249" s="38"/>
      <c r="AA249" s="392"/>
      <c r="AB249" s="392"/>
      <c r="AC249" s="392"/>
    </row>
    <row r="250" spans="1:68" ht="16.5" customHeight="1" x14ac:dyDescent="0.25">
      <c r="A250" s="407" t="s">
        <v>407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384"/>
      <c r="AB250" s="384"/>
      <c r="AC250" s="384"/>
    </row>
    <row r="251" spans="1:68" ht="14.25" customHeight="1" x14ac:dyDescent="0.25">
      <c r="A251" s="410" t="s">
        <v>66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408"/>
      <c r="AA251" s="385"/>
      <c r="AB251" s="385"/>
      <c r="AC251" s="385"/>
    </row>
    <row r="252" spans="1:68" ht="27" customHeight="1" x14ac:dyDescent="0.25">
      <c r="A252" s="55" t="s">
        <v>408</v>
      </c>
      <c r="B252" s="55" t="s">
        <v>409</v>
      </c>
      <c r="C252" s="32">
        <v>4301051489</v>
      </c>
      <c r="D252" s="396">
        <v>4607091387919</v>
      </c>
      <c r="E252" s="397"/>
      <c r="F252" s="388">
        <v>1.35</v>
      </c>
      <c r="G252" s="33">
        <v>6</v>
      </c>
      <c r="H252" s="388">
        <v>8.1</v>
      </c>
      <c r="I252" s="388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394"/>
      <c r="R252" s="394"/>
      <c r="S252" s="394"/>
      <c r="T252" s="395"/>
      <c r="U252" s="35"/>
      <c r="V252" s="35"/>
      <c r="W252" s="36" t="s">
        <v>71</v>
      </c>
      <c r="X252" s="389">
        <v>0</v>
      </c>
      <c r="Y252" s="390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410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411</v>
      </c>
      <c r="B253" s="55" t="s">
        <v>412</v>
      </c>
      <c r="C253" s="32">
        <v>4301051461</v>
      </c>
      <c r="D253" s="396">
        <v>4680115883604</v>
      </c>
      <c r="E253" s="397"/>
      <c r="F253" s="388">
        <v>0.35</v>
      </c>
      <c r="G253" s="33">
        <v>6</v>
      </c>
      <c r="H253" s="388">
        <v>2.1</v>
      </c>
      <c r="I253" s="388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6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394"/>
      <c r="R253" s="394"/>
      <c r="S253" s="394"/>
      <c r="T253" s="395"/>
      <c r="U253" s="35"/>
      <c r="V253" s="35"/>
      <c r="W253" s="36" t="s">
        <v>71</v>
      </c>
      <c r="X253" s="389">
        <v>0</v>
      </c>
      <c r="Y253" s="390">
        <f>IFERROR(IF(X253="",0,CEILING((X253/$H253),1)*$H253),"")</f>
        <v>0</v>
      </c>
      <c r="Z253" s="37" t="str">
        <f>IFERROR(IF(Y253=0,"",ROUNDUP(Y253/H253,0)*0.00651),"")</f>
        <v/>
      </c>
      <c r="AA253" s="57"/>
      <c r="AB253" s="58"/>
      <c r="AC253" s="294" t="s">
        <v>413</v>
      </c>
      <c r="AG253" s="65"/>
      <c r="AJ253" s="69"/>
      <c r="AK253" s="69">
        <v>0</v>
      </c>
      <c r="BB253" s="295" t="s">
        <v>1</v>
      </c>
      <c r="BM253" s="65">
        <f>IFERROR(X253*I253/H253,"0")</f>
        <v>0</v>
      </c>
      <c r="BN253" s="65">
        <f>IFERROR(Y253*I253/H253,"0")</f>
        <v>0</v>
      </c>
      <c r="BO253" s="65">
        <f>IFERROR(1/J253*(X253/H253),"0")</f>
        <v>0</v>
      </c>
      <c r="BP253" s="65">
        <f>IFERROR(1/J253*(Y253/H253),"0")</f>
        <v>0</v>
      </c>
    </row>
    <row r="254" spans="1:68" x14ac:dyDescent="0.2">
      <c r="A254" s="41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8"/>
      <c r="O254" s="419"/>
      <c r="P254" s="401" t="s">
        <v>76</v>
      </c>
      <c r="Q254" s="402"/>
      <c r="R254" s="402"/>
      <c r="S254" s="402"/>
      <c r="T254" s="402"/>
      <c r="U254" s="402"/>
      <c r="V254" s="403"/>
      <c r="W254" s="38" t="s">
        <v>77</v>
      </c>
      <c r="X254" s="391">
        <f>IFERROR(X252/H252,"0")+IFERROR(X253/H253,"0")</f>
        <v>0</v>
      </c>
      <c r="Y254" s="391">
        <f>IFERROR(Y252/H252,"0")+IFERROR(Y253/H253,"0")</f>
        <v>0</v>
      </c>
      <c r="Z254" s="391">
        <f>IFERROR(IF(Z252="",0,Z252),"0")+IFERROR(IF(Z253="",0,Z253),"0")</f>
        <v>0</v>
      </c>
      <c r="AA254" s="392"/>
      <c r="AB254" s="392"/>
      <c r="AC254" s="392"/>
    </row>
    <row r="255" spans="1:68" x14ac:dyDescent="0.2">
      <c r="A255" s="408"/>
      <c r="B255" s="408"/>
      <c r="C255" s="408"/>
      <c r="D255" s="408"/>
      <c r="E255" s="408"/>
      <c r="F255" s="408"/>
      <c r="G255" s="408"/>
      <c r="H255" s="408"/>
      <c r="I255" s="408"/>
      <c r="J255" s="408"/>
      <c r="K255" s="408"/>
      <c r="L255" s="408"/>
      <c r="M255" s="408"/>
      <c r="N255" s="408"/>
      <c r="O255" s="419"/>
      <c r="P255" s="401" t="s">
        <v>76</v>
      </c>
      <c r="Q255" s="402"/>
      <c r="R255" s="402"/>
      <c r="S255" s="402"/>
      <c r="T255" s="402"/>
      <c r="U255" s="402"/>
      <c r="V255" s="403"/>
      <c r="W255" s="38" t="s">
        <v>71</v>
      </c>
      <c r="X255" s="391">
        <f>IFERROR(SUM(X252:X253),"0")</f>
        <v>0</v>
      </c>
      <c r="Y255" s="391">
        <f>IFERROR(SUM(Y252:Y253),"0")</f>
        <v>0</v>
      </c>
      <c r="Z255" s="38"/>
      <c r="AA255" s="392"/>
      <c r="AB255" s="392"/>
      <c r="AC255" s="392"/>
    </row>
    <row r="256" spans="1:68" ht="27.75" customHeight="1" x14ac:dyDescent="0.2">
      <c r="A256" s="476" t="s">
        <v>414</v>
      </c>
      <c r="B256" s="477"/>
      <c r="C256" s="477"/>
      <c r="D256" s="477"/>
      <c r="E256" s="477"/>
      <c r="F256" s="477"/>
      <c r="G256" s="477"/>
      <c r="H256" s="477"/>
      <c r="I256" s="477"/>
      <c r="J256" s="477"/>
      <c r="K256" s="477"/>
      <c r="L256" s="477"/>
      <c r="M256" s="477"/>
      <c r="N256" s="477"/>
      <c r="O256" s="477"/>
      <c r="P256" s="477"/>
      <c r="Q256" s="477"/>
      <c r="R256" s="477"/>
      <c r="S256" s="477"/>
      <c r="T256" s="477"/>
      <c r="U256" s="477"/>
      <c r="V256" s="477"/>
      <c r="W256" s="477"/>
      <c r="X256" s="477"/>
      <c r="Y256" s="477"/>
      <c r="Z256" s="477"/>
      <c r="AA256" s="49"/>
      <c r="AB256" s="49"/>
      <c r="AC256" s="49"/>
    </row>
    <row r="257" spans="1:68" ht="16.5" customHeight="1" x14ac:dyDescent="0.25">
      <c r="A257" s="407" t="s">
        <v>415</v>
      </c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08"/>
      <c r="O257" s="408"/>
      <c r="P257" s="408"/>
      <c r="Q257" s="408"/>
      <c r="R257" s="408"/>
      <c r="S257" s="408"/>
      <c r="T257" s="408"/>
      <c r="U257" s="408"/>
      <c r="V257" s="408"/>
      <c r="W257" s="408"/>
      <c r="X257" s="408"/>
      <c r="Y257" s="408"/>
      <c r="Z257" s="408"/>
      <c r="AA257" s="384"/>
      <c r="AB257" s="384"/>
      <c r="AC257" s="384"/>
    </row>
    <row r="258" spans="1:68" ht="14.25" customHeight="1" x14ac:dyDescent="0.25">
      <c r="A258" s="410" t="s">
        <v>86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408"/>
      <c r="AA258" s="385"/>
      <c r="AB258" s="385"/>
      <c r="AC258" s="385"/>
    </row>
    <row r="259" spans="1:68" ht="37.5" customHeight="1" x14ac:dyDescent="0.25">
      <c r="A259" s="55" t="s">
        <v>416</v>
      </c>
      <c r="B259" s="55" t="s">
        <v>417</v>
      </c>
      <c r="C259" s="32">
        <v>4301011869</v>
      </c>
      <c r="D259" s="396">
        <v>4680115884847</v>
      </c>
      <c r="E259" s="397"/>
      <c r="F259" s="388">
        <v>2.5</v>
      </c>
      <c r="G259" s="33">
        <v>6</v>
      </c>
      <c r="H259" s="388">
        <v>15</v>
      </c>
      <c r="I259" s="388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394"/>
      <c r="R259" s="394"/>
      <c r="S259" s="394"/>
      <c r="T259" s="395"/>
      <c r="U259" s="35"/>
      <c r="V259" s="35"/>
      <c r="W259" s="36" t="s">
        <v>71</v>
      </c>
      <c r="X259" s="389">
        <v>700</v>
      </c>
      <c r="Y259" s="390">
        <f t="shared" ref="Y259:Y264" si="25">IFERROR(IF(X259="",0,CEILING((X259/$H259),1)*$H259),"")</f>
        <v>705</v>
      </c>
      <c r="Z259" s="37">
        <f>IFERROR(IF(Y259=0,"",ROUNDUP(Y259/H259,0)*0.02175),"")</f>
        <v>1.0222499999999999</v>
      </c>
      <c r="AA259" s="57"/>
      <c r="AB259" s="58"/>
      <c r="AC259" s="296" t="s">
        <v>418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722.4</v>
      </c>
      <c r="BN259" s="65">
        <f t="shared" ref="BN259:BN264" si="27">IFERROR(Y259*I259/H259,"0")</f>
        <v>727.56</v>
      </c>
      <c r="BO259" s="65">
        <f t="shared" ref="BO259:BO264" si="28">IFERROR(1/J259*(X259/H259),"0")</f>
        <v>0.9722222222222221</v>
      </c>
      <c r="BP259" s="65">
        <f t="shared" ref="BP259:BP264" si="29">IFERROR(1/J259*(Y259/H259),"0")</f>
        <v>0.97916666666666663</v>
      </c>
    </row>
    <row r="260" spans="1:68" ht="27" customHeight="1" x14ac:dyDescent="0.25">
      <c r="A260" s="55" t="s">
        <v>419</v>
      </c>
      <c r="B260" s="55" t="s">
        <v>420</v>
      </c>
      <c r="C260" s="32">
        <v>4301011870</v>
      </c>
      <c r="D260" s="396">
        <v>4680115884854</v>
      </c>
      <c r="E260" s="397"/>
      <c r="F260" s="388">
        <v>2.5</v>
      </c>
      <c r="G260" s="33">
        <v>6</v>
      </c>
      <c r="H260" s="388">
        <v>15</v>
      </c>
      <c r="I260" s="388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394"/>
      <c r="R260" s="394"/>
      <c r="S260" s="394"/>
      <c r="T260" s="395"/>
      <c r="U260" s="35"/>
      <c r="V260" s="35"/>
      <c r="W260" s="36" t="s">
        <v>71</v>
      </c>
      <c r="X260" s="389">
        <v>250</v>
      </c>
      <c r="Y260" s="390">
        <f t="shared" si="25"/>
        <v>255</v>
      </c>
      <c r="Z260" s="37">
        <f>IFERROR(IF(Y260=0,"",ROUNDUP(Y260/H260,0)*0.02175),"")</f>
        <v>0.36974999999999997</v>
      </c>
      <c r="AA260" s="57"/>
      <c r="AB260" s="58"/>
      <c r="AC260" s="298" t="s">
        <v>421</v>
      </c>
      <c r="AG260" s="65"/>
      <c r="AJ260" s="69"/>
      <c r="AK260" s="69">
        <v>0</v>
      </c>
      <c r="BB260" s="299" t="s">
        <v>1</v>
      </c>
      <c r="BM260" s="65">
        <f t="shared" si="26"/>
        <v>258</v>
      </c>
      <c r="BN260" s="65">
        <f t="shared" si="27"/>
        <v>263.16000000000003</v>
      </c>
      <c r="BO260" s="65">
        <f t="shared" si="28"/>
        <v>0.34722222222222221</v>
      </c>
      <c r="BP260" s="65">
        <f t="shared" si="29"/>
        <v>0.35416666666666663</v>
      </c>
    </row>
    <row r="261" spans="1:68" ht="37.5" customHeight="1" x14ac:dyDescent="0.25">
      <c r="A261" s="55" t="s">
        <v>422</v>
      </c>
      <c r="B261" s="55" t="s">
        <v>423</v>
      </c>
      <c r="C261" s="32">
        <v>4301011867</v>
      </c>
      <c r="D261" s="396">
        <v>4680115884830</v>
      </c>
      <c r="E261" s="397"/>
      <c r="F261" s="388">
        <v>2.5</v>
      </c>
      <c r="G261" s="33">
        <v>6</v>
      </c>
      <c r="H261" s="388">
        <v>15</v>
      </c>
      <c r="I261" s="388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394"/>
      <c r="R261" s="394"/>
      <c r="S261" s="394"/>
      <c r="T261" s="395"/>
      <c r="U261" s="35"/>
      <c r="V261" s="35"/>
      <c r="W261" s="36" t="s">
        <v>71</v>
      </c>
      <c r="X261" s="389">
        <v>300</v>
      </c>
      <c r="Y261" s="390">
        <f t="shared" si="25"/>
        <v>300</v>
      </c>
      <c r="Z261" s="37">
        <f>IFERROR(IF(Y261=0,"",ROUNDUP(Y261/H261,0)*0.02175),"")</f>
        <v>0.43499999999999994</v>
      </c>
      <c r="AA261" s="57"/>
      <c r="AB261" s="58"/>
      <c r="AC261" s="300" t="s">
        <v>424</v>
      </c>
      <c r="AG261" s="65"/>
      <c r="AJ261" s="69"/>
      <c r="AK261" s="69">
        <v>0</v>
      </c>
      <c r="BB261" s="301" t="s">
        <v>1</v>
      </c>
      <c r="BM261" s="65">
        <f t="shared" si="26"/>
        <v>309.60000000000002</v>
      </c>
      <c r="BN261" s="65">
        <f t="shared" si="27"/>
        <v>309.60000000000002</v>
      </c>
      <c r="BO261" s="65">
        <f t="shared" si="28"/>
        <v>0.41666666666666663</v>
      </c>
      <c r="BP261" s="65">
        <f t="shared" si="29"/>
        <v>0.41666666666666663</v>
      </c>
    </row>
    <row r="262" spans="1:68" ht="27" customHeight="1" x14ac:dyDescent="0.25">
      <c r="A262" s="55" t="s">
        <v>425</v>
      </c>
      <c r="B262" s="55" t="s">
        <v>426</v>
      </c>
      <c r="C262" s="32">
        <v>4301011433</v>
      </c>
      <c r="D262" s="396">
        <v>4680115882638</v>
      </c>
      <c r="E262" s="397"/>
      <c r="F262" s="388">
        <v>0.4</v>
      </c>
      <c r="G262" s="33">
        <v>10</v>
      </c>
      <c r="H262" s="388">
        <v>4</v>
      </c>
      <c r="I262" s="388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6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394"/>
      <c r="R262" s="394"/>
      <c r="S262" s="394"/>
      <c r="T262" s="395"/>
      <c r="U262" s="35"/>
      <c r="V262" s="35"/>
      <c r="W262" s="36" t="s">
        <v>71</v>
      </c>
      <c r="X262" s="389">
        <v>0</v>
      </c>
      <c r="Y262" s="390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428</v>
      </c>
      <c r="B263" s="55" t="s">
        <v>429</v>
      </c>
      <c r="C263" s="32">
        <v>4301011952</v>
      </c>
      <c r="D263" s="396">
        <v>4680115884922</v>
      </c>
      <c r="E263" s="397"/>
      <c r="F263" s="388">
        <v>0.5</v>
      </c>
      <c r="G263" s="33">
        <v>10</v>
      </c>
      <c r="H263" s="388">
        <v>5</v>
      </c>
      <c r="I263" s="388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394"/>
      <c r="R263" s="394"/>
      <c r="S263" s="394"/>
      <c r="T263" s="395"/>
      <c r="U263" s="35"/>
      <c r="V263" s="35"/>
      <c r="W263" s="36" t="s">
        <v>71</v>
      </c>
      <c r="X263" s="389">
        <v>100</v>
      </c>
      <c r="Y263" s="390">
        <f t="shared" si="25"/>
        <v>100</v>
      </c>
      <c r="Z263" s="37">
        <f>IFERROR(IF(Y263=0,"",ROUNDUP(Y263/H263,0)*0.00902),"")</f>
        <v>0.1804</v>
      </c>
      <c r="AA263" s="57"/>
      <c r="AB263" s="58"/>
      <c r="AC263" s="304" t="s">
        <v>421</v>
      </c>
      <c r="AG263" s="65"/>
      <c r="AJ263" s="69"/>
      <c r="AK263" s="69">
        <v>0</v>
      </c>
      <c r="BB263" s="305" t="s">
        <v>1</v>
      </c>
      <c r="BM263" s="65">
        <f t="shared" si="26"/>
        <v>104.2</v>
      </c>
      <c r="BN263" s="65">
        <f t="shared" si="27"/>
        <v>104.2</v>
      </c>
      <c r="BO263" s="65">
        <f t="shared" si="28"/>
        <v>0.15151515151515152</v>
      </c>
      <c r="BP263" s="65">
        <f t="shared" si="29"/>
        <v>0.15151515151515152</v>
      </c>
    </row>
    <row r="264" spans="1:68" ht="37.5" customHeight="1" x14ac:dyDescent="0.25">
      <c r="A264" s="55" t="s">
        <v>430</v>
      </c>
      <c r="B264" s="55" t="s">
        <v>431</v>
      </c>
      <c r="C264" s="32">
        <v>4301011868</v>
      </c>
      <c r="D264" s="396">
        <v>4680115884861</v>
      </c>
      <c r="E264" s="397"/>
      <c r="F264" s="388">
        <v>0.5</v>
      </c>
      <c r="G264" s="33">
        <v>10</v>
      </c>
      <c r="H264" s="388">
        <v>5</v>
      </c>
      <c r="I264" s="388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394"/>
      <c r="R264" s="394"/>
      <c r="S264" s="394"/>
      <c r="T264" s="395"/>
      <c r="U264" s="35"/>
      <c r="V264" s="35"/>
      <c r="W264" s="36" t="s">
        <v>71</v>
      </c>
      <c r="X264" s="389">
        <v>0</v>
      </c>
      <c r="Y264" s="390">
        <f t="shared" si="25"/>
        <v>0</v>
      </c>
      <c r="Z264" s="37" t="str">
        <f>IFERROR(IF(Y264=0,"",ROUNDUP(Y264/H264,0)*0.00902),"")</f>
        <v/>
      </c>
      <c r="AA264" s="57"/>
      <c r="AB264" s="58"/>
      <c r="AC264" s="306" t="s">
        <v>424</v>
      </c>
      <c r="AG264" s="65"/>
      <c r="AJ264" s="69"/>
      <c r="AK264" s="69">
        <v>0</v>
      </c>
      <c r="BB264" s="307" t="s">
        <v>1</v>
      </c>
      <c r="BM264" s="65">
        <f t="shared" si="26"/>
        <v>0</v>
      </c>
      <c r="BN264" s="65">
        <f t="shared" si="27"/>
        <v>0</v>
      </c>
      <c r="BO264" s="65">
        <f t="shared" si="28"/>
        <v>0</v>
      </c>
      <c r="BP264" s="65">
        <f t="shared" si="29"/>
        <v>0</v>
      </c>
    </row>
    <row r="265" spans="1:68" x14ac:dyDescent="0.2">
      <c r="A265" s="418"/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19"/>
      <c r="P265" s="401" t="s">
        <v>76</v>
      </c>
      <c r="Q265" s="402"/>
      <c r="R265" s="402"/>
      <c r="S265" s="402"/>
      <c r="T265" s="402"/>
      <c r="U265" s="402"/>
      <c r="V265" s="403"/>
      <c r="W265" s="38" t="s">
        <v>77</v>
      </c>
      <c r="X265" s="391">
        <f>IFERROR(X259/H259,"0")+IFERROR(X260/H260,"0")+IFERROR(X261/H261,"0")+IFERROR(X262/H262,"0")+IFERROR(X263/H263,"0")+IFERROR(X264/H264,"0")</f>
        <v>103.33333333333333</v>
      </c>
      <c r="Y265" s="391">
        <f>IFERROR(Y259/H259,"0")+IFERROR(Y260/H260,"0")+IFERROR(Y261/H261,"0")+IFERROR(Y262/H262,"0")+IFERROR(Y263/H263,"0")+IFERROR(Y264/H264,"0")</f>
        <v>104</v>
      </c>
      <c r="Z265" s="391">
        <f>IFERROR(IF(Z259="",0,Z259),"0")+IFERROR(IF(Z260="",0,Z260),"0")+IFERROR(IF(Z261="",0,Z261),"0")+IFERROR(IF(Z262="",0,Z262),"0")+IFERROR(IF(Z263="",0,Z263),"0")+IFERROR(IF(Z264="",0,Z264),"0")</f>
        <v>2.0074000000000001</v>
      </c>
      <c r="AA265" s="392"/>
      <c r="AB265" s="392"/>
      <c r="AC265" s="392"/>
    </row>
    <row r="266" spans="1:68" x14ac:dyDescent="0.2">
      <c r="A266" s="408"/>
      <c r="B266" s="408"/>
      <c r="C266" s="408"/>
      <c r="D266" s="408"/>
      <c r="E266" s="408"/>
      <c r="F266" s="408"/>
      <c r="G266" s="408"/>
      <c r="H266" s="408"/>
      <c r="I266" s="408"/>
      <c r="J266" s="408"/>
      <c r="K266" s="408"/>
      <c r="L266" s="408"/>
      <c r="M266" s="408"/>
      <c r="N266" s="408"/>
      <c r="O266" s="419"/>
      <c r="P266" s="401" t="s">
        <v>76</v>
      </c>
      <c r="Q266" s="402"/>
      <c r="R266" s="402"/>
      <c r="S266" s="402"/>
      <c r="T266" s="402"/>
      <c r="U266" s="402"/>
      <c r="V266" s="403"/>
      <c r="W266" s="38" t="s">
        <v>71</v>
      </c>
      <c r="X266" s="391">
        <f>IFERROR(SUM(X259:X264),"0")</f>
        <v>1350</v>
      </c>
      <c r="Y266" s="391">
        <f>IFERROR(SUM(Y259:Y264),"0")</f>
        <v>1360</v>
      </c>
      <c r="Z266" s="38"/>
      <c r="AA266" s="392"/>
      <c r="AB266" s="392"/>
      <c r="AC266" s="392"/>
    </row>
    <row r="267" spans="1:68" ht="14.25" customHeight="1" x14ac:dyDescent="0.25">
      <c r="A267" s="410" t="s">
        <v>117</v>
      </c>
      <c r="B267" s="408"/>
      <c r="C267" s="408"/>
      <c r="D267" s="408"/>
      <c r="E267" s="408"/>
      <c r="F267" s="408"/>
      <c r="G267" s="408"/>
      <c r="H267" s="408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  <c r="AA267" s="385"/>
      <c r="AB267" s="385"/>
      <c r="AC267" s="385"/>
    </row>
    <row r="268" spans="1:68" ht="27" customHeight="1" x14ac:dyDescent="0.25">
      <c r="A268" s="55" t="s">
        <v>432</v>
      </c>
      <c r="B268" s="55" t="s">
        <v>433</v>
      </c>
      <c r="C268" s="32">
        <v>4301020178</v>
      </c>
      <c r="D268" s="396">
        <v>4607091383980</v>
      </c>
      <c r="E268" s="397"/>
      <c r="F268" s="388">
        <v>2.5</v>
      </c>
      <c r="G268" s="33">
        <v>6</v>
      </c>
      <c r="H268" s="388">
        <v>15</v>
      </c>
      <c r="I268" s="388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394"/>
      <c r="R268" s="394"/>
      <c r="S268" s="394"/>
      <c r="T268" s="395"/>
      <c r="U268" s="35"/>
      <c r="V268" s="35"/>
      <c r="W268" s="36" t="s">
        <v>71</v>
      </c>
      <c r="X268" s="389">
        <v>500</v>
      </c>
      <c r="Y268" s="390">
        <f>IFERROR(IF(X268="",0,CEILING((X268/$H268),1)*$H268),"")</f>
        <v>510</v>
      </c>
      <c r="Z268" s="37">
        <f>IFERROR(IF(Y268=0,"",ROUNDUP(Y268/H268,0)*0.02175),"")</f>
        <v>0.73949999999999994</v>
      </c>
      <c r="AA268" s="57"/>
      <c r="AB268" s="58"/>
      <c r="AC268" s="308" t="s">
        <v>434</v>
      </c>
      <c r="AG268" s="65"/>
      <c r="AJ268" s="69"/>
      <c r="AK268" s="69">
        <v>0</v>
      </c>
      <c r="BB268" s="309" t="s">
        <v>1</v>
      </c>
      <c r="BM268" s="65">
        <f>IFERROR(X268*I268/H268,"0")</f>
        <v>516</v>
      </c>
      <c r="BN268" s="65">
        <f>IFERROR(Y268*I268/H268,"0")</f>
        <v>526.32000000000005</v>
      </c>
      <c r="BO268" s="65">
        <f>IFERROR(1/J268*(X268/H268),"0")</f>
        <v>0.69444444444444442</v>
      </c>
      <c r="BP268" s="65">
        <f>IFERROR(1/J268*(Y268/H268),"0")</f>
        <v>0.70833333333333326</v>
      </c>
    </row>
    <row r="269" spans="1:68" ht="16.5" customHeight="1" x14ac:dyDescent="0.25">
      <c r="A269" s="55" t="s">
        <v>435</v>
      </c>
      <c r="B269" s="55" t="s">
        <v>436</v>
      </c>
      <c r="C269" s="32">
        <v>4301020179</v>
      </c>
      <c r="D269" s="396">
        <v>4607091384178</v>
      </c>
      <c r="E269" s="397"/>
      <c r="F269" s="388">
        <v>0.4</v>
      </c>
      <c r="G269" s="33">
        <v>10</v>
      </c>
      <c r="H269" s="388">
        <v>4</v>
      </c>
      <c r="I269" s="388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5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394"/>
      <c r="R269" s="394"/>
      <c r="S269" s="394"/>
      <c r="T269" s="395"/>
      <c r="U269" s="35"/>
      <c r="V269" s="35"/>
      <c r="W269" s="36" t="s">
        <v>71</v>
      </c>
      <c r="X269" s="389">
        <v>0</v>
      </c>
      <c r="Y269" s="390">
        <f>IFERROR(IF(X269="",0,CEILING((X269/$H269),1)*$H269),"")</f>
        <v>0</v>
      </c>
      <c r="Z269" s="37" t="str">
        <f>IFERROR(IF(Y269=0,"",ROUNDUP(Y269/H269,0)*0.00902),"")</f>
        <v/>
      </c>
      <c r="AA269" s="57"/>
      <c r="AB269" s="58"/>
      <c r="AC269" s="310" t="s">
        <v>434</v>
      </c>
      <c r="AG269" s="65"/>
      <c r="AJ269" s="69"/>
      <c r="AK269" s="69">
        <v>0</v>
      </c>
      <c r="BB269" s="311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x14ac:dyDescent="0.2">
      <c r="A270" s="41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19"/>
      <c r="P270" s="401" t="s">
        <v>76</v>
      </c>
      <c r="Q270" s="402"/>
      <c r="R270" s="402"/>
      <c r="S270" s="402"/>
      <c r="T270" s="402"/>
      <c r="U270" s="402"/>
      <c r="V270" s="403"/>
      <c r="W270" s="38" t="s">
        <v>77</v>
      </c>
      <c r="X270" s="391">
        <f>IFERROR(X268/H268,"0")+IFERROR(X269/H269,"0")</f>
        <v>33.333333333333336</v>
      </c>
      <c r="Y270" s="391">
        <f>IFERROR(Y268/H268,"0")+IFERROR(Y269/H269,"0")</f>
        <v>34</v>
      </c>
      <c r="Z270" s="391">
        <f>IFERROR(IF(Z268="",0,Z268),"0")+IFERROR(IF(Z269="",0,Z269),"0")</f>
        <v>0.73949999999999994</v>
      </c>
      <c r="AA270" s="392"/>
      <c r="AB270" s="392"/>
      <c r="AC270" s="392"/>
    </row>
    <row r="271" spans="1:68" x14ac:dyDescent="0.2">
      <c r="A271" s="408"/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19"/>
      <c r="P271" s="401" t="s">
        <v>76</v>
      </c>
      <c r="Q271" s="402"/>
      <c r="R271" s="402"/>
      <c r="S271" s="402"/>
      <c r="T271" s="402"/>
      <c r="U271" s="402"/>
      <c r="V271" s="403"/>
      <c r="W271" s="38" t="s">
        <v>71</v>
      </c>
      <c r="X271" s="391">
        <f>IFERROR(SUM(X268:X269),"0")</f>
        <v>500</v>
      </c>
      <c r="Y271" s="391">
        <f>IFERROR(SUM(Y268:Y269),"0")</f>
        <v>510</v>
      </c>
      <c r="Z271" s="38"/>
      <c r="AA271" s="392"/>
      <c r="AB271" s="392"/>
      <c r="AC271" s="392"/>
    </row>
    <row r="272" spans="1:68" ht="14.25" customHeight="1" x14ac:dyDescent="0.25">
      <c r="A272" s="410" t="s">
        <v>66</v>
      </c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385"/>
      <c r="AB272" s="385"/>
      <c r="AC272" s="385"/>
    </row>
    <row r="273" spans="1:68" ht="27" customHeight="1" x14ac:dyDescent="0.25">
      <c r="A273" s="55" t="s">
        <v>437</v>
      </c>
      <c r="B273" s="55" t="s">
        <v>438</v>
      </c>
      <c r="C273" s="32">
        <v>4301051903</v>
      </c>
      <c r="D273" s="396">
        <v>4607091383928</v>
      </c>
      <c r="E273" s="397"/>
      <c r="F273" s="388">
        <v>1.5</v>
      </c>
      <c r="G273" s="33">
        <v>6</v>
      </c>
      <c r="H273" s="388">
        <v>9</v>
      </c>
      <c r="I273" s="388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394"/>
      <c r="R273" s="394"/>
      <c r="S273" s="394"/>
      <c r="T273" s="395"/>
      <c r="U273" s="35"/>
      <c r="V273" s="35"/>
      <c r="W273" s="36" t="s">
        <v>71</v>
      </c>
      <c r="X273" s="389">
        <v>0</v>
      </c>
      <c r="Y273" s="390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439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440</v>
      </c>
      <c r="B274" s="55" t="s">
        <v>441</v>
      </c>
      <c r="C274" s="32">
        <v>4301051897</v>
      </c>
      <c r="D274" s="396">
        <v>4607091384260</v>
      </c>
      <c r="E274" s="397"/>
      <c r="F274" s="388">
        <v>1.5</v>
      </c>
      <c r="G274" s="33">
        <v>6</v>
      </c>
      <c r="H274" s="388">
        <v>9</v>
      </c>
      <c r="I274" s="388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5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394"/>
      <c r="R274" s="394"/>
      <c r="S274" s="394"/>
      <c r="T274" s="395"/>
      <c r="U274" s="35"/>
      <c r="V274" s="35"/>
      <c r="W274" s="36" t="s">
        <v>71</v>
      </c>
      <c r="X274" s="389">
        <v>0</v>
      </c>
      <c r="Y274" s="390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442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18"/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19"/>
      <c r="P275" s="401" t="s">
        <v>76</v>
      </c>
      <c r="Q275" s="402"/>
      <c r="R275" s="402"/>
      <c r="S275" s="402"/>
      <c r="T275" s="402"/>
      <c r="U275" s="402"/>
      <c r="V275" s="403"/>
      <c r="W275" s="38" t="s">
        <v>77</v>
      </c>
      <c r="X275" s="391">
        <f>IFERROR(X273/H273,"0")+IFERROR(X274/H274,"0")</f>
        <v>0</v>
      </c>
      <c r="Y275" s="391">
        <f>IFERROR(Y273/H273,"0")+IFERROR(Y274/H274,"0")</f>
        <v>0</v>
      </c>
      <c r="Z275" s="391">
        <f>IFERROR(IF(Z273="",0,Z273),"0")+IFERROR(IF(Z274="",0,Z274),"0")</f>
        <v>0</v>
      </c>
      <c r="AA275" s="392"/>
      <c r="AB275" s="392"/>
      <c r="AC275" s="392"/>
    </row>
    <row r="276" spans="1:68" x14ac:dyDescent="0.2">
      <c r="A276" s="408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19"/>
      <c r="P276" s="401" t="s">
        <v>76</v>
      </c>
      <c r="Q276" s="402"/>
      <c r="R276" s="402"/>
      <c r="S276" s="402"/>
      <c r="T276" s="402"/>
      <c r="U276" s="402"/>
      <c r="V276" s="403"/>
      <c r="W276" s="38" t="s">
        <v>71</v>
      </c>
      <c r="X276" s="391">
        <f>IFERROR(SUM(X273:X274),"0")</f>
        <v>0</v>
      </c>
      <c r="Y276" s="391">
        <f>IFERROR(SUM(Y273:Y274),"0")</f>
        <v>0</v>
      </c>
      <c r="Z276" s="38"/>
      <c r="AA276" s="392"/>
      <c r="AB276" s="392"/>
      <c r="AC276" s="392"/>
    </row>
    <row r="277" spans="1:68" ht="14.25" customHeight="1" x14ac:dyDescent="0.25">
      <c r="A277" s="410" t="s">
        <v>125</v>
      </c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  <c r="AA277" s="385"/>
      <c r="AB277" s="385"/>
      <c r="AC277" s="385"/>
    </row>
    <row r="278" spans="1:68" ht="16.5" customHeight="1" x14ac:dyDescent="0.25">
      <c r="A278" s="55" t="s">
        <v>443</v>
      </c>
      <c r="B278" s="55" t="s">
        <v>444</v>
      </c>
      <c r="C278" s="32">
        <v>4301060524</v>
      </c>
      <c r="D278" s="396">
        <v>4607091384673</v>
      </c>
      <c r="E278" s="397"/>
      <c r="F278" s="388">
        <v>1.5</v>
      </c>
      <c r="G278" s="33">
        <v>6</v>
      </c>
      <c r="H278" s="388">
        <v>9</v>
      </c>
      <c r="I278" s="388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40</v>
      </c>
      <c r="P278" s="598" t="s">
        <v>445</v>
      </c>
      <c r="Q278" s="394"/>
      <c r="R278" s="394"/>
      <c r="S278" s="394"/>
      <c r="T278" s="395"/>
      <c r="U278" s="35"/>
      <c r="V278" s="35"/>
      <c r="W278" s="36" t="s">
        <v>71</v>
      </c>
      <c r="X278" s="389">
        <v>0</v>
      </c>
      <c r="Y278" s="390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446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1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8"/>
      <c r="O279" s="419"/>
      <c r="P279" s="401" t="s">
        <v>76</v>
      </c>
      <c r="Q279" s="402"/>
      <c r="R279" s="402"/>
      <c r="S279" s="402"/>
      <c r="T279" s="402"/>
      <c r="U279" s="402"/>
      <c r="V279" s="403"/>
      <c r="W279" s="38" t="s">
        <v>77</v>
      </c>
      <c r="X279" s="391">
        <f>IFERROR(X278/H278,"0")</f>
        <v>0</v>
      </c>
      <c r="Y279" s="391">
        <f>IFERROR(Y278/H278,"0")</f>
        <v>0</v>
      </c>
      <c r="Z279" s="391">
        <f>IFERROR(IF(Z278="",0,Z278),"0")</f>
        <v>0</v>
      </c>
      <c r="AA279" s="392"/>
      <c r="AB279" s="392"/>
      <c r="AC279" s="392"/>
    </row>
    <row r="280" spans="1:68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19"/>
      <c r="P280" s="401" t="s">
        <v>76</v>
      </c>
      <c r="Q280" s="402"/>
      <c r="R280" s="402"/>
      <c r="S280" s="402"/>
      <c r="T280" s="402"/>
      <c r="U280" s="402"/>
      <c r="V280" s="403"/>
      <c r="W280" s="38" t="s">
        <v>71</v>
      </c>
      <c r="X280" s="391">
        <f>IFERROR(SUM(X278:X278),"0")</f>
        <v>0</v>
      </c>
      <c r="Y280" s="391">
        <f>IFERROR(SUM(Y278:Y278),"0")</f>
        <v>0</v>
      </c>
      <c r="Z280" s="38"/>
      <c r="AA280" s="392"/>
      <c r="AB280" s="392"/>
      <c r="AC280" s="392"/>
    </row>
    <row r="281" spans="1:68" ht="16.5" customHeight="1" x14ac:dyDescent="0.25">
      <c r="A281" s="407" t="s">
        <v>447</v>
      </c>
      <c r="B281" s="408"/>
      <c r="C281" s="408"/>
      <c r="D281" s="408"/>
      <c r="E281" s="408"/>
      <c r="F281" s="408"/>
      <c r="G281" s="408"/>
      <c r="H281" s="408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  <c r="V281" s="408"/>
      <c r="W281" s="408"/>
      <c r="X281" s="408"/>
      <c r="Y281" s="408"/>
      <c r="Z281" s="408"/>
      <c r="AA281" s="384"/>
      <c r="AB281" s="384"/>
      <c r="AC281" s="384"/>
    </row>
    <row r="282" spans="1:68" ht="14.25" customHeight="1" x14ac:dyDescent="0.25">
      <c r="A282" s="410" t="s">
        <v>86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385"/>
      <c r="AB282" s="385"/>
      <c r="AC282" s="385"/>
    </row>
    <row r="283" spans="1:68" ht="37.5" customHeight="1" x14ac:dyDescent="0.25">
      <c r="A283" s="55" t="s">
        <v>448</v>
      </c>
      <c r="B283" s="55" t="s">
        <v>449</v>
      </c>
      <c r="C283" s="32">
        <v>4301011873</v>
      </c>
      <c r="D283" s="396">
        <v>4680115881907</v>
      </c>
      <c r="E283" s="397"/>
      <c r="F283" s="388">
        <v>1.8</v>
      </c>
      <c r="G283" s="33">
        <v>6</v>
      </c>
      <c r="H283" s="388">
        <v>10.8</v>
      </c>
      <c r="I283" s="388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394"/>
      <c r="R283" s="394"/>
      <c r="S283" s="394"/>
      <c r="T283" s="395"/>
      <c r="U283" s="35"/>
      <c r="V283" s="35"/>
      <c r="W283" s="36" t="s">
        <v>71</v>
      </c>
      <c r="X283" s="389">
        <v>0</v>
      </c>
      <c r="Y283" s="390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450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451</v>
      </c>
      <c r="B284" s="55" t="s">
        <v>452</v>
      </c>
      <c r="C284" s="32">
        <v>4301011875</v>
      </c>
      <c r="D284" s="396">
        <v>4680115884885</v>
      </c>
      <c r="E284" s="397"/>
      <c r="F284" s="388">
        <v>0.8</v>
      </c>
      <c r="G284" s="33">
        <v>15</v>
      </c>
      <c r="H284" s="388">
        <v>12</v>
      </c>
      <c r="I284" s="388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394"/>
      <c r="R284" s="394"/>
      <c r="S284" s="394"/>
      <c r="T284" s="395"/>
      <c r="U284" s="35"/>
      <c r="V284" s="35"/>
      <c r="W284" s="36" t="s">
        <v>71</v>
      </c>
      <c r="X284" s="389">
        <v>500</v>
      </c>
      <c r="Y284" s="390">
        <f>IFERROR(IF(X284="",0,CEILING((X284/$H284),1)*$H284),"")</f>
        <v>504</v>
      </c>
      <c r="Z284" s="37">
        <f>IFERROR(IF(Y284=0,"",ROUNDUP(Y284/H284,0)*0.01898),"")</f>
        <v>0.79715999999999998</v>
      </c>
      <c r="AA284" s="57"/>
      <c r="AB284" s="58"/>
      <c r="AC284" s="320" t="s">
        <v>453</v>
      </c>
      <c r="AG284" s="65"/>
      <c r="AJ284" s="69"/>
      <c r="AK284" s="69">
        <v>0</v>
      </c>
      <c r="BB284" s="321" t="s">
        <v>1</v>
      </c>
      <c r="BM284" s="65">
        <f>IFERROR(X284*I284/H284,"0")</f>
        <v>518.125</v>
      </c>
      <c r="BN284" s="65">
        <f>IFERROR(Y284*I284/H284,"0")</f>
        <v>522.2700000000001</v>
      </c>
      <c r="BO284" s="65">
        <f>IFERROR(1/J284*(X284/H284),"0")</f>
        <v>0.65104166666666663</v>
      </c>
      <c r="BP284" s="65">
        <f>IFERROR(1/J284*(Y284/H284),"0")</f>
        <v>0.65625</v>
      </c>
    </row>
    <row r="285" spans="1:68" ht="37.5" customHeight="1" x14ac:dyDescent="0.25">
      <c r="A285" s="55" t="s">
        <v>454</v>
      </c>
      <c r="B285" s="55" t="s">
        <v>455</v>
      </c>
      <c r="C285" s="32">
        <v>4301011871</v>
      </c>
      <c r="D285" s="396">
        <v>4680115884908</v>
      </c>
      <c r="E285" s="397"/>
      <c r="F285" s="388">
        <v>0.4</v>
      </c>
      <c r="G285" s="33">
        <v>10</v>
      </c>
      <c r="H285" s="388">
        <v>4</v>
      </c>
      <c r="I285" s="388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394"/>
      <c r="R285" s="394"/>
      <c r="S285" s="394"/>
      <c r="T285" s="395"/>
      <c r="U285" s="35"/>
      <c r="V285" s="35"/>
      <c r="W285" s="36" t="s">
        <v>71</v>
      </c>
      <c r="X285" s="389">
        <v>100</v>
      </c>
      <c r="Y285" s="390">
        <f>IFERROR(IF(X285="",0,CEILING((X285/$H285),1)*$H285),"")</f>
        <v>100</v>
      </c>
      <c r="Z285" s="37">
        <f>IFERROR(IF(Y285=0,"",ROUNDUP(Y285/H285,0)*0.00902),"")</f>
        <v>0.22550000000000001</v>
      </c>
      <c r="AA285" s="57"/>
      <c r="AB285" s="58"/>
      <c r="AC285" s="322" t="s">
        <v>453</v>
      </c>
      <c r="AG285" s="65"/>
      <c r="AJ285" s="69"/>
      <c r="AK285" s="69">
        <v>0</v>
      </c>
      <c r="BB285" s="323" t="s">
        <v>1</v>
      </c>
      <c r="BM285" s="65">
        <f>IFERROR(X285*I285/H285,"0")</f>
        <v>105.25</v>
      </c>
      <c r="BN285" s="65">
        <f>IFERROR(Y285*I285/H285,"0")</f>
        <v>105.25</v>
      </c>
      <c r="BO285" s="65">
        <f>IFERROR(1/J285*(X285/H285),"0")</f>
        <v>0.18939393939393939</v>
      </c>
      <c r="BP285" s="65">
        <f>IFERROR(1/J285*(Y285/H285),"0")</f>
        <v>0.18939393939393939</v>
      </c>
    </row>
    <row r="286" spans="1:68" x14ac:dyDescent="0.2">
      <c r="A286" s="41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19"/>
      <c r="P286" s="401" t="s">
        <v>76</v>
      </c>
      <c r="Q286" s="402"/>
      <c r="R286" s="402"/>
      <c r="S286" s="402"/>
      <c r="T286" s="402"/>
      <c r="U286" s="402"/>
      <c r="V286" s="403"/>
      <c r="W286" s="38" t="s">
        <v>77</v>
      </c>
      <c r="X286" s="391">
        <f>IFERROR(X283/H283,"0")+IFERROR(X284/H284,"0")+IFERROR(X285/H285,"0")</f>
        <v>66.666666666666657</v>
      </c>
      <c r="Y286" s="391">
        <f>IFERROR(Y283/H283,"0")+IFERROR(Y284/H284,"0")+IFERROR(Y285/H285,"0")</f>
        <v>67</v>
      </c>
      <c r="Z286" s="391">
        <f>IFERROR(IF(Z283="",0,Z283),"0")+IFERROR(IF(Z284="",0,Z284),"0")+IFERROR(IF(Z285="",0,Z285),"0")</f>
        <v>1.0226599999999999</v>
      </c>
      <c r="AA286" s="392"/>
      <c r="AB286" s="392"/>
      <c r="AC286" s="392"/>
    </row>
    <row r="287" spans="1:68" x14ac:dyDescent="0.2">
      <c r="A287" s="408"/>
      <c r="B287" s="408"/>
      <c r="C287" s="408"/>
      <c r="D287" s="408"/>
      <c r="E287" s="408"/>
      <c r="F287" s="408"/>
      <c r="G287" s="408"/>
      <c r="H287" s="408"/>
      <c r="I287" s="408"/>
      <c r="J287" s="408"/>
      <c r="K287" s="408"/>
      <c r="L287" s="408"/>
      <c r="M287" s="408"/>
      <c r="N287" s="408"/>
      <c r="O287" s="419"/>
      <c r="P287" s="401" t="s">
        <v>76</v>
      </c>
      <c r="Q287" s="402"/>
      <c r="R287" s="402"/>
      <c r="S287" s="402"/>
      <c r="T287" s="402"/>
      <c r="U287" s="402"/>
      <c r="V287" s="403"/>
      <c r="W287" s="38" t="s">
        <v>71</v>
      </c>
      <c r="X287" s="391">
        <f>IFERROR(SUM(X283:X285),"0")</f>
        <v>600</v>
      </c>
      <c r="Y287" s="391">
        <f>IFERROR(SUM(Y283:Y285),"0")</f>
        <v>604</v>
      </c>
      <c r="Z287" s="38"/>
      <c r="AA287" s="392"/>
      <c r="AB287" s="392"/>
      <c r="AC287" s="392"/>
    </row>
    <row r="288" spans="1:68" ht="14.25" customHeight="1" x14ac:dyDescent="0.25">
      <c r="A288" s="410" t="s">
        <v>182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08"/>
      <c r="Z288" s="408"/>
      <c r="AA288" s="385"/>
      <c r="AB288" s="385"/>
      <c r="AC288" s="385"/>
    </row>
    <row r="289" spans="1:68" ht="27" customHeight="1" x14ac:dyDescent="0.25">
      <c r="A289" s="55" t="s">
        <v>456</v>
      </c>
      <c r="B289" s="55" t="s">
        <v>457</v>
      </c>
      <c r="C289" s="32">
        <v>4301031303</v>
      </c>
      <c r="D289" s="396">
        <v>4607091384802</v>
      </c>
      <c r="E289" s="397"/>
      <c r="F289" s="388">
        <v>0.73</v>
      </c>
      <c r="G289" s="33">
        <v>6</v>
      </c>
      <c r="H289" s="388">
        <v>4.38</v>
      </c>
      <c r="I289" s="388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394"/>
      <c r="R289" s="394"/>
      <c r="S289" s="394"/>
      <c r="T289" s="395"/>
      <c r="U289" s="35"/>
      <c r="V289" s="35"/>
      <c r="W289" s="36" t="s">
        <v>71</v>
      </c>
      <c r="X289" s="389">
        <v>0</v>
      </c>
      <c r="Y289" s="390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458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1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19"/>
      <c r="P290" s="401" t="s">
        <v>76</v>
      </c>
      <c r="Q290" s="402"/>
      <c r="R290" s="402"/>
      <c r="S290" s="402"/>
      <c r="T290" s="402"/>
      <c r="U290" s="402"/>
      <c r="V290" s="403"/>
      <c r="W290" s="38" t="s">
        <v>77</v>
      </c>
      <c r="X290" s="391">
        <f>IFERROR(X289/H289,"0")</f>
        <v>0</v>
      </c>
      <c r="Y290" s="391">
        <f>IFERROR(Y289/H289,"0")</f>
        <v>0</v>
      </c>
      <c r="Z290" s="391">
        <f>IFERROR(IF(Z289="",0,Z289),"0")</f>
        <v>0</v>
      </c>
      <c r="AA290" s="392"/>
      <c r="AB290" s="392"/>
      <c r="AC290" s="392"/>
    </row>
    <row r="291" spans="1:68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19"/>
      <c r="P291" s="401" t="s">
        <v>76</v>
      </c>
      <c r="Q291" s="402"/>
      <c r="R291" s="402"/>
      <c r="S291" s="402"/>
      <c r="T291" s="402"/>
      <c r="U291" s="402"/>
      <c r="V291" s="403"/>
      <c r="W291" s="38" t="s">
        <v>71</v>
      </c>
      <c r="X291" s="391">
        <f>IFERROR(SUM(X289:X289),"0")</f>
        <v>0</v>
      </c>
      <c r="Y291" s="391">
        <f>IFERROR(SUM(Y289:Y289),"0")</f>
        <v>0</v>
      </c>
      <c r="Z291" s="38"/>
      <c r="AA291" s="392"/>
      <c r="AB291" s="392"/>
      <c r="AC291" s="392"/>
    </row>
    <row r="292" spans="1:68" ht="14.25" customHeight="1" x14ac:dyDescent="0.25">
      <c r="A292" s="410" t="s">
        <v>66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385"/>
      <c r="AB292" s="385"/>
      <c r="AC292" s="385"/>
    </row>
    <row r="293" spans="1:68" ht="27" customHeight="1" x14ac:dyDescent="0.25">
      <c r="A293" s="55" t="s">
        <v>459</v>
      </c>
      <c r="B293" s="55" t="s">
        <v>460</v>
      </c>
      <c r="C293" s="32">
        <v>4301051899</v>
      </c>
      <c r="D293" s="396">
        <v>4607091384246</v>
      </c>
      <c r="E293" s="397"/>
      <c r="F293" s="388">
        <v>1.5</v>
      </c>
      <c r="G293" s="33">
        <v>6</v>
      </c>
      <c r="H293" s="388">
        <v>9</v>
      </c>
      <c r="I293" s="388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394"/>
      <c r="R293" s="394"/>
      <c r="S293" s="394"/>
      <c r="T293" s="395"/>
      <c r="U293" s="35"/>
      <c r="V293" s="35"/>
      <c r="W293" s="36" t="s">
        <v>71</v>
      </c>
      <c r="X293" s="389">
        <v>900</v>
      </c>
      <c r="Y293" s="390">
        <f>IFERROR(IF(X293="",0,CEILING((X293/$H293),1)*$H293),"")</f>
        <v>900</v>
      </c>
      <c r="Z293" s="37">
        <f>IFERROR(IF(Y293=0,"",ROUNDUP(Y293/H293,0)*0.01898),"")</f>
        <v>1.8980000000000001</v>
      </c>
      <c r="AA293" s="57"/>
      <c r="AB293" s="58"/>
      <c r="AC293" s="326" t="s">
        <v>461</v>
      </c>
      <c r="AG293" s="65"/>
      <c r="AJ293" s="69"/>
      <c r="AK293" s="69">
        <v>0</v>
      </c>
      <c r="BB293" s="327" t="s">
        <v>1</v>
      </c>
      <c r="BM293" s="65">
        <f>IFERROR(X293*I293/H293,"0")</f>
        <v>951.90000000000009</v>
      </c>
      <c r="BN293" s="65">
        <f>IFERROR(Y293*I293/H293,"0")</f>
        <v>951.90000000000009</v>
      </c>
      <c r="BO293" s="65">
        <f>IFERROR(1/J293*(X293/H293),"0")</f>
        <v>1.5625</v>
      </c>
      <c r="BP293" s="65">
        <f>IFERROR(1/J293*(Y293/H293),"0")</f>
        <v>1.5625</v>
      </c>
    </row>
    <row r="294" spans="1:68" ht="27" customHeight="1" x14ac:dyDescent="0.25">
      <c r="A294" s="55" t="s">
        <v>462</v>
      </c>
      <c r="B294" s="55" t="s">
        <v>463</v>
      </c>
      <c r="C294" s="32">
        <v>4301051660</v>
      </c>
      <c r="D294" s="396">
        <v>4607091384253</v>
      </c>
      <c r="E294" s="397"/>
      <c r="F294" s="388">
        <v>0.4</v>
      </c>
      <c r="G294" s="33">
        <v>6</v>
      </c>
      <c r="H294" s="388">
        <v>2.4</v>
      </c>
      <c r="I294" s="388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394"/>
      <c r="R294" s="394"/>
      <c r="S294" s="394"/>
      <c r="T294" s="395"/>
      <c r="U294" s="35"/>
      <c r="V294" s="35"/>
      <c r="W294" s="36" t="s">
        <v>71</v>
      </c>
      <c r="X294" s="389">
        <v>250</v>
      </c>
      <c r="Y294" s="390">
        <f>IFERROR(IF(X294="",0,CEILING((X294/$H294),1)*$H294),"")</f>
        <v>252</v>
      </c>
      <c r="Z294" s="37">
        <f>IFERROR(IF(Y294=0,"",ROUNDUP(Y294/H294,0)*0.00651),"")</f>
        <v>0.68354999999999999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277.5</v>
      </c>
      <c r="BN294" s="65">
        <f>IFERROR(Y294*I294/H294,"0")</f>
        <v>279.72000000000003</v>
      </c>
      <c r="BO294" s="65">
        <f>IFERROR(1/J294*(X294/H294),"0")</f>
        <v>0.57234432234432242</v>
      </c>
      <c r="BP294" s="65">
        <f>IFERROR(1/J294*(Y294/H294),"0")</f>
        <v>0.57692307692307698</v>
      </c>
    </row>
    <row r="295" spans="1:68" x14ac:dyDescent="0.2">
      <c r="A295" s="418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19"/>
      <c r="P295" s="401" t="s">
        <v>76</v>
      </c>
      <c r="Q295" s="402"/>
      <c r="R295" s="402"/>
      <c r="S295" s="402"/>
      <c r="T295" s="402"/>
      <c r="U295" s="402"/>
      <c r="V295" s="403"/>
      <c r="W295" s="38" t="s">
        <v>77</v>
      </c>
      <c r="X295" s="391">
        <f>IFERROR(X293/H293,"0")+IFERROR(X294/H294,"0")</f>
        <v>204.16666666666669</v>
      </c>
      <c r="Y295" s="391">
        <f>IFERROR(Y293/H293,"0")+IFERROR(Y294/H294,"0")</f>
        <v>205</v>
      </c>
      <c r="Z295" s="391">
        <f>IFERROR(IF(Z293="",0,Z293),"0")+IFERROR(IF(Z294="",0,Z294),"0")</f>
        <v>2.58155</v>
      </c>
      <c r="AA295" s="392"/>
      <c r="AB295" s="392"/>
      <c r="AC295" s="392"/>
    </row>
    <row r="296" spans="1:68" x14ac:dyDescent="0.2">
      <c r="A296" s="408"/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19"/>
      <c r="P296" s="401" t="s">
        <v>76</v>
      </c>
      <c r="Q296" s="402"/>
      <c r="R296" s="402"/>
      <c r="S296" s="402"/>
      <c r="T296" s="402"/>
      <c r="U296" s="402"/>
      <c r="V296" s="403"/>
      <c r="W296" s="38" t="s">
        <v>71</v>
      </c>
      <c r="X296" s="391">
        <f>IFERROR(SUM(X293:X294),"0")</f>
        <v>1150</v>
      </c>
      <c r="Y296" s="391">
        <f>IFERROR(SUM(Y293:Y294),"0")</f>
        <v>1152</v>
      </c>
      <c r="Z296" s="38"/>
      <c r="AA296" s="392"/>
      <c r="AB296" s="392"/>
      <c r="AC296" s="392"/>
    </row>
    <row r="297" spans="1:68" ht="14.25" customHeight="1" x14ac:dyDescent="0.25">
      <c r="A297" s="410" t="s">
        <v>125</v>
      </c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385"/>
      <c r="AB297" s="385"/>
      <c r="AC297" s="385"/>
    </row>
    <row r="298" spans="1:68" ht="27" customHeight="1" x14ac:dyDescent="0.25">
      <c r="A298" s="55" t="s">
        <v>464</v>
      </c>
      <c r="B298" s="55" t="s">
        <v>465</v>
      </c>
      <c r="C298" s="32">
        <v>4301060441</v>
      </c>
      <c r="D298" s="396">
        <v>4607091389357</v>
      </c>
      <c r="E298" s="397"/>
      <c r="F298" s="388">
        <v>1.5</v>
      </c>
      <c r="G298" s="33">
        <v>6</v>
      </c>
      <c r="H298" s="388">
        <v>9</v>
      </c>
      <c r="I298" s="388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394"/>
      <c r="R298" s="394"/>
      <c r="S298" s="394"/>
      <c r="T298" s="395"/>
      <c r="U298" s="35"/>
      <c r="V298" s="35"/>
      <c r="W298" s="36" t="s">
        <v>71</v>
      </c>
      <c r="X298" s="389">
        <v>200</v>
      </c>
      <c r="Y298" s="390">
        <f>IFERROR(IF(X298="",0,CEILING((X298/$H298),1)*$H298),"")</f>
        <v>207</v>
      </c>
      <c r="Z298" s="37">
        <f>IFERROR(IF(Y298=0,"",ROUNDUP(Y298/H298,0)*0.01898),"")</f>
        <v>0.43653999999999998</v>
      </c>
      <c r="AA298" s="57"/>
      <c r="AB298" s="58"/>
      <c r="AC298" s="330" t="s">
        <v>466</v>
      </c>
      <c r="AG298" s="65"/>
      <c r="AJ298" s="69"/>
      <c r="AK298" s="69">
        <v>0</v>
      </c>
      <c r="BB298" s="331" t="s">
        <v>1</v>
      </c>
      <c r="BM298" s="65">
        <f>IFERROR(X298*I298/H298,"0")</f>
        <v>209.66666666666666</v>
      </c>
      <c r="BN298" s="65">
        <f>IFERROR(Y298*I298/H298,"0")</f>
        <v>217.005</v>
      </c>
      <c r="BO298" s="65">
        <f>IFERROR(1/J298*(X298/H298),"0")</f>
        <v>0.34722222222222221</v>
      </c>
      <c r="BP298" s="65">
        <f>IFERROR(1/J298*(Y298/H298),"0")</f>
        <v>0.359375</v>
      </c>
    </row>
    <row r="299" spans="1:68" x14ac:dyDescent="0.2">
      <c r="A299" s="418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19"/>
      <c r="P299" s="401" t="s">
        <v>76</v>
      </c>
      <c r="Q299" s="402"/>
      <c r="R299" s="402"/>
      <c r="S299" s="402"/>
      <c r="T299" s="402"/>
      <c r="U299" s="402"/>
      <c r="V299" s="403"/>
      <c r="W299" s="38" t="s">
        <v>77</v>
      </c>
      <c r="X299" s="391">
        <f>IFERROR(X298/H298,"0")</f>
        <v>22.222222222222221</v>
      </c>
      <c r="Y299" s="391">
        <f>IFERROR(Y298/H298,"0")</f>
        <v>23</v>
      </c>
      <c r="Z299" s="391">
        <f>IFERROR(IF(Z298="",0,Z298),"0")</f>
        <v>0.43653999999999998</v>
      </c>
      <c r="AA299" s="392"/>
      <c r="AB299" s="392"/>
      <c r="AC299" s="392"/>
    </row>
    <row r="300" spans="1:68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19"/>
      <c r="P300" s="401" t="s">
        <v>76</v>
      </c>
      <c r="Q300" s="402"/>
      <c r="R300" s="402"/>
      <c r="S300" s="402"/>
      <c r="T300" s="402"/>
      <c r="U300" s="402"/>
      <c r="V300" s="403"/>
      <c r="W300" s="38" t="s">
        <v>71</v>
      </c>
      <c r="X300" s="391">
        <f>IFERROR(SUM(X298:X298),"0")</f>
        <v>200</v>
      </c>
      <c r="Y300" s="391">
        <f>IFERROR(SUM(Y298:Y298),"0")</f>
        <v>207</v>
      </c>
      <c r="Z300" s="38"/>
      <c r="AA300" s="392"/>
      <c r="AB300" s="392"/>
      <c r="AC300" s="392"/>
    </row>
    <row r="301" spans="1:68" ht="27.75" customHeight="1" x14ac:dyDescent="0.2">
      <c r="A301" s="476" t="s">
        <v>467</v>
      </c>
      <c r="B301" s="477"/>
      <c r="C301" s="477"/>
      <c r="D301" s="477"/>
      <c r="E301" s="477"/>
      <c r="F301" s="477"/>
      <c r="G301" s="477"/>
      <c r="H301" s="477"/>
      <c r="I301" s="477"/>
      <c r="J301" s="477"/>
      <c r="K301" s="477"/>
      <c r="L301" s="477"/>
      <c r="M301" s="477"/>
      <c r="N301" s="477"/>
      <c r="O301" s="477"/>
      <c r="P301" s="477"/>
      <c r="Q301" s="477"/>
      <c r="R301" s="477"/>
      <c r="S301" s="477"/>
      <c r="T301" s="477"/>
      <c r="U301" s="477"/>
      <c r="V301" s="477"/>
      <c r="W301" s="477"/>
      <c r="X301" s="477"/>
      <c r="Y301" s="477"/>
      <c r="Z301" s="477"/>
      <c r="AA301" s="49"/>
      <c r="AB301" s="49"/>
      <c r="AC301" s="49"/>
    </row>
    <row r="302" spans="1:68" ht="16.5" customHeight="1" x14ac:dyDescent="0.25">
      <c r="A302" s="407" t="s">
        <v>468</v>
      </c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8"/>
      <c r="AA302" s="384"/>
      <c r="AB302" s="384"/>
      <c r="AC302" s="384"/>
    </row>
    <row r="303" spans="1:68" ht="14.25" customHeight="1" x14ac:dyDescent="0.25">
      <c r="A303" s="410" t="s">
        <v>182</v>
      </c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8"/>
      <c r="AA303" s="385"/>
      <c r="AB303" s="385"/>
      <c r="AC303" s="385"/>
    </row>
    <row r="304" spans="1:68" ht="27" customHeight="1" x14ac:dyDescent="0.25">
      <c r="A304" s="55" t="s">
        <v>469</v>
      </c>
      <c r="B304" s="55" t="s">
        <v>470</v>
      </c>
      <c r="C304" s="32">
        <v>4301031405</v>
      </c>
      <c r="D304" s="396">
        <v>4680115886100</v>
      </c>
      <c r="E304" s="397"/>
      <c r="F304" s="388">
        <v>0.9</v>
      </c>
      <c r="G304" s="33">
        <v>6</v>
      </c>
      <c r="H304" s="388">
        <v>5.4</v>
      </c>
      <c r="I304" s="388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394"/>
      <c r="R304" s="394"/>
      <c r="S304" s="394"/>
      <c r="T304" s="395"/>
      <c r="U304" s="35"/>
      <c r="V304" s="35"/>
      <c r="W304" s="36" t="s">
        <v>71</v>
      </c>
      <c r="X304" s="389">
        <v>0</v>
      </c>
      <c r="Y304" s="390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471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472</v>
      </c>
      <c r="B305" s="55" t="s">
        <v>473</v>
      </c>
      <c r="C305" s="32">
        <v>4301031406</v>
      </c>
      <c r="D305" s="396">
        <v>4680115886117</v>
      </c>
      <c r="E305" s="397"/>
      <c r="F305" s="388">
        <v>0.9</v>
      </c>
      <c r="G305" s="33">
        <v>6</v>
      </c>
      <c r="H305" s="388">
        <v>5.4</v>
      </c>
      <c r="I305" s="388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0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394"/>
      <c r="R305" s="394"/>
      <c r="S305" s="394"/>
      <c r="T305" s="395"/>
      <c r="U305" s="35"/>
      <c r="V305" s="35"/>
      <c r="W305" s="36" t="s">
        <v>71</v>
      </c>
      <c r="X305" s="389">
        <v>0</v>
      </c>
      <c r="Y305" s="390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474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475</v>
      </c>
      <c r="C306" s="32">
        <v>4301031382</v>
      </c>
      <c r="D306" s="396">
        <v>4680115886117</v>
      </c>
      <c r="E306" s="397"/>
      <c r="F306" s="388">
        <v>0.9</v>
      </c>
      <c r="G306" s="33">
        <v>6</v>
      </c>
      <c r="H306" s="388">
        <v>5.4</v>
      </c>
      <c r="I306" s="388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394"/>
      <c r="R306" s="394"/>
      <c r="S306" s="394"/>
      <c r="T306" s="395"/>
      <c r="U306" s="35"/>
      <c r="V306" s="35"/>
      <c r="W306" s="36" t="s">
        <v>71</v>
      </c>
      <c r="X306" s="389">
        <v>0</v>
      </c>
      <c r="Y306" s="390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476</v>
      </c>
      <c r="B307" s="55" t="s">
        <v>477</v>
      </c>
      <c r="C307" s="32">
        <v>4301031358</v>
      </c>
      <c r="D307" s="396">
        <v>4607091389531</v>
      </c>
      <c r="E307" s="397"/>
      <c r="F307" s="388">
        <v>0.35</v>
      </c>
      <c r="G307" s="33">
        <v>6</v>
      </c>
      <c r="H307" s="388">
        <v>2.1</v>
      </c>
      <c r="I307" s="388">
        <v>2.23</v>
      </c>
      <c r="J307" s="33">
        <v>234</v>
      </c>
      <c r="K307" s="33" t="s">
        <v>162</v>
      </c>
      <c r="L307" s="33"/>
      <c r="M307" s="34" t="s">
        <v>70</v>
      </c>
      <c r="N307" s="34"/>
      <c r="O307" s="33">
        <v>50</v>
      </c>
      <c r="P307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394"/>
      <c r="R307" s="394"/>
      <c r="S307" s="394"/>
      <c r="T307" s="395"/>
      <c r="U307" s="35"/>
      <c r="V307" s="35"/>
      <c r="W307" s="36" t="s">
        <v>71</v>
      </c>
      <c r="X307" s="389">
        <v>0</v>
      </c>
      <c r="Y307" s="390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478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1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19"/>
      <c r="P308" s="401" t="s">
        <v>76</v>
      </c>
      <c r="Q308" s="402"/>
      <c r="R308" s="402"/>
      <c r="S308" s="402"/>
      <c r="T308" s="402"/>
      <c r="U308" s="402"/>
      <c r="V308" s="403"/>
      <c r="W308" s="38" t="s">
        <v>77</v>
      </c>
      <c r="X308" s="391">
        <f>IFERROR(X304/H304,"0")+IFERROR(X305/H305,"0")+IFERROR(X306/H306,"0")+IFERROR(X307/H307,"0")</f>
        <v>0</v>
      </c>
      <c r="Y308" s="391">
        <f>IFERROR(Y304/H304,"0")+IFERROR(Y305/H305,"0")+IFERROR(Y306/H306,"0")+IFERROR(Y307/H307,"0")</f>
        <v>0</v>
      </c>
      <c r="Z308" s="391">
        <f>IFERROR(IF(Z304="",0,Z304),"0")+IFERROR(IF(Z305="",0,Z305),"0")+IFERROR(IF(Z306="",0,Z306),"0")+IFERROR(IF(Z307="",0,Z307),"0")</f>
        <v>0</v>
      </c>
      <c r="AA308" s="392"/>
      <c r="AB308" s="392"/>
      <c r="AC308" s="392"/>
    </row>
    <row r="309" spans="1:68" x14ac:dyDescent="0.2">
      <c r="A309" s="408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08"/>
      <c r="O309" s="419"/>
      <c r="P309" s="401" t="s">
        <v>76</v>
      </c>
      <c r="Q309" s="402"/>
      <c r="R309" s="402"/>
      <c r="S309" s="402"/>
      <c r="T309" s="402"/>
      <c r="U309" s="402"/>
      <c r="V309" s="403"/>
      <c r="W309" s="38" t="s">
        <v>71</v>
      </c>
      <c r="X309" s="391">
        <f>IFERROR(SUM(X304:X307),"0")</f>
        <v>0</v>
      </c>
      <c r="Y309" s="391">
        <f>IFERROR(SUM(Y304:Y307),"0")</f>
        <v>0</v>
      </c>
      <c r="Z309" s="38"/>
      <c r="AA309" s="392"/>
      <c r="AB309" s="392"/>
      <c r="AC309" s="392"/>
    </row>
    <row r="310" spans="1:68" ht="14.25" customHeight="1" x14ac:dyDescent="0.25">
      <c r="A310" s="410" t="s">
        <v>66</v>
      </c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  <c r="AA310" s="385"/>
      <c r="AB310" s="385"/>
      <c r="AC310" s="385"/>
    </row>
    <row r="311" spans="1:68" ht="27" customHeight="1" x14ac:dyDescent="0.25">
      <c r="A311" s="55" t="s">
        <v>479</v>
      </c>
      <c r="B311" s="55" t="s">
        <v>480</v>
      </c>
      <c r="C311" s="32">
        <v>4301051284</v>
      </c>
      <c r="D311" s="396">
        <v>4607091384352</v>
      </c>
      <c r="E311" s="397"/>
      <c r="F311" s="388">
        <v>0.6</v>
      </c>
      <c r="G311" s="33">
        <v>4</v>
      </c>
      <c r="H311" s="388">
        <v>2.4</v>
      </c>
      <c r="I311" s="388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394"/>
      <c r="R311" s="394"/>
      <c r="S311" s="394"/>
      <c r="T311" s="395"/>
      <c r="U311" s="35"/>
      <c r="V311" s="35"/>
      <c r="W311" s="36" t="s">
        <v>71</v>
      </c>
      <c r="X311" s="389">
        <v>50</v>
      </c>
      <c r="Y311" s="390">
        <f>IFERROR(IF(X311="",0,CEILING((X311/$H311),1)*$H311),"")</f>
        <v>50.4</v>
      </c>
      <c r="Z311" s="37">
        <f>IFERROR(IF(Y311=0,"",ROUNDUP(Y311/H311,0)*0.00902),"")</f>
        <v>0.18942000000000001</v>
      </c>
      <c r="AA311" s="57"/>
      <c r="AB311" s="58"/>
      <c r="AC311" s="340" t="s">
        <v>481</v>
      </c>
      <c r="AG311" s="65"/>
      <c r="AJ311" s="69"/>
      <c r="AK311" s="69">
        <v>0</v>
      </c>
      <c r="BB311" s="341" t="s">
        <v>1</v>
      </c>
      <c r="BM311" s="65">
        <f>IFERROR(X311*I311/H311,"0")</f>
        <v>55.124999999999993</v>
      </c>
      <c r="BN311" s="65">
        <f>IFERROR(Y311*I311/H311,"0")</f>
        <v>55.565999999999995</v>
      </c>
      <c r="BO311" s="65">
        <f>IFERROR(1/J311*(X311/H311),"0")</f>
        <v>0.15782828282828285</v>
      </c>
      <c r="BP311" s="65">
        <f>IFERROR(1/J311*(Y311/H311),"0")</f>
        <v>0.15909090909090909</v>
      </c>
    </row>
    <row r="312" spans="1:68" ht="27" customHeight="1" x14ac:dyDescent="0.25">
      <c r="A312" s="55" t="s">
        <v>482</v>
      </c>
      <c r="B312" s="55" t="s">
        <v>483</v>
      </c>
      <c r="C312" s="32">
        <v>4301051431</v>
      </c>
      <c r="D312" s="396">
        <v>4607091389654</v>
      </c>
      <c r="E312" s="397"/>
      <c r="F312" s="388">
        <v>0.33</v>
      </c>
      <c r="G312" s="33">
        <v>6</v>
      </c>
      <c r="H312" s="388">
        <v>1.98</v>
      </c>
      <c r="I312" s="388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394"/>
      <c r="R312" s="394"/>
      <c r="S312" s="394"/>
      <c r="T312" s="395"/>
      <c r="U312" s="35"/>
      <c r="V312" s="35"/>
      <c r="W312" s="36" t="s">
        <v>71</v>
      </c>
      <c r="X312" s="389">
        <v>0</v>
      </c>
      <c r="Y312" s="390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484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1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8"/>
      <c r="O313" s="419"/>
      <c r="P313" s="401" t="s">
        <v>76</v>
      </c>
      <c r="Q313" s="402"/>
      <c r="R313" s="402"/>
      <c r="S313" s="402"/>
      <c r="T313" s="402"/>
      <c r="U313" s="402"/>
      <c r="V313" s="403"/>
      <c r="W313" s="38" t="s">
        <v>77</v>
      </c>
      <c r="X313" s="391">
        <f>IFERROR(X311/H311,"0")+IFERROR(X312/H312,"0")</f>
        <v>20.833333333333336</v>
      </c>
      <c r="Y313" s="391">
        <f>IFERROR(Y311/H311,"0")+IFERROR(Y312/H312,"0")</f>
        <v>21</v>
      </c>
      <c r="Z313" s="391">
        <f>IFERROR(IF(Z311="",0,Z311),"0")+IFERROR(IF(Z312="",0,Z312),"0")</f>
        <v>0.18942000000000001</v>
      </c>
      <c r="AA313" s="392"/>
      <c r="AB313" s="392"/>
      <c r="AC313" s="392"/>
    </row>
    <row r="314" spans="1:68" x14ac:dyDescent="0.2">
      <c r="A314" s="408"/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19"/>
      <c r="P314" s="401" t="s">
        <v>76</v>
      </c>
      <c r="Q314" s="402"/>
      <c r="R314" s="402"/>
      <c r="S314" s="402"/>
      <c r="T314" s="402"/>
      <c r="U314" s="402"/>
      <c r="V314" s="403"/>
      <c r="W314" s="38" t="s">
        <v>71</v>
      </c>
      <c r="X314" s="391">
        <f>IFERROR(SUM(X311:X312),"0")</f>
        <v>50</v>
      </c>
      <c r="Y314" s="391">
        <f>IFERROR(SUM(Y311:Y312),"0")</f>
        <v>50.4</v>
      </c>
      <c r="Z314" s="38"/>
      <c r="AA314" s="392"/>
      <c r="AB314" s="392"/>
      <c r="AC314" s="392"/>
    </row>
    <row r="315" spans="1:68" ht="16.5" customHeight="1" x14ac:dyDescent="0.25">
      <c r="A315" s="407" t="s">
        <v>485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8"/>
      <c r="AA315" s="384"/>
      <c r="AB315" s="384"/>
      <c r="AC315" s="384"/>
    </row>
    <row r="316" spans="1:68" ht="14.25" customHeight="1" x14ac:dyDescent="0.25">
      <c r="A316" s="410" t="s">
        <v>117</v>
      </c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8"/>
      <c r="AA316" s="385"/>
      <c r="AB316" s="385"/>
      <c r="AC316" s="385"/>
    </row>
    <row r="317" spans="1:68" ht="27" customHeight="1" x14ac:dyDescent="0.25">
      <c r="A317" s="55" t="s">
        <v>486</v>
      </c>
      <c r="B317" s="55" t="s">
        <v>487</v>
      </c>
      <c r="C317" s="32">
        <v>4301020319</v>
      </c>
      <c r="D317" s="396">
        <v>4680115885240</v>
      </c>
      <c r="E317" s="397"/>
      <c r="F317" s="388">
        <v>0.35</v>
      </c>
      <c r="G317" s="33">
        <v>6</v>
      </c>
      <c r="H317" s="388">
        <v>2.1</v>
      </c>
      <c r="I317" s="388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394"/>
      <c r="R317" s="394"/>
      <c r="S317" s="394"/>
      <c r="T317" s="395"/>
      <c r="U317" s="35"/>
      <c r="V317" s="35"/>
      <c r="W317" s="36" t="s">
        <v>71</v>
      </c>
      <c r="X317" s="389">
        <v>0</v>
      </c>
      <c r="Y317" s="390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488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x14ac:dyDescent="0.2">
      <c r="A318" s="41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19"/>
      <c r="P318" s="401" t="s">
        <v>76</v>
      </c>
      <c r="Q318" s="402"/>
      <c r="R318" s="402"/>
      <c r="S318" s="402"/>
      <c r="T318" s="402"/>
      <c r="U318" s="402"/>
      <c r="V318" s="403"/>
      <c r="W318" s="38" t="s">
        <v>77</v>
      </c>
      <c r="X318" s="391">
        <f>IFERROR(X317/H317,"0")</f>
        <v>0</v>
      </c>
      <c r="Y318" s="391">
        <f>IFERROR(Y317/H317,"0")</f>
        <v>0</v>
      </c>
      <c r="Z318" s="391">
        <f>IFERROR(IF(Z317="",0,Z317),"0")</f>
        <v>0</v>
      </c>
      <c r="AA318" s="392"/>
      <c r="AB318" s="392"/>
      <c r="AC318" s="392"/>
    </row>
    <row r="319" spans="1:68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19"/>
      <c r="P319" s="401" t="s">
        <v>76</v>
      </c>
      <c r="Q319" s="402"/>
      <c r="R319" s="402"/>
      <c r="S319" s="402"/>
      <c r="T319" s="402"/>
      <c r="U319" s="402"/>
      <c r="V319" s="403"/>
      <c r="W319" s="38" t="s">
        <v>71</v>
      </c>
      <c r="X319" s="391">
        <f>IFERROR(SUM(X317:X317),"0")</f>
        <v>0</v>
      </c>
      <c r="Y319" s="391">
        <f>IFERROR(SUM(Y317:Y317),"0")</f>
        <v>0</v>
      </c>
      <c r="Z319" s="38"/>
      <c r="AA319" s="392"/>
      <c r="AB319" s="392"/>
      <c r="AC319" s="392"/>
    </row>
    <row r="320" spans="1:68" ht="14.25" customHeight="1" x14ac:dyDescent="0.25">
      <c r="A320" s="410" t="s">
        <v>182</v>
      </c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  <c r="AA320" s="385"/>
      <c r="AB320" s="385"/>
      <c r="AC320" s="385"/>
    </row>
    <row r="321" spans="1:68" ht="27" customHeight="1" x14ac:dyDescent="0.25">
      <c r="A321" s="55" t="s">
        <v>489</v>
      </c>
      <c r="B321" s="55" t="s">
        <v>490</v>
      </c>
      <c r="C321" s="32">
        <v>4301031403</v>
      </c>
      <c r="D321" s="396">
        <v>4680115886094</v>
      </c>
      <c r="E321" s="397"/>
      <c r="F321" s="388">
        <v>0.9</v>
      </c>
      <c r="G321" s="33">
        <v>6</v>
      </c>
      <c r="H321" s="388">
        <v>5.4</v>
      </c>
      <c r="I321" s="388">
        <v>5.61</v>
      </c>
      <c r="J321" s="33">
        <v>132</v>
      </c>
      <c r="K321" s="33" t="s">
        <v>94</v>
      </c>
      <c r="L321" s="33"/>
      <c r="M321" s="34" t="s">
        <v>90</v>
      </c>
      <c r="N321" s="34"/>
      <c r="O321" s="33">
        <v>50</v>
      </c>
      <c r="P321" s="5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394"/>
      <c r="R321" s="394"/>
      <c r="S321" s="394"/>
      <c r="T321" s="395"/>
      <c r="U321" s="35"/>
      <c r="V321" s="35"/>
      <c r="W321" s="36" t="s">
        <v>71</v>
      </c>
      <c r="X321" s="389">
        <v>0</v>
      </c>
      <c r="Y321" s="390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491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x14ac:dyDescent="0.2">
      <c r="A322" s="41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19"/>
      <c r="P322" s="401" t="s">
        <v>76</v>
      </c>
      <c r="Q322" s="402"/>
      <c r="R322" s="402"/>
      <c r="S322" s="402"/>
      <c r="T322" s="402"/>
      <c r="U322" s="402"/>
      <c r="V322" s="403"/>
      <c r="W322" s="38" t="s">
        <v>77</v>
      </c>
      <c r="X322" s="391">
        <f>IFERROR(X321/H321,"0")</f>
        <v>0</v>
      </c>
      <c r="Y322" s="391">
        <f>IFERROR(Y321/H321,"0")</f>
        <v>0</v>
      </c>
      <c r="Z322" s="391">
        <f>IFERROR(IF(Z321="",0,Z321),"0")</f>
        <v>0</v>
      </c>
      <c r="AA322" s="392"/>
      <c r="AB322" s="392"/>
      <c r="AC322" s="392"/>
    </row>
    <row r="323" spans="1:68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19"/>
      <c r="P323" s="401" t="s">
        <v>76</v>
      </c>
      <c r="Q323" s="402"/>
      <c r="R323" s="402"/>
      <c r="S323" s="402"/>
      <c r="T323" s="402"/>
      <c r="U323" s="402"/>
      <c r="V323" s="403"/>
      <c r="W323" s="38" t="s">
        <v>71</v>
      </c>
      <c r="X323" s="391">
        <f>IFERROR(SUM(X321:X321),"0")</f>
        <v>0</v>
      </c>
      <c r="Y323" s="391">
        <f>IFERROR(SUM(Y321:Y321),"0")</f>
        <v>0</v>
      </c>
      <c r="Z323" s="38"/>
      <c r="AA323" s="392"/>
      <c r="AB323" s="392"/>
      <c r="AC323" s="392"/>
    </row>
    <row r="324" spans="1:68" ht="27.75" customHeight="1" x14ac:dyDescent="0.2">
      <c r="A324" s="476" t="s">
        <v>492</v>
      </c>
      <c r="B324" s="477"/>
      <c r="C324" s="477"/>
      <c r="D324" s="477"/>
      <c r="E324" s="477"/>
      <c r="F324" s="477"/>
      <c r="G324" s="477"/>
      <c r="H324" s="477"/>
      <c r="I324" s="477"/>
      <c r="J324" s="477"/>
      <c r="K324" s="477"/>
      <c r="L324" s="477"/>
      <c r="M324" s="477"/>
      <c r="N324" s="477"/>
      <c r="O324" s="477"/>
      <c r="P324" s="477"/>
      <c r="Q324" s="477"/>
      <c r="R324" s="477"/>
      <c r="S324" s="477"/>
      <c r="T324" s="477"/>
      <c r="U324" s="477"/>
      <c r="V324" s="477"/>
      <c r="W324" s="477"/>
      <c r="X324" s="477"/>
      <c r="Y324" s="477"/>
      <c r="Z324" s="477"/>
      <c r="AA324" s="49"/>
      <c r="AB324" s="49"/>
      <c r="AC324" s="49"/>
    </row>
    <row r="325" spans="1:68" ht="16.5" customHeight="1" x14ac:dyDescent="0.25">
      <c r="A325" s="407" t="s">
        <v>492</v>
      </c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8"/>
      <c r="AA325" s="384"/>
      <c r="AB325" s="384"/>
      <c r="AC325" s="384"/>
    </row>
    <row r="326" spans="1:68" ht="14.25" customHeight="1" x14ac:dyDescent="0.25">
      <c r="A326" s="410" t="s">
        <v>86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8"/>
      <c r="AA326" s="385"/>
      <c r="AB326" s="385"/>
      <c r="AC326" s="385"/>
    </row>
    <row r="327" spans="1:68" ht="27" customHeight="1" x14ac:dyDescent="0.25">
      <c r="A327" s="55" t="s">
        <v>493</v>
      </c>
      <c r="B327" s="55" t="s">
        <v>494</v>
      </c>
      <c r="C327" s="32">
        <v>4301011795</v>
      </c>
      <c r="D327" s="396">
        <v>4607091389067</v>
      </c>
      <c r="E327" s="397"/>
      <c r="F327" s="388">
        <v>0.88</v>
      </c>
      <c r="G327" s="33">
        <v>6</v>
      </c>
      <c r="H327" s="388">
        <v>5.28</v>
      </c>
      <c r="I327" s="388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394"/>
      <c r="R327" s="394"/>
      <c r="S327" s="394"/>
      <c r="T327" s="395"/>
      <c r="U327" s="35"/>
      <c r="V327" s="35"/>
      <c r="W327" s="36" t="s">
        <v>71</v>
      </c>
      <c r="X327" s="389">
        <v>0</v>
      </c>
      <c r="Y327" s="390">
        <f t="shared" ref="Y327:Y333" si="30">IFERROR(IF(X327="",0,CEILING((X327/$H327),1)*$H327),"")</f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ref="BM327:BM333" si="31">IFERROR(X327*I327/H327,"0")</f>
        <v>0</v>
      </c>
      <c r="BN327" s="65">
        <f t="shared" ref="BN327:BN333" si="32">IFERROR(Y327*I327/H327,"0")</f>
        <v>0</v>
      </c>
      <c r="BO327" s="65">
        <f t="shared" ref="BO327:BO333" si="33">IFERROR(1/J327*(X327/H327),"0")</f>
        <v>0</v>
      </c>
      <c r="BP327" s="65">
        <f t="shared" ref="BP327:BP333" si="34">IFERROR(1/J327*(Y327/H327),"0")</f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4301011376</v>
      </c>
      <c r="D328" s="396">
        <v>4680115885226</v>
      </c>
      <c r="E328" s="397"/>
      <c r="F328" s="388">
        <v>0.88</v>
      </c>
      <c r="G328" s="33">
        <v>6</v>
      </c>
      <c r="H328" s="388">
        <v>5.28</v>
      </c>
      <c r="I328" s="388">
        <v>5.64</v>
      </c>
      <c r="J328" s="33">
        <v>104</v>
      </c>
      <c r="K328" s="33" t="s">
        <v>89</v>
      </c>
      <c r="L328" s="33"/>
      <c r="M328" s="34" t="s">
        <v>95</v>
      </c>
      <c r="N328" s="34"/>
      <c r="O328" s="33">
        <v>60</v>
      </c>
      <c r="P328" s="4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394"/>
      <c r="R328" s="394"/>
      <c r="S328" s="394"/>
      <c r="T328" s="395"/>
      <c r="U328" s="35"/>
      <c r="V328" s="35"/>
      <c r="W328" s="36" t="s">
        <v>71</v>
      </c>
      <c r="X328" s="389">
        <v>250</v>
      </c>
      <c r="Y328" s="390">
        <f t="shared" si="30"/>
        <v>253.44</v>
      </c>
      <c r="Z328" s="37">
        <f>IFERROR(IF(Y328=0,"",ROUNDUP(Y328/H328,0)*0.01196),"")</f>
        <v>0.57408000000000003</v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267.04545454545456</v>
      </c>
      <c r="BN328" s="65">
        <f t="shared" si="32"/>
        <v>270.71999999999997</v>
      </c>
      <c r="BO328" s="65">
        <f t="shared" si="33"/>
        <v>0.45527389277389274</v>
      </c>
      <c r="BP328" s="65">
        <f t="shared" si="34"/>
        <v>0.46153846153846156</v>
      </c>
    </row>
    <row r="329" spans="1:68" ht="16.5" customHeight="1" x14ac:dyDescent="0.25">
      <c r="A329" s="55" t="s">
        <v>499</v>
      </c>
      <c r="B329" s="55" t="s">
        <v>500</v>
      </c>
      <c r="C329" s="32">
        <v>4301011774</v>
      </c>
      <c r="D329" s="396">
        <v>4680115884502</v>
      </c>
      <c r="E329" s="397"/>
      <c r="F329" s="388">
        <v>0.88</v>
      </c>
      <c r="G329" s="33">
        <v>6</v>
      </c>
      <c r="H329" s="388">
        <v>5.28</v>
      </c>
      <c r="I329" s="388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394"/>
      <c r="R329" s="394"/>
      <c r="S329" s="394"/>
      <c r="T329" s="395"/>
      <c r="U329" s="35"/>
      <c r="V329" s="35"/>
      <c r="W329" s="36" t="s">
        <v>71</v>
      </c>
      <c r="X329" s="389">
        <v>0</v>
      </c>
      <c r="Y329" s="390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4301011771</v>
      </c>
      <c r="D330" s="396">
        <v>4607091389104</v>
      </c>
      <c r="E330" s="397"/>
      <c r="F330" s="388">
        <v>0.88</v>
      </c>
      <c r="G330" s="33">
        <v>6</v>
      </c>
      <c r="H330" s="388">
        <v>5.28</v>
      </c>
      <c r="I330" s="388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394"/>
      <c r="R330" s="394"/>
      <c r="S330" s="394"/>
      <c r="T330" s="395"/>
      <c r="U330" s="35"/>
      <c r="V330" s="35"/>
      <c r="W330" s="36" t="s">
        <v>71</v>
      </c>
      <c r="X330" s="389">
        <v>0</v>
      </c>
      <c r="Y330" s="390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504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4301012035</v>
      </c>
      <c r="D331" s="396">
        <v>4680115880603</v>
      </c>
      <c r="E331" s="397"/>
      <c r="F331" s="388">
        <v>0.6</v>
      </c>
      <c r="G331" s="33">
        <v>8</v>
      </c>
      <c r="H331" s="388">
        <v>4.8</v>
      </c>
      <c r="I331" s="388">
        <v>6.93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394"/>
      <c r="R331" s="394"/>
      <c r="S331" s="394"/>
      <c r="T331" s="395"/>
      <c r="U331" s="35"/>
      <c r="V331" s="35"/>
      <c r="W331" s="36" t="s">
        <v>71</v>
      </c>
      <c r="X331" s="389">
        <v>0</v>
      </c>
      <c r="Y331" s="390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495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4301012036</v>
      </c>
      <c r="D332" s="396">
        <v>4680115882782</v>
      </c>
      <c r="E332" s="397"/>
      <c r="F332" s="388">
        <v>0.6</v>
      </c>
      <c r="G332" s="33">
        <v>8</v>
      </c>
      <c r="H332" s="388">
        <v>4.8</v>
      </c>
      <c r="I332" s="388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394"/>
      <c r="R332" s="394"/>
      <c r="S332" s="394"/>
      <c r="T332" s="395"/>
      <c r="U332" s="35"/>
      <c r="V332" s="35"/>
      <c r="W332" s="36" t="s">
        <v>71</v>
      </c>
      <c r="X332" s="389">
        <v>0</v>
      </c>
      <c r="Y332" s="390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509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510</v>
      </c>
      <c r="B333" s="55" t="s">
        <v>511</v>
      </c>
      <c r="C333" s="32">
        <v>4301012034</v>
      </c>
      <c r="D333" s="396">
        <v>4607091389982</v>
      </c>
      <c r="E333" s="397"/>
      <c r="F333" s="388">
        <v>0.6</v>
      </c>
      <c r="G333" s="33">
        <v>8</v>
      </c>
      <c r="H333" s="388">
        <v>4.8</v>
      </c>
      <c r="I333" s="388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4"/>
      <c r="R333" s="394"/>
      <c r="S333" s="394"/>
      <c r="T333" s="395"/>
      <c r="U333" s="35"/>
      <c r="V333" s="35"/>
      <c r="W333" s="36" t="s">
        <v>71</v>
      </c>
      <c r="X333" s="389">
        <v>0</v>
      </c>
      <c r="Y333" s="390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504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18"/>
      <c r="B334" s="408"/>
      <c r="C334" s="408"/>
      <c r="D334" s="408"/>
      <c r="E334" s="408"/>
      <c r="F334" s="408"/>
      <c r="G334" s="408"/>
      <c r="H334" s="408"/>
      <c r="I334" s="408"/>
      <c r="J334" s="408"/>
      <c r="K334" s="408"/>
      <c r="L334" s="408"/>
      <c r="M334" s="408"/>
      <c r="N334" s="408"/>
      <c r="O334" s="419"/>
      <c r="P334" s="401" t="s">
        <v>76</v>
      </c>
      <c r="Q334" s="402"/>
      <c r="R334" s="402"/>
      <c r="S334" s="402"/>
      <c r="T334" s="402"/>
      <c r="U334" s="402"/>
      <c r="V334" s="403"/>
      <c r="W334" s="38" t="s">
        <v>77</v>
      </c>
      <c r="X334" s="391">
        <f>IFERROR(X327/H327,"0")+IFERROR(X328/H328,"0")+IFERROR(X329/H329,"0")+IFERROR(X330/H330,"0")+IFERROR(X331/H331,"0")+IFERROR(X332/H332,"0")+IFERROR(X333/H333,"0")</f>
        <v>47.348484848484844</v>
      </c>
      <c r="Y334" s="391">
        <f>IFERROR(Y327/H327,"0")+IFERROR(Y328/H328,"0")+IFERROR(Y329/H329,"0")+IFERROR(Y330/H330,"0")+IFERROR(Y331/H331,"0")+IFERROR(Y332/H332,"0")+IFERROR(Y333/H333,"0")</f>
        <v>48</v>
      </c>
      <c r="Z334" s="391">
        <f>IFERROR(IF(Z327="",0,Z327),"0")+IFERROR(IF(Z328="",0,Z328),"0")+IFERROR(IF(Z329="",0,Z329),"0")+IFERROR(IF(Z330="",0,Z330),"0")+IFERROR(IF(Z331="",0,Z331),"0")+IFERROR(IF(Z332="",0,Z332),"0")+IFERROR(IF(Z333="",0,Z333),"0")</f>
        <v>0.57408000000000003</v>
      </c>
      <c r="AA334" s="392"/>
      <c r="AB334" s="392"/>
      <c r="AC334" s="392"/>
    </row>
    <row r="335" spans="1:68" x14ac:dyDescent="0.2">
      <c r="A335" s="408"/>
      <c r="B335" s="408"/>
      <c r="C335" s="408"/>
      <c r="D335" s="408"/>
      <c r="E335" s="408"/>
      <c r="F335" s="408"/>
      <c r="G335" s="408"/>
      <c r="H335" s="408"/>
      <c r="I335" s="408"/>
      <c r="J335" s="408"/>
      <c r="K335" s="408"/>
      <c r="L335" s="408"/>
      <c r="M335" s="408"/>
      <c r="N335" s="408"/>
      <c r="O335" s="419"/>
      <c r="P335" s="401" t="s">
        <v>76</v>
      </c>
      <c r="Q335" s="402"/>
      <c r="R335" s="402"/>
      <c r="S335" s="402"/>
      <c r="T335" s="402"/>
      <c r="U335" s="402"/>
      <c r="V335" s="403"/>
      <c r="W335" s="38" t="s">
        <v>71</v>
      </c>
      <c r="X335" s="391">
        <f>IFERROR(SUM(X327:X333),"0")</f>
        <v>250</v>
      </c>
      <c r="Y335" s="391">
        <f>IFERROR(SUM(Y327:Y333),"0")</f>
        <v>253.44</v>
      </c>
      <c r="Z335" s="38"/>
      <c r="AA335" s="392"/>
      <c r="AB335" s="392"/>
      <c r="AC335" s="392"/>
    </row>
    <row r="336" spans="1:68" ht="14.25" customHeight="1" x14ac:dyDescent="0.25">
      <c r="A336" s="410" t="s">
        <v>117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385"/>
      <c r="AB336" s="385"/>
      <c r="AC336" s="385"/>
    </row>
    <row r="337" spans="1:68" ht="16.5" customHeight="1" x14ac:dyDescent="0.25">
      <c r="A337" s="55" t="s">
        <v>512</v>
      </c>
      <c r="B337" s="55" t="s">
        <v>513</v>
      </c>
      <c r="C337" s="32">
        <v>4301020334</v>
      </c>
      <c r="D337" s="396">
        <v>4607091388930</v>
      </c>
      <c r="E337" s="397"/>
      <c r="F337" s="388">
        <v>0.88</v>
      </c>
      <c r="G337" s="33">
        <v>6</v>
      </c>
      <c r="H337" s="388">
        <v>5.28</v>
      </c>
      <c r="I337" s="388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4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4"/>
      <c r="R337" s="394"/>
      <c r="S337" s="394"/>
      <c r="T337" s="395"/>
      <c r="U337" s="35"/>
      <c r="V337" s="35"/>
      <c r="W337" s="36" t="s">
        <v>71</v>
      </c>
      <c r="X337" s="389">
        <v>200</v>
      </c>
      <c r="Y337" s="390">
        <f>IFERROR(IF(X337="",0,CEILING((X337/$H337),1)*$H337),"")</f>
        <v>200.64000000000001</v>
      </c>
      <c r="Z337" s="37">
        <f>IFERROR(IF(Y337=0,"",ROUNDUP(Y337/H337,0)*0.01196),"")</f>
        <v>0.45448</v>
      </c>
      <c r="AA337" s="57"/>
      <c r="AB337" s="58"/>
      <c r="AC337" s="362" t="s">
        <v>514</v>
      </c>
      <c r="AG337" s="65"/>
      <c r="AJ337" s="69"/>
      <c r="AK337" s="69">
        <v>0</v>
      </c>
      <c r="BB337" s="363" t="s">
        <v>1</v>
      </c>
      <c r="BM337" s="65">
        <f>IFERROR(X337*I337/H337,"0")</f>
        <v>213.63636363636363</v>
      </c>
      <c r="BN337" s="65">
        <f>IFERROR(Y337*I337/H337,"0")</f>
        <v>214.32</v>
      </c>
      <c r="BO337" s="65">
        <f>IFERROR(1/J337*(X337/H337),"0")</f>
        <v>0.36421911421911418</v>
      </c>
      <c r="BP337" s="65">
        <f>IFERROR(1/J337*(Y337/H337),"0")</f>
        <v>0.36538461538461542</v>
      </c>
    </row>
    <row r="338" spans="1:68" ht="16.5" customHeight="1" x14ac:dyDescent="0.25">
      <c r="A338" s="55" t="s">
        <v>515</v>
      </c>
      <c r="B338" s="55" t="s">
        <v>516</v>
      </c>
      <c r="C338" s="32">
        <v>4301020385</v>
      </c>
      <c r="D338" s="396">
        <v>4680115880054</v>
      </c>
      <c r="E338" s="397"/>
      <c r="F338" s="388">
        <v>0.6</v>
      </c>
      <c r="G338" s="33">
        <v>8</v>
      </c>
      <c r="H338" s="388">
        <v>4.8</v>
      </c>
      <c r="I338" s="388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6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4"/>
      <c r="R338" s="394"/>
      <c r="S338" s="394"/>
      <c r="T338" s="395"/>
      <c r="U338" s="35"/>
      <c r="V338" s="35"/>
      <c r="W338" s="36" t="s">
        <v>71</v>
      </c>
      <c r="X338" s="389">
        <v>0</v>
      </c>
      <c r="Y338" s="390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514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18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19"/>
      <c r="P339" s="401" t="s">
        <v>76</v>
      </c>
      <c r="Q339" s="402"/>
      <c r="R339" s="402"/>
      <c r="S339" s="402"/>
      <c r="T339" s="402"/>
      <c r="U339" s="402"/>
      <c r="V339" s="403"/>
      <c r="W339" s="38" t="s">
        <v>77</v>
      </c>
      <c r="X339" s="391">
        <f>IFERROR(X337/H337,"0")+IFERROR(X338/H338,"0")</f>
        <v>37.878787878787875</v>
      </c>
      <c r="Y339" s="391">
        <f>IFERROR(Y337/H337,"0")+IFERROR(Y338/H338,"0")</f>
        <v>38</v>
      </c>
      <c r="Z339" s="391">
        <f>IFERROR(IF(Z337="",0,Z337),"0")+IFERROR(IF(Z338="",0,Z338),"0")</f>
        <v>0.45448</v>
      </c>
      <c r="AA339" s="392"/>
      <c r="AB339" s="392"/>
      <c r="AC339" s="392"/>
    </row>
    <row r="340" spans="1:68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8"/>
      <c r="O340" s="419"/>
      <c r="P340" s="401" t="s">
        <v>76</v>
      </c>
      <c r="Q340" s="402"/>
      <c r="R340" s="402"/>
      <c r="S340" s="402"/>
      <c r="T340" s="402"/>
      <c r="U340" s="402"/>
      <c r="V340" s="403"/>
      <c r="W340" s="38" t="s">
        <v>71</v>
      </c>
      <c r="X340" s="391">
        <f>IFERROR(SUM(X337:X338),"0")</f>
        <v>200</v>
      </c>
      <c r="Y340" s="391">
        <f>IFERROR(SUM(Y337:Y338),"0")</f>
        <v>200.64000000000001</v>
      </c>
      <c r="Z340" s="38"/>
      <c r="AA340" s="392"/>
      <c r="AB340" s="392"/>
      <c r="AC340" s="392"/>
    </row>
    <row r="341" spans="1:68" ht="14.25" customHeight="1" x14ac:dyDescent="0.25">
      <c r="A341" s="410" t="s">
        <v>182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385"/>
      <c r="AB341" s="385"/>
      <c r="AC341" s="385"/>
    </row>
    <row r="342" spans="1:68" ht="27" customHeight="1" x14ac:dyDescent="0.25">
      <c r="A342" s="55" t="s">
        <v>517</v>
      </c>
      <c r="B342" s="55" t="s">
        <v>518</v>
      </c>
      <c r="C342" s="32">
        <v>4301031349</v>
      </c>
      <c r="D342" s="396">
        <v>4680115883116</v>
      </c>
      <c r="E342" s="397"/>
      <c r="F342" s="388">
        <v>0.88</v>
      </c>
      <c r="G342" s="33">
        <v>6</v>
      </c>
      <c r="H342" s="388">
        <v>5.28</v>
      </c>
      <c r="I342" s="388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4"/>
      <c r="R342" s="394"/>
      <c r="S342" s="394"/>
      <c r="T342" s="395"/>
      <c r="U342" s="35"/>
      <c r="V342" s="35"/>
      <c r="W342" s="36" t="s">
        <v>71</v>
      </c>
      <c r="X342" s="389">
        <v>150</v>
      </c>
      <c r="Y342" s="390">
        <f t="shared" ref="Y342:Y347" si="35">IFERROR(IF(X342="",0,CEILING((X342/$H342),1)*$H342),"")</f>
        <v>153.12</v>
      </c>
      <c r="Z342" s="37">
        <f>IFERROR(IF(Y342=0,"",ROUNDUP(Y342/H342,0)*0.01196),"")</f>
        <v>0.34683999999999998</v>
      </c>
      <c r="AA342" s="57"/>
      <c r="AB342" s="58"/>
      <c r="AC342" s="366" t="s">
        <v>519</v>
      </c>
      <c r="AG342" s="65"/>
      <c r="AJ342" s="69"/>
      <c r="AK342" s="69">
        <v>0</v>
      </c>
      <c r="BB342" s="367" t="s">
        <v>1</v>
      </c>
      <c r="BM342" s="65">
        <f t="shared" ref="BM342:BM347" si="36">IFERROR(X342*I342/H342,"0")</f>
        <v>160.22727272727272</v>
      </c>
      <c r="BN342" s="65">
        <f t="shared" ref="BN342:BN347" si="37">IFERROR(Y342*I342/H342,"0")</f>
        <v>163.56</v>
      </c>
      <c r="BO342" s="65">
        <f t="shared" ref="BO342:BO347" si="38">IFERROR(1/J342*(X342/H342),"0")</f>
        <v>0.27316433566433568</v>
      </c>
      <c r="BP342" s="65">
        <f t="shared" ref="BP342:BP347" si="39">IFERROR(1/J342*(Y342/H342),"0")</f>
        <v>0.27884615384615385</v>
      </c>
    </row>
    <row r="343" spans="1:68" ht="27" customHeight="1" x14ac:dyDescent="0.25">
      <c r="A343" s="55" t="s">
        <v>520</v>
      </c>
      <c r="B343" s="55" t="s">
        <v>521</v>
      </c>
      <c r="C343" s="32">
        <v>4301031350</v>
      </c>
      <c r="D343" s="396">
        <v>4680115883093</v>
      </c>
      <c r="E343" s="397"/>
      <c r="F343" s="388">
        <v>0.88</v>
      </c>
      <c r="G343" s="33">
        <v>6</v>
      </c>
      <c r="H343" s="388">
        <v>5.28</v>
      </c>
      <c r="I343" s="388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4"/>
      <c r="R343" s="394"/>
      <c r="S343" s="394"/>
      <c r="T343" s="395"/>
      <c r="U343" s="35"/>
      <c r="V343" s="35"/>
      <c r="W343" s="36" t="s">
        <v>71</v>
      </c>
      <c r="X343" s="389">
        <v>150</v>
      </c>
      <c r="Y343" s="390">
        <f t="shared" si="35"/>
        <v>153.12</v>
      </c>
      <c r="Z343" s="37">
        <f>IFERROR(IF(Y343=0,"",ROUNDUP(Y343/H343,0)*0.01196),"")</f>
        <v>0.34683999999999998</v>
      </c>
      <c r="AA343" s="57"/>
      <c r="AB343" s="58"/>
      <c r="AC343" s="368" t="s">
        <v>522</v>
      </c>
      <c r="AG343" s="65"/>
      <c r="AJ343" s="69"/>
      <c r="AK343" s="69">
        <v>0</v>
      </c>
      <c r="BB343" s="369" t="s">
        <v>1</v>
      </c>
      <c r="BM343" s="65">
        <f t="shared" si="36"/>
        <v>160.22727272727272</v>
      </c>
      <c r="BN343" s="65">
        <f t="shared" si="37"/>
        <v>163.56</v>
      </c>
      <c r="BO343" s="65">
        <f t="shared" si="38"/>
        <v>0.27316433566433568</v>
      </c>
      <c r="BP343" s="65">
        <f t="shared" si="39"/>
        <v>0.27884615384615385</v>
      </c>
    </row>
    <row r="344" spans="1:68" ht="27" customHeight="1" x14ac:dyDescent="0.25">
      <c r="A344" s="55" t="s">
        <v>523</v>
      </c>
      <c r="B344" s="55" t="s">
        <v>524</v>
      </c>
      <c r="C344" s="32">
        <v>4301031353</v>
      </c>
      <c r="D344" s="396">
        <v>4680115883109</v>
      </c>
      <c r="E344" s="397"/>
      <c r="F344" s="388">
        <v>0.88</v>
      </c>
      <c r="G344" s="33">
        <v>6</v>
      </c>
      <c r="H344" s="388">
        <v>5.28</v>
      </c>
      <c r="I344" s="388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62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4"/>
      <c r="R344" s="394"/>
      <c r="S344" s="394"/>
      <c r="T344" s="395"/>
      <c r="U344" s="35"/>
      <c r="V344" s="35"/>
      <c r="W344" s="36" t="s">
        <v>71</v>
      </c>
      <c r="X344" s="389">
        <v>200</v>
      </c>
      <c r="Y344" s="390">
        <f t="shared" si="35"/>
        <v>200.64000000000001</v>
      </c>
      <c r="Z344" s="37">
        <f>IFERROR(IF(Y344=0,"",ROUNDUP(Y344/H344,0)*0.01196),"")</f>
        <v>0.45448</v>
      </c>
      <c r="AA344" s="57"/>
      <c r="AB344" s="58"/>
      <c r="AC344" s="370" t="s">
        <v>525</v>
      </c>
      <c r="AG344" s="65"/>
      <c r="AJ344" s="69"/>
      <c r="AK344" s="69">
        <v>0</v>
      </c>
      <c r="BB344" s="371" t="s">
        <v>1</v>
      </c>
      <c r="BM344" s="65">
        <f t="shared" si="36"/>
        <v>213.63636363636363</v>
      </c>
      <c r="BN344" s="65">
        <f t="shared" si="37"/>
        <v>214.32</v>
      </c>
      <c r="BO344" s="65">
        <f t="shared" si="38"/>
        <v>0.36421911421911418</v>
      </c>
      <c r="BP344" s="65">
        <f t="shared" si="39"/>
        <v>0.36538461538461542</v>
      </c>
    </row>
    <row r="345" spans="1:68" ht="27" customHeight="1" x14ac:dyDescent="0.25">
      <c r="A345" s="55" t="s">
        <v>526</v>
      </c>
      <c r="B345" s="55" t="s">
        <v>527</v>
      </c>
      <c r="C345" s="32">
        <v>4301031419</v>
      </c>
      <c r="D345" s="396">
        <v>4680115882072</v>
      </c>
      <c r="E345" s="397"/>
      <c r="F345" s="388">
        <v>0.6</v>
      </c>
      <c r="G345" s="33">
        <v>8</v>
      </c>
      <c r="H345" s="388">
        <v>4.8</v>
      </c>
      <c r="I345" s="388">
        <v>6.93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5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4"/>
      <c r="R345" s="394"/>
      <c r="S345" s="394"/>
      <c r="T345" s="395"/>
      <c r="U345" s="35"/>
      <c r="V345" s="35"/>
      <c r="W345" s="36" t="s">
        <v>71</v>
      </c>
      <c r="X345" s="389">
        <v>0</v>
      </c>
      <c r="Y345" s="390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519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4301031418</v>
      </c>
      <c r="D346" s="396">
        <v>4680115882102</v>
      </c>
      <c r="E346" s="397"/>
      <c r="F346" s="388">
        <v>0.6</v>
      </c>
      <c r="G346" s="33">
        <v>8</v>
      </c>
      <c r="H346" s="388">
        <v>4.8</v>
      </c>
      <c r="I346" s="388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394"/>
      <c r="R346" s="394"/>
      <c r="S346" s="394"/>
      <c r="T346" s="395"/>
      <c r="U346" s="35"/>
      <c r="V346" s="35"/>
      <c r="W346" s="36" t="s">
        <v>71</v>
      </c>
      <c r="X346" s="389">
        <v>0</v>
      </c>
      <c r="Y346" s="390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522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530</v>
      </c>
      <c r="B347" s="55" t="s">
        <v>531</v>
      </c>
      <c r="C347" s="32">
        <v>4301031417</v>
      </c>
      <c r="D347" s="396">
        <v>4680115882096</v>
      </c>
      <c r="E347" s="397"/>
      <c r="F347" s="388">
        <v>0.6</v>
      </c>
      <c r="G347" s="33">
        <v>8</v>
      </c>
      <c r="H347" s="388">
        <v>4.8</v>
      </c>
      <c r="I347" s="388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6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394"/>
      <c r="R347" s="394"/>
      <c r="S347" s="394"/>
      <c r="T347" s="395"/>
      <c r="U347" s="35"/>
      <c r="V347" s="35"/>
      <c r="W347" s="36" t="s">
        <v>71</v>
      </c>
      <c r="X347" s="389">
        <v>0</v>
      </c>
      <c r="Y347" s="390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525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x14ac:dyDescent="0.2">
      <c r="A348" s="418"/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19"/>
      <c r="P348" s="401" t="s">
        <v>76</v>
      </c>
      <c r="Q348" s="402"/>
      <c r="R348" s="402"/>
      <c r="S348" s="402"/>
      <c r="T348" s="402"/>
      <c r="U348" s="402"/>
      <c r="V348" s="403"/>
      <c r="W348" s="38" t="s">
        <v>77</v>
      </c>
      <c r="X348" s="391">
        <f>IFERROR(X342/H342,"0")+IFERROR(X343/H343,"0")+IFERROR(X344/H344,"0")+IFERROR(X345/H345,"0")+IFERROR(X346/H346,"0")+IFERROR(X347/H347,"0")</f>
        <v>94.696969696969688</v>
      </c>
      <c r="Y348" s="391">
        <f>IFERROR(Y342/H342,"0")+IFERROR(Y343/H343,"0")+IFERROR(Y344/H344,"0")+IFERROR(Y345/H345,"0")+IFERROR(Y346/H346,"0")+IFERROR(Y347/H347,"0")</f>
        <v>96</v>
      </c>
      <c r="Z348" s="391">
        <f>IFERROR(IF(Z342="",0,Z342),"0")+IFERROR(IF(Z343="",0,Z343),"0")+IFERROR(IF(Z344="",0,Z344),"0")+IFERROR(IF(Z345="",0,Z345),"0")+IFERROR(IF(Z346="",0,Z346),"0")+IFERROR(IF(Z347="",0,Z347),"0")</f>
        <v>1.1481599999999998</v>
      </c>
      <c r="AA348" s="392"/>
      <c r="AB348" s="392"/>
      <c r="AC348" s="392"/>
    </row>
    <row r="349" spans="1:68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8"/>
      <c r="O349" s="419"/>
      <c r="P349" s="401" t="s">
        <v>76</v>
      </c>
      <c r="Q349" s="402"/>
      <c r="R349" s="402"/>
      <c r="S349" s="402"/>
      <c r="T349" s="402"/>
      <c r="U349" s="402"/>
      <c r="V349" s="403"/>
      <c r="W349" s="38" t="s">
        <v>71</v>
      </c>
      <c r="X349" s="391">
        <f>IFERROR(SUM(X342:X347),"0")</f>
        <v>500</v>
      </c>
      <c r="Y349" s="391">
        <f>IFERROR(SUM(Y342:Y347),"0")</f>
        <v>506.88</v>
      </c>
      <c r="Z349" s="38"/>
      <c r="AA349" s="392"/>
      <c r="AB349" s="392"/>
      <c r="AC349" s="392"/>
    </row>
    <row r="350" spans="1:68" ht="14.25" customHeight="1" x14ac:dyDescent="0.25">
      <c r="A350" s="410" t="s">
        <v>66</v>
      </c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  <c r="V350" s="408"/>
      <c r="W350" s="408"/>
      <c r="X350" s="408"/>
      <c r="Y350" s="408"/>
      <c r="Z350" s="408"/>
      <c r="AA350" s="385"/>
      <c r="AB350" s="385"/>
      <c r="AC350" s="385"/>
    </row>
    <row r="351" spans="1:68" ht="16.5" customHeight="1" x14ac:dyDescent="0.25">
      <c r="A351" s="55" t="s">
        <v>532</v>
      </c>
      <c r="B351" s="55" t="s">
        <v>533</v>
      </c>
      <c r="C351" s="32">
        <v>4301051232</v>
      </c>
      <c r="D351" s="396">
        <v>4607091383409</v>
      </c>
      <c r="E351" s="397"/>
      <c r="F351" s="388">
        <v>1.3</v>
      </c>
      <c r="G351" s="33">
        <v>6</v>
      </c>
      <c r="H351" s="388">
        <v>7.8</v>
      </c>
      <c r="I351" s="388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4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394"/>
      <c r="R351" s="394"/>
      <c r="S351" s="394"/>
      <c r="T351" s="395"/>
      <c r="U351" s="35"/>
      <c r="V351" s="35"/>
      <c r="W351" s="36" t="s">
        <v>71</v>
      </c>
      <c r="X351" s="389">
        <v>0</v>
      </c>
      <c r="Y351" s="390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534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16.5" customHeight="1" x14ac:dyDescent="0.25">
      <c r="A352" s="55" t="s">
        <v>535</v>
      </c>
      <c r="B352" s="55" t="s">
        <v>536</v>
      </c>
      <c r="C352" s="32">
        <v>4301051233</v>
      </c>
      <c r="D352" s="396">
        <v>4607091383416</v>
      </c>
      <c r="E352" s="397"/>
      <c r="F352" s="388">
        <v>1.3</v>
      </c>
      <c r="G352" s="33">
        <v>6</v>
      </c>
      <c r="H352" s="388">
        <v>7.8</v>
      </c>
      <c r="I352" s="388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4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394"/>
      <c r="R352" s="394"/>
      <c r="S352" s="394"/>
      <c r="T352" s="395"/>
      <c r="U352" s="35"/>
      <c r="V352" s="35"/>
      <c r="W352" s="36" t="s">
        <v>71</v>
      </c>
      <c r="X352" s="389">
        <v>80</v>
      </c>
      <c r="Y352" s="390">
        <f>IFERROR(IF(X352="",0,CEILING((X352/$H352),1)*$H352),"")</f>
        <v>85.8</v>
      </c>
      <c r="Z352" s="37">
        <f>IFERROR(IF(Y352=0,"",ROUNDUP(Y352/H352,0)*0.01898),"")</f>
        <v>0.20877999999999999</v>
      </c>
      <c r="AA352" s="57"/>
      <c r="AB352" s="58"/>
      <c r="AC352" s="380" t="s">
        <v>537</v>
      </c>
      <c r="AG352" s="65"/>
      <c r="AJ352" s="69"/>
      <c r="AK352" s="69">
        <v>0</v>
      </c>
      <c r="BB352" s="381" t="s">
        <v>1</v>
      </c>
      <c r="BM352" s="65">
        <f>IFERROR(X352*I352/H352,"0")</f>
        <v>85.138461538461542</v>
      </c>
      <c r="BN352" s="65">
        <f>IFERROR(Y352*I352/H352,"0")</f>
        <v>91.310999999999993</v>
      </c>
      <c r="BO352" s="65">
        <f>IFERROR(1/J352*(X352/H352),"0")</f>
        <v>0.16025641025641027</v>
      </c>
      <c r="BP352" s="65">
        <f>IFERROR(1/J352*(Y352/H352),"0")</f>
        <v>0.171875</v>
      </c>
    </row>
    <row r="353" spans="1:32" x14ac:dyDescent="0.2">
      <c r="A353" s="418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19"/>
      <c r="P353" s="401" t="s">
        <v>76</v>
      </c>
      <c r="Q353" s="402"/>
      <c r="R353" s="402"/>
      <c r="S353" s="402"/>
      <c r="T353" s="402"/>
      <c r="U353" s="402"/>
      <c r="V353" s="403"/>
      <c r="W353" s="38" t="s">
        <v>77</v>
      </c>
      <c r="X353" s="391">
        <f>IFERROR(X351/H351,"0")+IFERROR(X352/H352,"0")</f>
        <v>10.256410256410257</v>
      </c>
      <c r="Y353" s="391">
        <f>IFERROR(Y351/H351,"0")+IFERROR(Y352/H352,"0")</f>
        <v>11</v>
      </c>
      <c r="Z353" s="391">
        <f>IFERROR(IF(Z351="",0,Z351),"0")+IFERROR(IF(Z352="",0,Z352),"0")</f>
        <v>0.20877999999999999</v>
      </c>
      <c r="AA353" s="392"/>
      <c r="AB353" s="392"/>
      <c r="AC353" s="392"/>
    </row>
    <row r="354" spans="1:32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08"/>
      <c r="O354" s="419"/>
      <c r="P354" s="401" t="s">
        <v>76</v>
      </c>
      <c r="Q354" s="402"/>
      <c r="R354" s="402"/>
      <c r="S354" s="402"/>
      <c r="T354" s="402"/>
      <c r="U354" s="402"/>
      <c r="V354" s="403"/>
      <c r="W354" s="38" t="s">
        <v>71</v>
      </c>
      <c r="X354" s="391">
        <f>IFERROR(SUM(X351:X352),"0")</f>
        <v>80</v>
      </c>
      <c r="Y354" s="391">
        <f>IFERROR(SUM(Y351:Y352),"0")</f>
        <v>85.8</v>
      </c>
      <c r="Z354" s="38"/>
      <c r="AA354" s="392"/>
      <c r="AB354" s="392"/>
      <c r="AC354" s="392"/>
    </row>
    <row r="355" spans="1:32" ht="15" customHeight="1" x14ac:dyDescent="0.2">
      <c r="A355" s="516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517"/>
      <c r="P355" s="462" t="s">
        <v>538</v>
      </c>
      <c r="Q355" s="463"/>
      <c r="R355" s="463"/>
      <c r="S355" s="463"/>
      <c r="T355" s="463"/>
      <c r="U355" s="463"/>
      <c r="V355" s="464"/>
      <c r="W355" s="38" t="s">
        <v>71</v>
      </c>
      <c r="X355" s="391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7270</v>
      </c>
      <c r="Y355" s="391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7376.5599999999995</v>
      </c>
      <c r="Z355" s="38"/>
      <c r="AA355" s="392"/>
      <c r="AB355" s="392"/>
      <c r="AC355" s="392"/>
    </row>
    <row r="356" spans="1:32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517"/>
      <c r="P356" s="462" t="s">
        <v>539</v>
      </c>
      <c r="Q356" s="463"/>
      <c r="R356" s="463"/>
      <c r="S356" s="463"/>
      <c r="T356" s="463"/>
      <c r="U356" s="463"/>
      <c r="V356" s="464"/>
      <c r="W356" s="38" t="s">
        <v>71</v>
      </c>
      <c r="X356" s="391">
        <f>IFERROR(SUM(BM22:BM352),"0")</f>
        <v>7655.0514621619095</v>
      </c>
      <c r="Y356" s="391">
        <f>IFERROR(SUM(BN22:BN352),"0")</f>
        <v>7767.1149999999998</v>
      </c>
      <c r="Z356" s="38"/>
      <c r="AA356" s="392"/>
      <c r="AB356" s="392"/>
      <c r="AC356" s="392"/>
    </row>
    <row r="357" spans="1:32" x14ac:dyDescent="0.2">
      <c r="A357" s="408"/>
      <c r="B357" s="408"/>
      <c r="C357" s="408"/>
      <c r="D357" s="408"/>
      <c r="E357" s="408"/>
      <c r="F357" s="408"/>
      <c r="G357" s="408"/>
      <c r="H357" s="408"/>
      <c r="I357" s="408"/>
      <c r="J357" s="408"/>
      <c r="K357" s="408"/>
      <c r="L357" s="408"/>
      <c r="M357" s="408"/>
      <c r="N357" s="408"/>
      <c r="O357" s="517"/>
      <c r="P357" s="462" t="s">
        <v>540</v>
      </c>
      <c r="Q357" s="463"/>
      <c r="R357" s="463"/>
      <c r="S357" s="463"/>
      <c r="T357" s="463"/>
      <c r="U357" s="463"/>
      <c r="V357" s="464"/>
      <c r="W357" s="38" t="s">
        <v>541</v>
      </c>
      <c r="X357" s="39">
        <f>ROUNDUP(SUM(BO22:BO352),0)</f>
        <v>13</v>
      </c>
      <c r="Y357" s="39">
        <f>ROUNDUP(SUM(BP22:BP352),0)</f>
        <v>13</v>
      </c>
      <c r="Z357" s="38"/>
      <c r="AA357" s="392"/>
      <c r="AB357" s="392"/>
      <c r="AC357" s="392"/>
    </row>
    <row r="358" spans="1:32" x14ac:dyDescent="0.2">
      <c r="A358" s="408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517"/>
      <c r="P358" s="462" t="s">
        <v>542</v>
      </c>
      <c r="Q358" s="463"/>
      <c r="R358" s="463"/>
      <c r="S358" s="463"/>
      <c r="T358" s="463"/>
      <c r="U358" s="463"/>
      <c r="V358" s="464"/>
      <c r="W358" s="38" t="s">
        <v>71</v>
      </c>
      <c r="X358" s="391">
        <f>GrossWeightTotal+PalletQtyTotal*25</f>
        <v>7980.0514621619095</v>
      </c>
      <c r="Y358" s="391">
        <f>GrossWeightTotalR+PalletQtyTotalR*25</f>
        <v>8092.1149999999998</v>
      </c>
      <c r="Z358" s="38"/>
      <c r="AA358" s="392"/>
      <c r="AB358" s="392"/>
      <c r="AC358" s="392"/>
    </row>
    <row r="359" spans="1:32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8"/>
      <c r="O359" s="517"/>
      <c r="P359" s="462" t="s">
        <v>543</v>
      </c>
      <c r="Q359" s="463"/>
      <c r="R359" s="463"/>
      <c r="S359" s="463"/>
      <c r="T359" s="463"/>
      <c r="U359" s="463"/>
      <c r="V359" s="464"/>
      <c r="W359" s="38" t="s">
        <v>541</v>
      </c>
      <c r="X359" s="391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1139.304703322621</v>
      </c>
      <c r="Y359" s="391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1154</v>
      </c>
      <c r="Z359" s="38"/>
      <c r="AA359" s="392"/>
      <c r="AB359" s="392"/>
      <c r="AC359" s="392"/>
    </row>
    <row r="360" spans="1:32" ht="14.25" customHeight="1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517"/>
      <c r="P360" s="462" t="s">
        <v>544</v>
      </c>
      <c r="Q360" s="463"/>
      <c r="R360" s="463"/>
      <c r="S360" s="463"/>
      <c r="T360" s="463"/>
      <c r="U360" s="463"/>
      <c r="V360" s="464"/>
      <c r="W360" s="40" t="s">
        <v>545</v>
      </c>
      <c r="X360" s="38"/>
      <c r="Y360" s="38"/>
      <c r="Z360" s="38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14.706020000000002</v>
      </c>
      <c r="AA360" s="392"/>
      <c r="AB360" s="392"/>
      <c r="AC360" s="392"/>
    </row>
    <row r="361" spans="1:32" ht="13.5" customHeight="1" thickBot="1" x14ac:dyDescent="0.25"/>
    <row r="362" spans="1:32" ht="27" customHeight="1" thickTop="1" thickBot="1" x14ac:dyDescent="0.25">
      <c r="A362" s="41" t="s">
        <v>546</v>
      </c>
      <c r="B362" s="386" t="s">
        <v>65</v>
      </c>
      <c r="C362" s="404" t="s">
        <v>84</v>
      </c>
      <c r="D362" s="422"/>
      <c r="E362" s="422"/>
      <c r="F362" s="422"/>
      <c r="G362" s="423"/>
      <c r="H362" s="404" t="s">
        <v>192</v>
      </c>
      <c r="I362" s="422"/>
      <c r="J362" s="422"/>
      <c r="K362" s="422"/>
      <c r="L362" s="422"/>
      <c r="M362" s="422"/>
      <c r="N362" s="422"/>
      <c r="O362" s="422"/>
      <c r="P362" s="422"/>
      <c r="Q362" s="422"/>
      <c r="R362" s="423"/>
      <c r="S362" s="404" t="s">
        <v>414</v>
      </c>
      <c r="T362" s="423"/>
      <c r="U362" s="404" t="s">
        <v>467</v>
      </c>
      <c r="V362" s="423"/>
      <c r="W362" s="386" t="s">
        <v>492</v>
      </c>
      <c r="AB362" s="53"/>
      <c r="AC362" s="53"/>
      <c r="AF362" s="387"/>
    </row>
    <row r="363" spans="1:32" ht="14.25" customHeight="1" thickTop="1" x14ac:dyDescent="0.2">
      <c r="A363" s="547" t="s">
        <v>547</v>
      </c>
      <c r="B363" s="404" t="s">
        <v>65</v>
      </c>
      <c r="C363" s="404" t="s">
        <v>85</v>
      </c>
      <c r="D363" s="404" t="s">
        <v>98</v>
      </c>
      <c r="E363" s="404" t="s">
        <v>132</v>
      </c>
      <c r="F363" s="404" t="s">
        <v>147</v>
      </c>
      <c r="G363" s="404" t="s">
        <v>84</v>
      </c>
      <c r="H363" s="404" t="s">
        <v>193</v>
      </c>
      <c r="I363" s="404" t="s">
        <v>227</v>
      </c>
      <c r="J363" s="404" t="s">
        <v>273</v>
      </c>
      <c r="K363" s="404" t="s">
        <v>294</v>
      </c>
      <c r="L363" s="404" t="s">
        <v>310</v>
      </c>
      <c r="M363" s="404" t="s">
        <v>317</v>
      </c>
      <c r="N363" s="387"/>
      <c r="O363" s="404" t="s">
        <v>321</v>
      </c>
      <c r="P363" s="404" t="s">
        <v>325</v>
      </c>
      <c r="Q363" s="404" t="s">
        <v>330</v>
      </c>
      <c r="R363" s="404" t="s">
        <v>407</v>
      </c>
      <c r="S363" s="404" t="s">
        <v>415</v>
      </c>
      <c r="T363" s="404" t="s">
        <v>447</v>
      </c>
      <c r="U363" s="404" t="s">
        <v>468</v>
      </c>
      <c r="V363" s="404" t="s">
        <v>485</v>
      </c>
      <c r="W363" s="404" t="s">
        <v>492</v>
      </c>
      <c r="AB363" s="53"/>
      <c r="AC363" s="53"/>
      <c r="AF363" s="387"/>
    </row>
    <row r="364" spans="1:32" ht="13.5" customHeight="1" thickBot="1" x14ac:dyDescent="0.25">
      <c r="A364" s="548"/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387"/>
      <c r="O364" s="405"/>
      <c r="P364" s="405"/>
      <c r="Q364" s="405"/>
      <c r="R364" s="405"/>
      <c r="S364" s="405"/>
      <c r="T364" s="405"/>
      <c r="U364" s="405"/>
      <c r="V364" s="405"/>
      <c r="W364" s="405"/>
      <c r="AB364" s="53"/>
      <c r="AC364" s="53"/>
      <c r="AF364" s="387"/>
    </row>
    <row r="365" spans="1:32" ht="18" customHeight="1" thickTop="1" thickBot="1" x14ac:dyDescent="0.25">
      <c r="A365" s="41" t="s">
        <v>548</v>
      </c>
      <c r="B365" s="47">
        <f>IFERROR(Y22*1,"0")+IFERROR(Y23*1,"0")+IFERROR(Y27*1,"0")</f>
        <v>0</v>
      </c>
      <c r="C365" s="47">
        <f>IFERROR(Y33*1,"0")+IFERROR(Y34*1,"0")+IFERROR(Y35*1,"0")</f>
        <v>100</v>
      </c>
      <c r="D365" s="47">
        <f>IFERROR(Y40*1,"0")+IFERROR(Y41*1,"0")+IFERROR(Y42*1,"0")+IFERROR(Y43*1,"0")+IFERROR(Y44*1,"0")+IFERROR(Y45*1,"0")+IFERROR(Y49*1,"0")+IFERROR(Y50*1,"0")+IFERROR(Y51*1,"0")+IFERROR(Y55*1,"0")+IFERROR(Y56*1,"0")</f>
        <v>211.5</v>
      </c>
      <c r="E365" s="47">
        <f>IFERROR(Y61*1,"0")+IFERROR(Y62*1,"0")+IFERROR(Y66*1,"0")+IFERROR(Y67*1,"0")+IFERROR(Y68*1,"0")</f>
        <v>213.3</v>
      </c>
      <c r="F365" s="47">
        <f>IFERROR(Y73*1,"0")+IFERROR(Y74*1,"0")+IFERROR(Y75*1,"0")+IFERROR(Y76*1,"0")+IFERROR(Y80*1,"0")+IFERROR(Y81*1,"0")+IFERROR(Y82*1,"0")+IFERROR(Y86*1,"0")+IFERROR(Y87*1,"0")+IFERROR(Y88*1,"0")+IFERROR(Y92*1,"0")</f>
        <v>756</v>
      </c>
      <c r="G365" s="47">
        <f>IFERROR(Y97*1,"0")+IFERROR(Y98*1,"0")+IFERROR(Y102*1,"0")+IFERROR(Y103*1,"0")+IFERROR(Y104*1,"0")</f>
        <v>0</v>
      </c>
      <c r="H365" s="47">
        <f>IFERROR(Y110*1,"0")+IFERROR(Y111*1,"0")+IFERROR(Y112*1,"0")+IFERROR(Y113*1,"0")+IFERROR(Y114*1,"0")+IFERROR(Y115*1,"0")+IFERROR(Y116*1,"0")+IFERROR(Y117*1,"0")+IFERROR(Y121*1,"0")+IFERROR(Y122*1,"0")+IFERROR(Y123*1,"0")+IFERROR(Y127*1,"0")</f>
        <v>504.00000000000011</v>
      </c>
      <c r="I365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453.9</v>
      </c>
      <c r="J365" s="47">
        <f>IFERROR(Y165*1,"0")+IFERROR(Y166*1,"0")+IFERROR(Y167*1,"0")+IFERROR(Y168*1,"0")+IFERROR(Y169*1,"0")+IFERROR(Y170*1,"0")+IFERROR(Y171*1,"0")+IFERROR(Y172*1,"0")</f>
        <v>0</v>
      </c>
      <c r="K365" s="47">
        <f>IFERROR(Y177*1,"0")+IFERROR(Y178*1,"0")+IFERROR(Y179*1,"0")+IFERROR(Y180*1,"0")+IFERROR(Y181*1,"0")</f>
        <v>100</v>
      </c>
      <c r="L365" s="47">
        <f>IFERROR(Y186*1,"0")+IFERROR(Y187*1,"0")</f>
        <v>0</v>
      </c>
      <c r="M365" s="47">
        <f>IFERROR(Y192*1,"0")</f>
        <v>0</v>
      </c>
      <c r="N365" s="387"/>
      <c r="O365" s="47">
        <f>IFERROR(Y197*1,"0")</f>
        <v>0</v>
      </c>
      <c r="P365" s="47">
        <f>IFERROR(Y202*1,"0")</f>
        <v>0</v>
      </c>
      <c r="Q365" s="47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107.69999999999999</v>
      </c>
      <c r="R365" s="47">
        <f>IFERROR(Y252*1,"0")+IFERROR(Y253*1,"0")</f>
        <v>0</v>
      </c>
      <c r="S365" s="47">
        <f>IFERROR(Y259*1,"0")+IFERROR(Y260*1,"0")+IFERROR(Y261*1,"0")+IFERROR(Y262*1,"0")+IFERROR(Y263*1,"0")+IFERROR(Y264*1,"0")+IFERROR(Y268*1,"0")+IFERROR(Y269*1,"0")+IFERROR(Y273*1,"0")+IFERROR(Y274*1,"0")+IFERROR(Y278*1,"0")</f>
        <v>1870</v>
      </c>
      <c r="T365" s="47">
        <f>IFERROR(Y283*1,"0")+IFERROR(Y284*1,"0")+IFERROR(Y285*1,"0")+IFERROR(Y289*1,"0")+IFERROR(Y293*1,"0")+IFERROR(Y294*1,"0")+IFERROR(Y298*1,"0")</f>
        <v>1963</v>
      </c>
      <c r="U365" s="47">
        <f>IFERROR(Y304*1,"0")+IFERROR(Y305*1,"0")+IFERROR(Y306*1,"0")+IFERROR(Y307*1,"0")+IFERROR(Y311*1,"0")+IFERROR(Y312*1,"0")</f>
        <v>50.4</v>
      </c>
      <c r="V365" s="47">
        <f>IFERROR(Y317*1,"0")+IFERROR(Y321*1,"0")</f>
        <v>0</v>
      </c>
      <c r="W365" s="47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1046.76</v>
      </c>
      <c r="AB365" s="53"/>
      <c r="AC365" s="53"/>
      <c r="AF365" s="387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2">
    <mergeCell ref="P356:V356"/>
    <mergeCell ref="D42:E42"/>
    <mergeCell ref="P338:T338"/>
    <mergeCell ref="D344:E344"/>
    <mergeCell ref="D17:E18"/>
    <mergeCell ref="A131:Z131"/>
    <mergeCell ref="P202:T202"/>
    <mergeCell ref="P307:T307"/>
    <mergeCell ref="A188:O189"/>
    <mergeCell ref="D123:E123"/>
    <mergeCell ref="D50:E50"/>
    <mergeCell ref="X17:X18"/>
    <mergeCell ref="D110:E110"/>
    <mergeCell ref="D44:E44"/>
    <mergeCell ref="A8:C8"/>
    <mergeCell ref="D293:E293"/>
    <mergeCell ref="D268:E268"/>
    <mergeCell ref="P151:T151"/>
    <mergeCell ref="D97:E97"/>
    <mergeCell ref="A10:C10"/>
    <mergeCell ref="P218:T218"/>
    <mergeCell ref="P69:V69"/>
    <mergeCell ref="P140:V140"/>
    <mergeCell ref="A136:Z136"/>
    <mergeCell ref="A21:Z21"/>
    <mergeCell ref="D121:E121"/>
    <mergeCell ref="D192:E192"/>
    <mergeCell ref="A99:O100"/>
    <mergeCell ref="Q5:R5"/>
    <mergeCell ref="F17:F18"/>
    <mergeCell ref="A315:Z315"/>
    <mergeCell ref="P290:V290"/>
    <mergeCell ref="D278:E278"/>
    <mergeCell ref="D234:E234"/>
    <mergeCell ref="A24:O25"/>
    <mergeCell ref="P263:T263"/>
    <mergeCell ref="P228:T228"/>
    <mergeCell ref="D171:E171"/>
    <mergeCell ref="P293:T293"/>
    <mergeCell ref="Q6:R6"/>
    <mergeCell ref="A267:Z267"/>
    <mergeCell ref="A124:O125"/>
    <mergeCell ref="A118:O119"/>
    <mergeCell ref="D102:E102"/>
    <mergeCell ref="P294:T294"/>
    <mergeCell ref="D133:E133"/>
    <mergeCell ref="A231:Z231"/>
    <mergeCell ref="A206:Z206"/>
    <mergeCell ref="P308:V308"/>
    <mergeCell ref="V12:W12"/>
    <mergeCell ref="D262:E262"/>
    <mergeCell ref="A265:O266"/>
    <mergeCell ref="P358:V358"/>
    <mergeCell ref="P110:T110"/>
    <mergeCell ref="D218:E218"/>
    <mergeCell ref="D247:E247"/>
    <mergeCell ref="P53:V53"/>
    <mergeCell ref="A320:Z320"/>
    <mergeCell ref="A176:Z176"/>
    <mergeCell ref="R363:R364"/>
    <mergeCell ref="T363:T364"/>
    <mergeCell ref="A257:Z257"/>
    <mergeCell ref="A191:Z191"/>
    <mergeCell ref="P262:T262"/>
    <mergeCell ref="A107:Z107"/>
    <mergeCell ref="P353:V353"/>
    <mergeCell ref="A83:O84"/>
    <mergeCell ref="D170:E170"/>
    <mergeCell ref="D342:E342"/>
    <mergeCell ref="U362:V362"/>
    <mergeCell ref="A310:Z310"/>
    <mergeCell ref="D239:E239"/>
    <mergeCell ref="A279:O280"/>
    <mergeCell ref="P149:T149"/>
    <mergeCell ref="D331:E331"/>
    <mergeCell ref="P296:V296"/>
    <mergeCell ref="AD17:AF18"/>
    <mergeCell ref="D76:E76"/>
    <mergeCell ref="F5:G5"/>
    <mergeCell ref="P67:T67"/>
    <mergeCell ref="P119:V119"/>
    <mergeCell ref="P186:T186"/>
    <mergeCell ref="A36:O37"/>
    <mergeCell ref="S363:S364"/>
    <mergeCell ref="A334:O335"/>
    <mergeCell ref="U363:U364"/>
    <mergeCell ref="P253:T253"/>
    <mergeCell ref="A223:Z223"/>
    <mergeCell ref="P82:T82"/>
    <mergeCell ref="V11:W11"/>
    <mergeCell ref="D165:E165"/>
    <mergeCell ref="P75:T75"/>
    <mergeCell ref="P342:T342"/>
    <mergeCell ref="P317:T317"/>
    <mergeCell ref="D152:E152"/>
    <mergeCell ref="P121:T121"/>
    <mergeCell ref="P181:T181"/>
    <mergeCell ref="D23:E23"/>
    <mergeCell ref="P344:T344"/>
    <mergeCell ref="D216:E216"/>
    <mergeCell ref="P2:W3"/>
    <mergeCell ref="P133:T133"/>
    <mergeCell ref="P298:T298"/>
    <mergeCell ref="P127:T127"/>
    <mergeCell ref="D241:E241"/>
    <mergeCell ref="A57:O58"/>
    <mergeCell ref="P347:T347"/>
    <mergeCell ref="D35:E35"/>
    <mergeCell ref="D228:E228"/>
    <mergeCell ref="D333:E333"/>
    <mergeCell ref="D10:E10"/>
    <mergeCell ref="F10:G10"/>
    <mergeCell ref="D34:E34"/>
    <mergeCell ref="D305:E305"/>
    <mergeCell ref="A308:O309"/>
    <mergeCell ref="P78:V78"/>
    <mergeCell ref="A130:Z130"/>
    <mergeCell ref="A201:Z201"/>
    <mergeCell ref="A52:O53"/>
    <mergeCell ref="A134:O135"/>
    <mergeCell ref="P300:V300"/>
    <mergeCell ref="A20:Z20"/>
    <mergeCell ref="D252:E252"/>
    <mergeCell ref="P123:T123"/>
    <mergeCell ref="P286:V286"/>
    <mergeCell ref="A339:O340"/>
    <mergeCell ref="M17:M18"/>
    <mergeCell ref="O17:O18"/>
    <mergeCell ref="P174:V174"/>
    <mergeCell ref="P52:V52"/>
    <mergeCell ref="A297:Z297"/>
    <mergeCell ref="A175:Z175"/>
    <mergeCell ref="P102:T102"/>
    <mergeCell ref="P189:V189"/>
    <mergeCell ref="A185:Z185"/>
    <mergeCell ref="P287:V287"/>
    <mergeCell ref="D177:E177"/>
    <mergeCell ref="D33:E33"/>
    <mergeCell ref="A313:O314"/>
    <mergeCell ref="D226:E226"/>
    <mergeCell ref="P62:T62"/>
    <mergeCell ref="N17:N18"/>
    <mergeCell ref="D49:E49"/>
    <mergeCell ref="A39:Z39"/>
    <mergeCell ref="A30:Z30"/>
    <mergeCell ref="U17:V17"/>
    <mergeCell ref="Y17:Y18"/>
    <mergeCell ref="K363:K364"/>
    <mergeCell ref="P33:T33"/>
    <mergeCell ref="P226:T226"/>
    <mergeCell ref="M363:M364"/>
    <mergeCell ref="D207:E207"/>
    <mergeCell ref="P269:T269"/>
    <mergeCell ref="P35:T35"/>
    <mergeCell ref="P57:V57"/>
    <mergeCell ref="P333:T333"/>
    <mergeCell ref="P242:V242"/>
    <mergeCell ref="D80:E80"/>
    <mergeCell ref="P357:V357"/>
    <mergeCell ref="D154:E154"/>
    <mergeCell ref="P111:T111"/>
    <mergeCell ref="D225:E225"/>
    <mergeCell ref="P61:T61"/>
    <mergeCell ref="P346:T346"/>
    <mergeCell ref="A105:O106"/>
    <mergeCell ref="D227:E227"/>
    <mergeCell ref="P321:T321"/>
    <mergeCell ref="D202:E202"/>
    <mergeCell ref="A242:O243"/>
    <mergeCell ref="P112:T112"/>
    <mergeCell ref="A302:Z302"/>
    <mergeCell ref="H5:M5"/>
    <mergeCell ref="P158:V158"/>
    <mergeCell ref="P98:T98"/>
    <mergeCell ref="A214:Z214"/>
    <mergeCell ref="D317:E317"/>
    <mergeCell ref="P225:T225"/>
    <mergeCell ref="A341:Z341"/>
    <mergeCell ref="D6:M6"/>
    <mergeCell ref="D304:E304"/>
    <mergeCell ref="P266:V266"/>
    <mergeCell ref="A85:Z85"/>
    <mergeCell ref="D143:E143"/>
    <mergeCell ref="P227:T227"/>
    <mergeCell ref="P177:T177"/>
    <mergeCell ref="G17:G18"/>
    <mergeCell ref="A9:C9"/>
    <mergeCell ref="D294:E294"/>
    <mergeCell ref="A91:Z91"/>
    <mergeCell ref="P70:V70"/>
    <mergeCell ref="P134:V134"/>
    <mergeCell ref="Q13:R13"/>
    <mergeCell ref="P339:V339"/>
    <mergeCell ref="A318:O319"/>
    <mergeCell ref="P47:V47"/>
    <mergeCell ref="V6:W9"/>
    <mergeCell ref="A348:O349"/>
    <mergeCell ref="A299:O300"/>
    <mergeCell ref="P274:T274"/>
    <mergeCell ref="D186:E186"/>
    <mergeCell ref="P345:T345"/>
    <mergeCell ref="D217:E217"/>
    <mergeCell ref="A93:O94"/>
    <mergeCell ref="A59:Z59"/>
    <mergeCell ref="P22:T22"/>
    <mergeCell ref="P40:T40"/>
    <mergeCell ref="P236:V236"/>
    <mergeCell ref="P334:V334"/>
    <mergeCell ref="P80:T80"/>
    <mergeCell ref="Z17:Z18"/>
    <mergeCell ref="P173:V173"/>
    <mergeCell ref="A54:Z54"/>
    <mergeCell ref="P29:V29"/>
    <mergeCell ref="P271:V271"/>
    <mergeCell ref="P100:V100"/>
    <mergeCell ref="P265:V265"/>
    <mergeCell ref="P94:V94"/>
    <mergeCell ref="A277:Z277"/>
    <mergeCell ref="P247:T247"/>
    <mergeCell ref="AA17:AA18"/>
    <mergeCell ref="H10:M10"/>
    <mergeCell ref="AC17:AC18"/>
    <mergeCell ref="A72:Z72"/>
    <mergeCell ref="P147:V147"/>
    <mergeCell ref="P45:T45"/>
    <mergeCell ref="A235:O236"/>
    <mergeCell ref="P343:T343"/>
    <mergeCell ref="A288:Z288"/>
    <mergeCell ref="D153:E153"/>
    <mergeCell ref="AB17:AB18"/>
    <mergeCell ref="P114:T114"/>
    <mergeCell ref="P241:T241"/>
    <mergeCell ref="P41:T41"/>
    <mergeCell ref="D155:E155"/>
    <mergeCell ref="D22:E22"/>
    <mergeCell ref="D149:E149"/>
    <mergeCell ref="P255:V255"/>
    <mergeCell ref="P178:T178"/>
    <mergeCell ref="P34:T34"/>
    <mergeCell ref="D86:E86"/>
    <mergeCell ref="D151:E151"/>
    <mergeCell ref="P49:T49"/>
    <mergeCell ref="D321:E321"/>
    <mergeCell ref="A363:A364"/>
    <mergeCell ref="H17:H18"/>
    <mergeCell ref="P261:T261"/>
    <mergeCell ref="P332:T332"/>
    <mergeCell ref="P217:T217"/>
    <mergeCell ref="D269:E269"/>
    <mergeCell ref="P275:V275"/>
    <mergeCell ref="A157:O158"/>
    <mergeCell ref="P27:T27"/>
    <mergeCell ref="P154:T154"/>
    <mergeCell ref="D75:E75"/>
    <mergeCell ref="D298:E298"/>
    <mergeCell ref="D181:E181"/>
    <mergeCell ref="A221:O222"/>
    <mergeCell ref="A286:O287"/>
    <mergeCell ref="P327:T327"/>
    <mergeCell ref="D273:E273"/>
    <mergeCell ref="P156:T156"/>
    <mergeCell ref="P105:V105"/>
    <mergeCell ref="P99:V99"/>
    <mergeCell ref="A141:Z141"/>
    <mergeCell ref="J363:J364"/>
    <mergeCell ref="L363:L364"/>
    <mergeCell ref="I363:I364"/>
    <mergeCell ref="A15:M15"/>
    <mergeCell ref="D346:E346"/>
    <mergeCell ref="P179:T179"/>
    <mergeCell ref="J9:M9"/>
    <mergeCell ref="D283:E283"/>
    <mergeCell ref="D112:E112"/>
    <mergeCell ref="D62:E62"/>
    <mergeCell ref="D56:E56"/>
    <mergeCell ref="D127:E127"/>
    <mergeCell ref="P233:T233"/>
    <mergeCell ref="P304:T304"/>
    <mergeCell ref="D285:E285"/>
    <mergeCell ref="D114:E114"/>
    <mergeCell ref="P143:T143"/>
    <mergeCell ref="D51:E51"/>
    <mergeCell ref="P306:T306"/>
    <mergeCell ref="P157:V157"/>
    <mergeCell ref="P213:V213"/>
    <mergeCell ref="A38:Z38"/>
    <mergeCell ref="P249:V249"/>
    <mergeCell ref="P207:T207"/>
    <mergeCell ref="P28:V28"/>
    <mergeCell ref="P221:V221"/>
    <mergeCell ref="D138:E138"/>
    <mergeCell ref="B363:B364"/>
    <mergeCell ref="P84:V84"/>
    <mergeCell ref="D363:D364"/>
    <mergeCell ref="D43:E43"/>
    <mergeCell ref="P314:V314"/>
    <mergeCell ref="A272:Z272"/>
    <mergeCell ref="P216:T216"/>
    <mergeCell ref="D137:E137"/>
    <mergeCell ref="P124:V124"/>
    <mergeCell ref="P360:V360"/>
    <mergeCell ref="D74:E74"/>
    <mergeCell ref="P87:T87"/>
    <mergeCell ref="D68:E68"/>
    <mergeCell ref="P245:T245"/>
    <mergeCell ref="P224:T224"/>
    <mergeCell ref="P211:T211"/>
    <mergeCell ref="P260:T260"/>
    <mergeCell ref="D132:E132"/>
    <mergeCell ref="D178:E178"/>
    <mergeCell ref="D172:E172"/>
    <mergeCell ref="P88:T88"/>
    <mergeCell ref="P51:T51"/>
    <mergeCell ref="P153:T153"/>
    <mergeCell ref="W363:W364"/>
    <mergeCell ref="T5:U5"/>
    <mergeCell ref="P76:T76"/>
    <mergeCell ref="V5:W5"/>
    <mergeCell ref="D246:E246"/>
    <mergeCell ref="A48:Z48"/>
    <mergeCell ref="D40:E40"/>
    <mergeCell ref="A295:O296"/>
    <mergeCell ref="D338:E338"/>
    <mergeCell ref="D233:E233"/>
    <mergeCell ref="P212:V212"/>
    <mergeCell ref="D111:E111"/>
    <mergeCell ref="A28:O29"/>
    <mergeCell ref="Q8:R8"/>
    <mergeCell ref="P311:T311"/>
    <mergeCell ref="D219:E219"/>
    <mergeCell ref="D104:E104"/>
    <mergeCell ref="P254:V254"/>
    <mergeCell ref="A79:Z79"/>
    <mergeCell ref="P83:V83"/>
    <mergeCell ref="T6:U9"/>
    <mergeCell ref="P319:V319"/>
    <mergeCell ref="Q10:R10"/>
    <mergeCell ref="D41:E41"/>
    <mergeCell ref="P318:V318"/>
    <mergeCell ref="A12:M12"/>
    <mergeCell ref="A324:Z324"/>
    <mergeCell ref="P355:V355"/>
    <mergeCell ref="A109:Z109"/>
    <mergeCell ref="A355:O360"/>
    <mergeCell ref="D343:E343"/>
    <mergeCell ref="P74:T74"/>
    <mergeCell ref="P243:V243"/>
    <mergeCell ref="A190:Z190"/>
    <mergeCell ref="A19:Z19"/>
    <mergeCell ref="A14:M14"/>
    <mergeCell ref="D345:E345"/>
    <mergeCell ref="P138:T138"/>
    <mergeCell ref="P25:V25"/>
    <mergeCell ref="A270:O271"/>
    <mergeCell ref="A350:Z350"/>
    <mergeCell ref="P313:V313"/>
    <mergeCell ref="P58:V58"/>
    <mergeCell ref="A13:M13"/>
    <mergeCell ref="A325:Z325"/>
    <mergeCell ref="A196:Z196"/>
    <mergeCell ref="P115:T115"/>
    <mergeCell ref="A256:Z256"/>
    <mergeCell ref="D61:E61"/>
    <mergeCell ref="P15:T16"/>
    <mergeCell ref="D116:E116"/>
    <mergeCell ref="D352:E352"/>
    <mergeCell ref="A275:O276"/>
    <mergeCell ref="P219:T219"/>
    <mergeCell ref="A164:Z164"/>
    <mergeCell ref="P23:T23"/>
    <mergeCell ref="A69:O70"/>
    <mergeCell ref="D327:E327"/>
    <mergeCell ref="P210:T210"/>
    <mergeCell ref="D156:E156"/>
    <mergeCell ref="A146:O147"/>
    <mergeCell ref="P283:T283"/>
    <mergeCell ref="D264:E264"/>
    <mergeCell ref="D220:E220"/>
    <mergeCell ref="P199:V199"/>
    <mergeCell ref="A195:Z195"/>
    <mergeCell ref="A251:Z251"/>
    <mergeCell ref="A198:O199"/>
    <mergeCell ref="P122:T122"/>
    <mergeCell ref="P291:V291"/>
    <mergeCell ref="P43:T43"/>
    <mergeCell ref="D328:E328"/>
    <mergeCell ref="P285:T285"/>
    <mergeCell ref="A5:C5"/>
    <mergeCell ref="A237:Z237"/>
    <mergeCell ref="P64:V64"/>
    <mergeCell ref="P135:V135"/>
    <mergeCell ref="D179:E179"/>
    <mergeCell ref="P349:V349"/>
    <mergeCell ref="A108:Z108"/>
    <mergeCell ref="D337:E337"/>
    <mergeCell ref="D166:E166"/>
    <mergeCell ref="P128:V128"/>
    <mergeCell ref="A17:A18"/>
    <mergeCell ref="K17:K18"/>
    <mergeCell ref="C17:C18"/>
    <mergeCell ref="D103:E103"/>
    <mergeCell ref="D168:E168"/>
    <mergeCell ref="P66:T66"/>
    <mergeCell ref="D180:E180"/>
    <mergeCell ref="P137:T137"/>
    <mergeCell ref="P197:T197"/>
    <mergeCell ref="D9:E9"/>
    <mergeCell ref="F9:G9"/>
    <mergeCell ref="A254:O255"/>
    <mergeCell ref="D167:E167"/>
    <mergeCell ref="A248:O249"/>
    <mergeCell ref="A6:C6"/>
    <mergeCell ref="A322:O323"/>
    <mergeCell ref="D113:E113"/>
    <mergeCell ref="P180:T180"/>
    <mergeCell ref="A96:Z96"/>
    <mergeCell ref="P167:T167"/>
    <mergeCell ref="P142:T142"/>
    <mergeCell ref="D88:E88"/>
    <mergeCell ref="P117:T117"/>
    <mergeCell ref="D311:E311"/>
    <mergeCell ref="D115:E115"/>
    <mergeCell ref="P55:T55"/>
    <mergeCell ref="A203:O204"/>
    <mergeCell ref="Q12:R12"/>
    <mergeCell ref="D261:E261"/>
    <mergeCell ref="P169:T169"/>
    <mergeCell ref="P246:T246"/>
    <mergeCell ref="P183:V183"/>
    <mergeCell ref="P198:V198"/>
    <mergeCell ref="A250:Z250"/>
    <mergeCell ref="P289:T289"/>
    <mergeCell ref="D232:E232"/>
    <mergeCell ref="P264:T264"/>
    <mergeCell ref="P239:T239"/>
    <mergeCell ref="Q9:R9"/>
    <mergeCell ref="P312:T312"/>
    <mergeCell ref="P36:V36"/>
    <mergeCell ref="A32:Z32"/>
    <mergeCell ref="A303:Z303"/>
    <mergeCell ref="C362:G362"/>
    <mergeCell ref="A159:Z159"/>
    <mergeCell ref="P363:P364"/>
    <mergeCell ref="Q11:R11"/>
    <mergeCell ref="D260:E260"/>
    <mergeCell ref="P354:V354"/>
    <mergeCell ref="P351:T351"/>
    <mergeCell ref="C363:C364"/>
    <mergeCell ref="P68:T68"/>
    <mergeCell ref="D169:E169"/>
    <mergeCell ref="P204:V204"/>
    <mergeCell ref="P132:T132"/>
    <mergeCell ref="P146:V146"/>
    <mergeCell ref="D330:E330"/>
    <mergeCell ref="A31:Z31"/>
    <mergeCell ref="P305:T305"/>
    <mergeCell ref="V363:V364"/>
    <mergeCell ref="D27:E27"/>
    <mergeCell ref="P208:T208"/>
    <mergeCell ref="S362:T362"/>
    <mergeCell ref="D160:E160"/>
    <mergeCell ref="P139:V139"/>
    <mergeCell ref="I17:I18"/>
    <mergeCell ref="D306:E306"/>
    <mergeCell ref="P352:T352"/>
    <mergeCell ref="P203:V203"/>
    <mergeCell ref="A326:Z326"/>
    <mergeCell ref="P295:V295"/>
    <mergeCell ref="A120:Z120"/>
    <mergeCell ref="A301:Z301"/>
    <mergeCell ref="P276:V276"/>
    <mergeCell ref="P270:V270"/>
    <mergeCell ref="A95:Z95"/>
    <mergeCell ref="A126:Z126"/>
    <mergeCell ref="P238:T238"/>
    <mergeCell ref="D347:E347"/>
    <mergeCell ref="P232:T232"/>
    <mergeCell ref="P330:T330"/>
    <mergeCell ref="P278:T278"/>
    <mergeCell ref="D150:E150"/>
    <mergeCell ref="P129:V129"/>
    <mergeCell ref="A128:O129"/>
    <mergeCell ref="D215:E215"/>
    <mergeCell ref="D1:F1"/>
    <mergeCell ref="A71:Z71"/>
    <mergeCell ref="P46:V46"/>
    <mergeCell ref="J17:J18"/>
    <mergeCell ref="D82:E82"/>
    <mergeCell ref="L17:L18"/>
    <mergeCell ref="P359:V359"/>
    <mergeCell ref="D240:E240"/>
    <mergeCell ref="A184:Z184"/>
    <mergeCell ref="A244:Z244"/>
    <mergeCell ref="A336:Z336"/>
    <mergeCell ref="P125:V125"/>
    <mergeCell ref="P192:T192"/>
    <mergeCell ref="P348:V348"/>
    <mergeCell ref="P284:T284"/>
    <mergeCell ref="P113:T113"/>
    <mergeCell ref="P17:T18"/>
    <mergeCell ref="P323:V323"/>
    <mergeCell ref="A148:Z148"/>
    <mergeCell ref="P50:T50"/>
    <mergeCell ref="D329:E329"/>
    <mergeCell ref="P187:T187"/>
    <mergeCell ref="A353:O354"/>
    <mergeCell ref="A182:O183"/>
    <mergeCell ref="P166:T166"/>
    <mergeCell ref="D274:E274"/>
    <mergeCell ref="D245:E245"/>
    <mergeCell ref="D87:E87"/>
    <mergeCell ref="P116:T116"/>
    <mergeCell ref="D122:E122"/>
    <mergeCell ref="D224:E224"/>
    <mergeCell ref="P103:T103"/>
    <mergeCell ref="A26:Z26"/>
    <mergeCell ref="P268:T268"/>
    <mergeCell ref="P97:T97"/>
    <mergeCell ref="D211:E211"/>
    <mergeCell ref="P168:T168"/>
    <mergeCell ref="P63:V63"/>
    <mergeCell ref="P194:V194"/>
    <mergeCell ref="H1:Q1"/>
    <mergeCell ref="P280:V280"/>
    <mergeCell ref="A292:Z292"/>
    <mergeCell ref="D284:E284"/>
    <mergeCell ref="P222:V222"/>
    <mergeCell ref="P193:V193"/>
    <mergeCell ref="D259:E259"/>
    <mergeCell ref="A163:Z163"/>
    <mergeCell ref="A101:Z101"/>
    <mergeCell ref="D117:E117"/>
    <mergeCell ref="P171:T171"/>
    <mergeCell ref="D92:E92"/>
    <mergeCell ref="D55:E55"/>
    <mergeCell ref="D67:E67"/>
    <mergeCell ref="D5:E5"/>
    <mergeCell ref="P42:T42"/>
    <mergeCell ref="P259:T259"/>
    <mergeCell ref="P240:T240"/>
    <mergeCell ref="P162:V162"/>
    <mergeCell ref="P106:V106"/>
    <mergeCell ref="P93:V93"/>
    <mergeCell ref="A281:Z281"/>
    <mergeCell ref="P273:T273"/>
    <mergeCell ref="D145:E145"/>
    <mergeCell ref="D7:M7"/>
    <mergeCell ref="P92:T92"/>
    <mergeCell ref="D144:E144"/>
    <mergeCell ref="F363:F364"/>
    <mergeCell ref="H363:H364"/>
    <mergeCell ref="A290:O291"/>
    <mergeCell ref="D81:E81"/>
    <mergeCell ref="D208:E208"/>
    <mergeCell ref="D8:M8"/>
    <mergeCell ref="P44:T44"/>
    <mergeCell ref="P279:V279"/>
    <mergeCell ref="A161:O162"/>
    <mergeCell ref="P329:T329"/>
    <mergeCell ref="P118:V118"/>
    <mergeCell ref="P331:T331"/>
    <mergeCell ref="A212:O213"/>
    <mergeCell ref="P182:V182"/>
    <mergeCell ref="P340:V340"/>
    <mergeCell ref="O363:O364"/>
    <mergeCell ref="Q363:Q364"/>
    <mergeCell ref="P335:V335"/>
    <mergeCell ref="D210:E210"/>
    <mergeCell ref="A316:Z316"/>
    <mergeCell ref="P337:T337"/>
    <mergeCell ref="R1:T1"/>
    <mergeCell ref="P150:T150"/>
    <mergeCell ref="D332:E332"/>
    <mergeCell ref="D307:E307"/>
    <mergeCell ref="P215:T215"/>
    <mergeCell ref="A139:O140"/>
    <mergeCell ref="P165:T165"/>
    <mergeCell ref="A46:O47"/>
    <mergeCell ref="P229:V229"/>
    <mergeCell ref="A89:O90"/>
    <mergeCell ref="D98:E98"/>
    <mergeCell ref="P152:T152"/>
    <mergeCell ref="P77:V77"/>
    <mergeCell ref="D73:E73"/>
    <mergeCell ref="A200:Z200"/>
    <mergeCell ref="A258:Z258"/>
    <mergeCell ref="P37:V37"/>
    <mergeCell ref="P230:V230"/>
    <mergeCell ref="A63:O64"/>
    <mergeCell ref="P104:T104"/>
    <mergeCell ref="B17:B18"/>
    <mergeCell ref="A77:O78"/>
    <mergeCell ref="P248:V248"/>
    <mergeCell ref="P235:V235"/>
    <mergeCell ref="E363:E364"/>
    <mergeCell ref="G363:G364"/>
    <mergeCell ref="P155:T155"/>
    <mergeCell ref="A205:Z205"/>
    <mergeCell ref="P220:T220"/>
    <mergeCell ref="D312:E312"/>
    <mergeCell ref="A65:Z65"/>
    <mergeCell ref="D263:E263"/>
    <mergeCell ref="D238:E238"/>
    <mergeCell ref="P86:T86"/>
    <mergeCell ref="P328:T328"/>
    <mergeCell ref="P172:T172"/>
    <mergeCell ref="H362:R362"/>
    <mergeCell ref="P252:T252"/>
    <mergeCell ref="P81:T81"/>
    <mergeCell ref="P299:V299"/>
    <mergeCell ref="A173:O174"/>
    <mergeCell ref="A229:O230"/>
    <mergeCell ref="P170:T170"/>
    <mergeCell ref="P145:T145"/>
    <mergeCell ref="D66:E66"/>
    <mergeCell ref="D197:E197"/>
    <mergeCell ref="D253:E253"/>
    <mergeCell ref="D351:E351"/>
    <mergeCell ref="P73:T73"/>
    <mergeCell ref="D187:E187"/>
    <mergeCell ref="P144:T144"/>
    <mergeCell ref="D45:E45"/>
    <mergeCell ref="H9:I9"/>
    <mergeCell ref="P24:V24"/>
    <mergeCell ref="P322:V322"/>
    <mergeCell ref="P89:V89"/>
    <mergeCell ref="P309:V309"/>
    <mergeCell ref="A60:Z60"/>
    <mergeCell ref="P56:T56"/>
    <mergeCell ref="V10:W10"/>
    <mergeCell ref="D289:E289"/>
    <mergeCell ref="P160:T160"/>
    <mergeCell ref="P209:T209"/>
    <mergeCell ref="A193:O194"/>
    <mergeCell ref="W17:W18"/>
    <mergeCell ref="P90:V90"/>
    <mergeCell ref="P161:V161"/>
    <mergeCell ref="P234:T234"/>
    <mergeCell ref="D142:E142"/>
    <mergeCell ref="D209:E209"/>
    <mergeCell ref="A282:Z282"/>
    <mergeCell ref="P188:V1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549</v>
      </c>
      <c r="H1" s="53"/>
    </row>
    <row r="3" spans="2:8" x14ac:dyDescent="0.2">
      <c r="B3" s="48" t="s">
        <v>550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551</v>
      </c>
      <c r="D6" s="48" t="s">
        <v>552</v>
      </c>
      <c r="E6" s="48"/>
    </row>
    <row r="8" spans="2:8" x14ac:dyDescent="0.2">
      <c r="B8" s="48" t="s">
        <v>19</v>
      </c>
      <c r="C8" s="48" t="s">
        <v>551</v>
      </c>
      <c r="D8" s="48"/>
      <c r="E8" s="48"/>
    </row>
    <row r="10" spans="2:8" x14ac:dyDescent="0.2">
      <c r="B10" s="48" t="s">
        <v>553</v>
      </c>
      <c r="C10" s="48"/>
      <c r="D10" s="48"/>
      <c r="E10" s="48"/>
    </row>
    <row r="11" spans="2:8" x14ac:dyDescent="0.2">
      <c r="B11" s="48" t="s">
        <v>554</v>
      </c>
      <c r="C11" s="48"/>
      <c r="D11" s="48"/>
      <c r="E11" s="48"/>
    </row>
    <row r="12" spans="2:8" x14ac:dyDescent="0.2">
      <c r="B12" s="48" t="s">
        <v>555</v>
      </c>
      <c r="C12" s="48"/>
      <c r="D12" s="48"/>
      <c r="E12" s="48"/>
    </row>
    <row r="13" spans="2:8" x14ac:dyDescent="0.2">
      <c r="B13" s="48" t="s">
        <v>556</v>
      </c>
      <c r="C13" s="48"/>
      <c r="D13" s="48"/>
      <c r="E13" s="48"/>
    </row>
    <row r="14" spans="2:8" x14ac:dyDescent="0.2">
      <c r="B14" s="48" t="s">
        <v>557</v>
      </c>
      <c r="C14" s="48"/>
      <c r="D14" s="48"/>
      <c r="E14" s="48"/>
    </row>
    <row r="15" spans="2:8" x14ac:dyDescent="0.2">
      <c r="B15" s="48" t="s">
        <v>558</v>
      </c>
      <c r="C15" s="48"/>
      <c r="D15" s="48"/>
      <c r="E15" s="48"/>
    </row>
    <row r="16" spans="2:8" x14ac:dyDescent="0.2">
      <c r="B16" s="48" t="s">
        <v>559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560</v>
      </c>
      <c r="C18" s="48"/>
      <c r="D18" s="48"/>
      <c r="E18" s="48"/>
    </row>
    <row r="19" spans="2:5" x14ac:dyDescent="0.2">
      <c r="B19" s="48" t="s">
        <v>561</v>
      </c>
      <c r="C19" s="48"/>
      <c r="D19" s="48"/>
      <c r="E19" s="48"/>
    </row>
    <row r="20" spans="2:5" x14ac:dyDescent="0.2">
      <c r="B20" s="48" t="s">
        <v>562</v>
      </c>
      <c r="C20" s="48"/>
      <c r="D20" s="48"/>
      <c r="E20" s="48"/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665</vt:i4>
      </vt:variant>
    </vt:vector>
  </HeadingPairs>
  <TitlesOfParts>
    <vt:vector size="6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2025-09-26T10:29:13Z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