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ADAFD2C-643C-47CF-8D3A-E7DA15C417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37" i="1" l="1"/>
  <c r="Z356" i="1"/>
  <c r="Z126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Z231" i="1"/>
  <c r="BP225" i="1"/>
  <c r="BN225" i="1"/>
  <c r="Z225" i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8" i="1" s="1"/>
  <c r="Z41" i="1"/>
  <c r="BN41" i="1"/>
  <c r="Y507" i="1" s="1"/>
  <c r="Y509" i="1" s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Z447" i="1" s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01" i="1" l="1"/>
  <c r="Z305" i="1"/>
  <c r="Z92" i="1"/>
  <c r="Z373" i="1"/>
  <c r="Z319" i="1"/>
  <c r="Z313" i="1"/>
  <c r="Z215" i="1"/>
  <c r="Z469" i="1"/>
  <c r="Z453" i="1"/>
  <c r="Z418" i="1"/>
  <c r="Z121" i="1"/>
  <c r="Z108" i="1"/>
  <c r="Z80" i="1"/>
  <c r="Z65" i="1"/>
  <c r="Z511" i="1" s="1"/>
  <c r="Z44" i="1"/>
  <c r="Y506" i="1"/>
  <c r="Z114" i="1"/>
  <c r="Z71" i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<sst xmlns="http://schemas.openxmlformats.org/spreadsheetml/2006/main" count="2251" uniqueCount="809">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</sst>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7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47"/>
      <c r="F1" s="647"/>
      <c r="G1" s="12" t="s">
        <v>1</v>
      </c>
      <c r="H1" s="823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873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9" t="s">
        <v>8</v>
      </c>
      <c r="B5" s="656"/>
      <c r="C5" s="620"/>
      <c r="D5" s="678"/>
      <c r="E5" s="680"/>
      <c r="F5" s="619" t="s">
        <v>9</v>
      </c>
      <c r="G5" s="620"/>
      <c r="H5" s="678"/>
      <c r="I5" s="679"/>
      <c r="J5" s="679"/>
      <c r="K5" s="679"/>
      <c r="L5" s="679"/>
      <c r="M5" s="680"/>
      <c r="N5" s="58"/>
      <c r="P5" s="24" t="s">
        <v>10</v>
      </c>
      <c r="Q5" s="643">
        <v>45872</v>
      </c>
      <c r="R5" s="644"/>
      <c r="T5" s="760" t="s">
        <v>11</v>
      </c>
      <c r="U5" s="577"/>
      <c r="V5" s="762" t="s">
        <v>12</v>
      </c>
      <c r="W5" s="644"/>
      <c r="AB5" s="51"/>
      <c r="AC5" s="51"/>
      <c r="AD5" s="51"/>
      <c r="AE5" s="51"/>
    </row>
    <row r="6" spans="1:32" s="553" customFormat="1" ht="24" customHeight="1" x14ac:dyDescent="0.2">
      <c r="A6" s="789" t="s">
        <v>13</v>
      </c>
      <c r="B6" s="656"/>
      <c r="C6" s="620"/>
      <c r="D6" s="686" t="s">
        <v>14</v>
      </c>
      <c r="E6" s="687"/>
      <c r="F6" s="687"/>
      <c r="G6" s="687"/>
      <c r="H6" s="687"/>
      <c r="I6" s="687"/>
      <c r="J6" s="687"/>
      <c r="K6" s="687"/>
      <c r="L6" s="687"/>
      <c r="M6" s="644"/>
      <c r="N6" s="59"/>
      <c r="P6" s="24" t="s">
        <v>15</v>
      </c>
      <c r="Q6" s="591" t="str">
        <f>IF(Q5=0," ",CHOOSE(WEEKDAY(Q5,2),"Понедельник","Вторник","Среда","Четверг","Пятница","Суббота","Воскресенье"))</f>
        <v>Воскресенье</v>
      </c>
      <c r="R6" s="579"/>
      <c r="T6" s="741" t="s">
        <v>16</v>
      </c>
      <c r="U6" s="577"/>
      <c r="V6" s="694" t="s">
        <v>17</v>
      </c>
      <c r="W6" s="695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748"/>
      <c r="N7" s="60"/>
      <c r="P7" s="24"/>
      <c r="Q7" s="42"/>
      <c r="R7" s="42"/>
      <c r="T7" s="576"/>
      <c r="U7" s="577"/>
      <c r="V7" s="696"/>
      <c r="W7" s="697"/>
      <c r="AB7" s="51"/>
      <c r="AC7" s="51"/>
      <c r="AD7" s="51"/>
      <c r="AE7" s="51"/>
    </row>
    <row r="8" spans="1:32" s="553" customFormat="1" ht="25.5" customHeight="1" x14ac:dyDescent="0.2">
      <c r="A8" s="581" t="s">
        <v>18</v>
      </c>
      <c r="B8" s="571"/>
      <c r="C8" s="572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747">
        <v>0.375</v>
      </c>
      <c r="R8" s="748"/>
      <c r="T8" s="576"/>
      <c r="U8" s="577"/>
      <c r="V8" s="696"/>
      <c r="W8" s="697"/>
      <c r="AB8" s="51"/>
      <c r="AC8" s="51"/>
      <c r="AD8" s="51"/>
      <c r="AE8" s="51"/>
    </row>
    <row r="9" spans="1:32" s="553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32"/>
      <c r="E9" s="633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51"/>
      <c r="P9" s="26" t="s">
        <v>21</v>
      </c>
      <c r="Q9" s="804"/>
      <c r="R9" s="624"/>
      <c r="T9" s="576"/>
      <c r="U9" s="577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32"/>
      <c r="E10" s="633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7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42"/>
      <c r="R10" s="743"/>
      <c r="U10" s="24" t="s">
        <v>23</v>
      </c>
      <c r="V10" s="861" t="s">
        <v>24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8"/>
      <c r="R11" s="644"/>
      <c r="U11" s="24" t="s">
        <v>27</v>
      </c>
      <c r="V11" s="623" t="s">
        <v>28</v>
      </c>
      <c r="W11" s="62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29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20"/>
      <c r="N12" s="62"/>
      <c r="P12" s="24" t="s">
        <v>30</v>
      </c>
      <c r="Q12" s="747"/>
      <c r="R12" s="748"/>
      <c r="S12" s="23"/>
      <c r="U12" s="24"/>
      <c r="V12" s="647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31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20"/>
      <c r="N13" s="62"/>
      <c r="O13" s="26"/>
      <c r="P13" s="26" t="s">
        <v>32</v>
      </c>
      <c r="Q13" s="623"/>
      <c r="R13" s="6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34</v>
      </c>
      <c r="B15" s="656"/>
      <c r="C15" s="656"/>
      <c r="D15" s="656"/>
      <c r="E15" s="656"/>
      <c r="F15" s="656"/>
      <c r="G15" s="656"/>
      <c r="H15" s="656"/>
      <c r="I15" s="656"/>
      <c r="J15" s="656"/>
      <c r="K15" s="656"/>
      <c r="L15" s="656"/>
      <c r="M15" s="620"/>
      <c r="N15" s="63"/>
      <c r="P15" s="812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3"/>
      <c r="Q16" s="813"/>
      <c r="R16" s="813"/>
      <c r="S16" s="813"/>
      <c r="T16" s="8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36</v>
      </c>
      <c r="B17" s="563" t="s">
        <v>37</v>
      </c>
      <c r="C17" s="793" t="s">
        <v>38</v>
      </c>
      <c r="D17" s="563" t="s">
        <v>39</v>
      </c>
      <c r="E17" s="820"/>
      <c r="F17" s="563" t="s">
        <v>40</v>
      </c>
      <c r="G17" s="563" t="s">
        <v>41</v>
      </c>
      <c r="H17" s="563" t="s">
        <v>42</v>
      </c>
      <c r="I17" s="563" t="s">
        <v>43</v>
      </c>
      <c r="J17" s="563" t="s">
        <v>44</v>
      </c>
      <c r="K17" s="563" t="s">
        <v>45</v>
      </c>
      <c r="L17" s="563" t="s">
        <v>46</v>
      </c>
      <c r="M17" s="563" t="s">
        <v>47</v>
      </c>
      <c r="N17" s="563" t="s">
        <v>48</v>
      </c>
      <c r="O17" s="563" t="s">
        <v>49</v>
      </c>
      <c r="P17" s="563" t="s">
        <v>50</v>
      </c>
      <c r="Q17" s="827"/>
      <c r="R17" s="827"/>
      <c r="S17" s="827"/>
      <c r="T17" s="820"/>
      <c r="U17" s="819" t="s">
        <v>51</v>
      </c>
      <c r="V17" s="620"/>
      <c r="W17" s="563" t="s">
        <v>52</v>
      </c>
      <c r="X17" s="563" t="s">
        <v>53</v>
      </c>
      <c r="Y17" s="573" t="s">
        <v>54</v>
      </c>
      <c r="Z17" s="703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64"/>
      <c r="B18" s="564"/>
      <c r="C18" s="564"/>
      <c r="D18" s="821"/>
      <c r="E18" s="822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21"/>
      <c r="Q18" s="828"/>
      <c r="R18" s="828"/>
      <c r="S18" s="828"/>
      <c r="T18" s="822"/>
      <c r="U18" s="67" t="s">
        <v>61</v>
      </c>
      <c r="V18" s="67" t="s">
        <v>62</v>
      </c>
      <c r="W18" s="564"/>
      <c r="X18" s="564"/>
      <c r="Y18" s="574"/>
      <c r="Z18" s="704"/>
      <c r="AA18" s="706"/>
      <c r="AB18" s="706"/>
      <c r="AC18" s="706"/>
      <c r="AD18" s="613"/>
      <c r="AE18" s="614"/>
      <c r="AF18" s="615"/>
      <c r="AG18" s="66"/>
      <c r="BD18" s="65"/>
    </row>
    <row r="19" spans="1:68" ht="27.75" customHeight="1" x14ac:dyDescent="0.2">
      <c r="A19" s="617" t="s">
        <v>63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customHeight="1" x14ac:dyDescent="0.25">
      <c r="A20" s="585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86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2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4"/>
      <c r="P23" s="570" t="s">
        <v>72</v>
      </c>
      <c r="Q23" s="571"/>
      <c r="R23" s="571"/>
      <c r="S23" s="571"/>
      <c r="T23" s="571"/>
      <c r="U23" s="571"/>
      <c r="V23" s="572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4"/>
      <c r="P24" s="570" t="s">
        <v>72</v>
      </c>
      <c r="Q24" s="571"/>
      <c r="R24" s="571"/>
      <c r="S24" s="571"/>
      <c r="T24" s="571"/>
      <c r="U24" s="571"/>
      <c r="V24" s="572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6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4"/>
      <c r="P32" s="570" t="s">
        <v>72</v>
      </c>
      <c r="Q32" s="571"/>
      <c r="R32" s="571"/>
      <c r="S32" s="571"/>
      <c r="T32" s="571"/>
      <c r="U32" s="571"/>
      <c r="V32" s="572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4"/>
      <c r="P33" s="570" t="s">
        <v>72</v>
      </c>
      <c r="Q33" s="571"/>
      <c r="R33" s="571"/>
      <c r="S33" s="571"/>
      <c r="T33" s="571"/>
      <c r="U33" s="571"/>
      <c r="V33" s="572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6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4"/>
      <c r="P36" s="570" t="s">
        <v>72</v>
      </c>
      <c r="Q36" s="571"/>
      <c r="R36" s="571"/>
      <c r="S36" s="571"/>
      <c r="T36" s="571"/>
      <c r="U36" s="571"/>
      <c r="V36" s="572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4"/>
      <c r="P37" s="570" t="s">
        <v>72</v>
      </c>
      <c r="Q37" s="571"/>
      <c r="R37" s="571"/>
      <c r="S37" s="571"/>
      <c r="T37" s="571"/>
      <c r="U37" s="571"/>
      <c r="V37" s="572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17" t="s">
        <v>101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customHeight="1" x14ac:dyDescent="0.25">
      <c r="A39" s="585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86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320</v>
      </c>
      <c r="Y42" s="560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4"/>
      <c r="P44" s="570" t="s">
        <v>72</v>
      </c>
      <c r="Q44" s="571"/>
      <c r="R44" s="571"/>
      <c r="S44" s="571"/>
      <c r="T44" s="571"/>
      <c r="U44" s="571"/>
      <c r="V44" s="572"/>
      <c r="W44" s="37" t="s">
        <v>73</v>
      </c>
      <c r="X44" s="561">
        <f>IFERROR(X41/H41,"0")+IFERROR(X42/H42,"0")+IFERROR(X43/H43,"0")</f>
        <v>89.259259259259267</v>
      </c>
      <c r="Y44" s="561">
        <f>IFERROR(Y41/H41,"0")+IFERROR(Y42/H42,"0")+IFERROR(Y43/H43,"0")</f>
        <v>90</v>
      </c>
      <c r="Z44" s="561">
        <f>IFERROR(IF(Z41="",0,Z41),"0")+IFERROR(IF(Z42="",0,Z42),"0")+IFERROR(IF(Z43="",0,Z43),"0")</f>
        <v>0.91139999999999999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4"/>
      <c r="P45" s="570" t="s">
        <v>72</v>
      </c>
      <c r="Q45" s="571"/>
      <c r="R45" s="571"/>
      <c r="S45" s="571"/>
      <c r="T45" s="571"/>
      <c r="U45" s="571"/>
      <c r="V45" s="572"/>
      <c r="W45" s="37" t="s">
        <v>70</v>
      </c>
      <c r="X45" s="561">
        <f>IFERROR(SUM(X41:X43),"0")</f>
        <v>420</v>
      </c>
      <c r="Y45" s="561">
        <f>IFERROR(SUM(Y41:Y43),"0")</f>
        <v>428</v>
      </c>
      <c r="Z45" s="37"/>
      <c r="AA45" s="562"/>
      <c r="AB45" s="562"/>
      <c r="AC45" s="562"/>
    </row>
    <row r="46" spans="1:68" ht="14.25" customHeight="1" x14ac:dyDescent="0.25">
      <c r="A46" s="586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4"/>
      <c r="P48" s="570" t="s">
        <v>72</v>
      </c>
      <c r="Q48" s="571"/>
      <c r="R48" s="571"/>
      <c r="S48" s="571"/>
      <c r="T48" s="571"/>
      <c r="U48" s="571"/>
      <c r="V48" s="572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4"/>
      <c r="P49" s="570" t="s">
        <v>72</v>
      </c>
      <c r="Q49" s="571"/>
      <c r="R49" s="571"/>
      <c r="S49" s="571"/>
      <c r="T49" s="571"/>
      <c r="U49" s="571"/>
      <c r="V49" s="572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5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86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495</v>
      </c>
      <c r="Y57" s="560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83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4"/>
      <c r="P58" s="570" t="s">
        <v>72</v>
      </c>
      <c r="Q58" s="571"/>
      <c r="R58" s="571"/>
      <c r="S58" s="571"/>
      <c r="T58" s="571"/>
      <c r="U58" s="571"/>
      <c r="V58" s="572"/>
      <c r="W58" s="37" t="s">
        <v>73</v>
      </c>
      <c r="X58" s="561">
        <f>IFERROR(X52/H52,"0")+IFERROR(X53/H53,"0")+IFERROR(X54/H54,"0")+IFERROR(X55/H55,"0")+IFERROR(X56/H56,"0")+IFERROR(X57/H57,"0")</f>
        <v>119.25925925925927</v>
      </c>
      <c r="Y58" s="561">
        <f>IFERROR(Y52/H52,"0")+IFERROR(Y53/H53,"0")+IFERROR(Y54/H54,"0")+IFERROR(Y55/H55,"0")+IFERROR(Y56/H56,"0")+IFERROR(Y57/H57,"0")</f>
        <v>120</v>
      </c>
      <c r="Z58" s="561">
        <f>IFERROR(IF(Z52="",0,Z52),"0")+IFERROR(IF(Z53="",0,Z53),"0")+IFERROR(IF(Z54="",0,Z54),"0")+IFERROR(IF(Z55="",0,Z55),"0")+IFERROR(IF(Z56="",0,Z56),"0")+IFERROR(IF(Z57="",0,Z57),"0")</f>
        <v>1.1819999999999999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4"/>
      <c r="P59" s="570" t="s">
        <v>72</v>
      </c>
      <c r="Q59" s="571"/>
      <c r="R59" s="571"/>
      <c r="S59" s="571"/>
      <c r="T59" s="571"/>
      <c r="U59" s="571"/>
      <c r="V59" s="572"/>
      <c r="W59" s="37" t="s">
        <v>70</v>
      </c>
      <c r="X59" s="561">
        <f>IFERROR(SUM(X52:X57),"0")</f>
        <v>595</v>
      </c>
      <c r="Y59" s="561">
        <f>IFERROR(SUM(Y52:Y57),"0")</f>
        <v>603</v>
      </c>
      <c r="Z59" s="37"/>
      <c r="AA59" s="562"/>
      <c r="AB59" s="562"/>
      <c r="AC59" s="562"/>
    </row>
    <row r="60" spans="1:68" ht="14.25" customHeight="1" x14ac:dyDescent="0.25">
      <c r="A60" s="586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6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135</v>
      </c>
      <c r="Y64" s="560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83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4"/>
      <c r="P65" s="570" t="s">
        <v>72</v>
      </c>
      <c r="Q65" s="571"/>
      <c r="R65" s="571"/>
      <c r="S65" s="571"/>
      <c r="T65" s="571"/>
      <c r="U65" s="571"/>
      <c r="V65" s="572"/>
      <c r="W65" s="37" t="s">
        <v>73</v>
      </c>
      <c r="X65" s="561">
        <f>IFERROR(X61/H61,"0")+IFERROR(X62/H62,"0")+IFERROR(X63/H63,"0")+IFERROR(X64/H64,"0")</f>
        <v>54.629629629629633</v>
      </c>
      <c r="Y65" s="561">
        <f>IFERROR(Y61/H61,"0")+IFERROR(Y62/H62,"0")+IFERROR(Y63/H63,"0")+IFERROR(Y64/H64,"0")</f>
        <v>55</v>
      </c>
      <c r="Z65" s="561">
        <f>IFERROR(IF(Z61="",0,Z61),"0")+IFERROR(IF(Z62="",0,Z62),"0")+IFERROR(IF(Z63="",0,Z63),"0")+IFERROR(IF(Z64="",0,Z64),"0")</f>
        <v>0.4204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4"/>
      <c r="P66" s="570" t="s">
        <v>72</v>
      </c>
      <c r="Q66" s="571"/>
      <c r="R66" s="571"/>
      <c r="S66" s="571"/>
      <c r="T66" s="571"/>
      <c r="U66" s="571"/>
      <c r="V66" s="572"/>
      <c r="W66" s="37" t="s">
        <v>70</v>
      </c>
      <c r="X66" s="561">
        <f>IFERROR(SUM(X61:X64),"0")</f>
        <v>185</v>
      </c>
      <c r="Y66" s="561">
        <f>IFERROR(SUM(Y61:Y64),"0")</f>
        <v>189</v>
      </c>
      <c r="Z66" s="37"/>
      <c r="AA66" s="562"/>
      <c r="AB66" s="562"/>
      <c r="AC66" s="562"/>
    </row>
    <row r="67" spans="1:68" ht="14.25" customHeight="1" x14ac:dyDescent="0.25">
      <c r="A67" s="586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4"/>
      <c r="P71" s="570" t="s">
        <v>72</v>
      </c>
      <c r="Q71" s="571"/>
      <c r="R71" s="571"/>
      <c r="S71" s="571"/>
      <c r="T71" s="571"/>
      <c r="U71" s="571"/>
      <c r="V71" s="572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4"/>
      <c r="P72" s="570" t="s">
        <v>72</v>
      </c>
      <c r="Q72" s="571"/>
      <c r="R72" s="571"/>
      <c r="S72" s="571"/>
      <c r="T72" s="571"/>
      <c r="U72" s="571"/>
      <c r="V72" s="572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6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10</v>
      </c>
      <c r="Y76" s="560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4"/>
      <c r="P80" s="570" t="s">
        <v>72</v>
      </c>
      <c r="Q80" s="571"/>
      <c r="R80" s="571"/>
      <c r="S80" s="571"/>
      <c r="T80" s="571"/>
      <c r="U80" s="571"/>
      <c r="V80" s="572"/>
      <c r="W80" s="37" t="s">
        <v>73</v>
      </c>
      <c r="X80" s="561">
        <f>IFERROR(X74/H74,"0")+IFERROR(X75/H75,"0")+IFERROR(X76/H76,"0")+IFERROR(X77/H77,"0")+IFERROR(X78/H78,"0")+IFERROR(X79/H79,"0")</f>
        <v>1.1904761904761905</v>
      </c>
      <c r="Y80" s="561">
        <f>IFERROR(Y74/H74,"0")+IFERROR(Y75/H75,"0")+IFERROR(Y76/H76,"0")+IFERROR(Y77/H77,"0")+IFERROR(Y78/H78,"0")+IFERROR(Y79/H79,"0")</f>
        <v>2</v>
      </c>
      <c r="Z80" s="561">
        <f>IFERROR(IF(Z74="",0,Z74),"0")+IFERROR(IF(Z75="",0,Z75),"0")+IFERROR(IF(Z76="",0,Z76),"0")+IFERROR(IF(Z77="",0,Z77),"0")+IFERROR(IF(Z78="",0,Z78),"0")+IFERROR(IF(Z79="",0,Z79),"0")</f>
        <v>3.7960000000000001E-2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4"/>
      <c r="P81" s="570" t="s">
        <v>72</v>
      </c>
      <c r="Q81" s="571"/>
      <c r="R81" s="571"/>
      <c r="S81" s="571"/>
      <c r="T81" s="571"/>
      <c r="U81" s="571"/>
      <c r="V81" s="572"/>
      <c r="W81" s="37" t="s">
        <v>70</v>
      </c>
      <c r="X81" s="561">
        <f>IFERROR(SUM(X74:X79),"0")</f>
        <v>10</v>
      </c>
      <c r="Y81" s="561">
        <f>IFERROR(SUM(Y74:Y79),"0")</f>
        <v>16.8</v>
      </c>
      <c r="Z81" s="37"/>
      <c r="AA81" s="562"/>
      <c r="AB81" s="562"/>
      <c r="AC81" s="562"/>
    </row>
    <row r="82" spans="1:68" ht="14.25" customHeight="1" x14ac:dyDescent="0.25">
      <c r="A82" s="586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4"/>
      <c r="P85" s="570" t="s">
        <v>72</v>
      </c>
      <c r="Q85" s="571"/>
      <c r="R85" s="571"/>
      <c r="S85" s="571"/>
      <c r="T85" s="571"/>
      <c r="U85" s="571"/>
      <c r="V85" s="572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4"/>
      <c r="P86" s="570" t="s">
        <v>72</v>
      </c>
      <c r="Q86" s="571"/>
      <c r="R86" s="571"/>
      <c r="S86" s="571"/>
      <c r="T86" s="571"/>
      <c r="U86" s="571"/>
      <c r="V86" s="572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customHeight="1" x14ac:dyDescent="0.25">
      <c r="A87" s="585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86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720</v>
      </c>
      <c r="Y91" s="560">
        <f>IFERROR(IF(X91="",0,CEILING((X91/$H91),1)*$H91),"")</f>
        <v>720</v>
      </c>
      <c r="Z91" s="36">
        <f>IFERROR(IF(Y91=0,"",ROUNDUP(Y91/H91,0)*0.00902),"")</f>
        <v>1.4432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753.59999999999991</v>
      </c>
      <c r="BN91" s="64">
        <f>IFERROR(Y91*I91/H91,"0")</f>
        <v>753.59999999999991</v>
      </c>
      <c r="BO91" s="64">
        <f>IFERROR(1/J91*(X91/H91),"0")</f>
        <v>1.2121212121212122</v>
      </c>
      <c r="BP91" s="64">
        <f>IFERROR(1/J91*(Y91/H91),"0")</f>
        <v>1.2121212121212122</v>
      </c>
    </row>
    <row r="92" spans="1:68" x14ac:dyDescent="0.2">
      <c r="A92" s="583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4"/>
      <c r="P92" s="570" t="s">
        <v>72</v>
      </c>
      <c r="Q92" s="571"/>
      <c r="R92" s="571"/>
      <c r="S92" s="571"/>
      <c r="T92" s="571"/>
      <c r="U92" s="571"/>
      <c r="V92" s="572"/>
      <c r="W92" s="37" t="s">
        <v>73</v>
      </c>
      <c r="X92" s="561">
        <f>IFERROR(X89/H89,"0")+IFERROR(X90/H90,"0")+IFERROR(X91/H91,"0")</f>
        <v>169.25925925925927</v>
      </c>
      <c r="Y92" s="561">
        <f>IFERROR(Y89/H89,"0")+IFERROR(Y90/H90,"0")+IFERROR(Y91/H91,"0")</f>
        <v>170</v>
      </c>
      <c r="Z92" s="561">
        <f>IFERROR(IF(Z89="",0,Z89),"0")+IFERROR(IF(Z90="",0,Z90),"0")+IFERROR(IF(Z91="",0,Z91),"0")</f>
        <v>1.633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4"/>
      <c r="P93" s="570" t="s">
        <v>72</v>
      </c>
      <c r="Q93" s="571"/>
      <c r="R93" s="571"/>
      <c r="S93" s="571"/>
      <c r="T93" s="571"/>
      <c r="U93" s="571"/>
      <c r="V93" s="572"/>
      <c r="W93" s="37" t="s">
        <v>70</v>
      </c>
      <c r="X93" s="561">
        <f>IFERROR(SUM(X89:X91),"0")</f>
        <v>820</v>
      </c>
      <c r="Y93" s="561">
        <f>IFERROR(SUM(Y89:Y91),"0")</f>
        <v>828</v>
      </c>
      <c r="Z93" s="37"/>
      <c r="AA93" s="562"/>
      <c r="AB93" s="562"/>
      <c r="AC93" s="562"/>
    </row>
    <row r="94" spans="1:68" ht="14.25" customHeight="1" x14ac:dyDescent="0.25">
      <c r="A94" s="586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9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250</v>
      </c>
      <c r="Y95" s="560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4"/>
      <c r="P100" s="570" t="s">
        <v>72</v>
      </c>
      <c r="Q100" s="571"/>
      <c r="R100" s="571"/>
      <c r="S100" s="571"/>
      <c r="T100" s="571"/>
      <c r="U100" s="571"/>
      <c r="V100" s="572"/>
      <c r="W100" s="37" t="s">
        <v>73</v>
      </c>
      <c r="X100" s="561">
        <f>IFERROR(X95/H95,"0")+IFERROR(X96/H96,"0")+IFERROR(X97/H97,"0")+IFERROR(X98/H98,"0")+IFERROR(X99/H99,"0")</f>
        <v>197.53086419753086</v>
      </c>
      <c r="Y100" s="561">
        <f>IFERROR(Y95/H95,"0")+IFERROR(Y96/H96,"0")+IFERROR(Y97/H97,"0")+IFERROR(Y98/H98,"0")+IFERROR(Y99/H99,"0")</f>
        <v>198</v>
      </c>
      <c r="Z100" s="561">
        <f>IFERROR(IF(Z95="",0,Z95),"0")+IFERROR(IF(Z96="",0,Z96),"0")+IFERROR(IF(Z97="",0,Z97),"0")+IFERROR(IF(Z98="",0,Z98),"0")+IFERROR(IF(Z99="",0,Z99),"0")</f>
        <v>1.6755499999999999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4"/>
      <c r="P101" s="570" t="s">
        <v>72</v>
      </c>
      <c r="Q101" s="571"/>
      <c r="R101" s="571"/>
      <c r="S101" s="571"/>
      <c r="T101" s="571"/>
      <c r="U101" s="571"/>
      <c r="V101" s="572"/>
      <c r="W101" s="37" t="s">
        <v>70</v>
      </c>
      <c r="X101" s="561">
        <f>IFERROR(SUM(X95:X99),"0")</f>
        <v>700</v>
      </c>
      <c r="Y101" s="561">
        <f>IFERROR(SUM(Y95:Y99),"0")</f>
        <v>702</v>
      </c>
      <c r="Z101" s="37"/>
      <c r="AA101" s="562"/>
      <c r="AB101" s="562"/>
      <c r="AC101" s="562"/>
    </row>
    <row r="102" spans="1:68" ht="16.5" customHeight="1" x14ac:dyDescent="0.25">
      <c r="A102" s="585" t="s">
        <v>201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86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180</v>
      </c>
      <c r="Y104" s="560">
        <f>IFERROR(IF(X104="",0,CEILING((X104/$H104),1)*$H104),"")</f>
        <v>183.60000000000002</v>
      </c>
      <c r="Z104" s="36">
        <f>IFERROR(IF(Y104=0,"",ROUNDUP(Y104/H104,0)*0.01898),"")</f>
        <v>0.32266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187.24999999999997</v>
      </c>
      <c r="BN104" s="64">
        <f>IFERROR(Y104*I104/H104,"0")</f>
        <v>190.995</v>
      </c>
      <c r="BO104" s="64">
        <f>IFERROR(1/J104*(X104/H104),"0")</f>
        <v>0.26041666666666663</v>
      </c>
      <c r="BP104" s="64">
        <f>IFERROR(1/J104*(Y104/H104),"0")</f>
        <v>0.265625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6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4"/>
      <c r="P108" s="570" t="s">
        <v>72</v>
      </c>
      <c r="Q108" s="571"/>
      <c r="R108" s="571"/>
      <c r="S108" s="571"/>
      <c r="T108" s="571"/>
      <c r="U108" s="571"/>
      <c r="V108" s="572"/>
      <c r="W108" s="37" t="s">
        <v>73</v>
      </c>
      <c r="X108" s="561">
        <f>IFERROR(X104/H104,"0")+IFERROR(X105/H105,"0")+IFERROR(X106/H106,"0")+IFERROR(X107/H107,"0")</f>
        <v>116.66666666666666</v>
      </c>
      <c r="Y108" s="561">
        <f>IFERROR(Y104/H104,"0")+IFERROR(Y105/H105,"0")+IFERROR(Y106/H106,"0")+IFERROR(Y107/H107,"0")</f>
        <v>117</v>
      </c>
      <c r="Z108" s="561">
        <f>IFERROR(IF(Z104="",0,Z104),"0")+IFERROR(IF(Z105="",0,Z105),"0")+IFERROR(IF(Z106="",0,Z106),"0")+IFERROR(IF(Z107="",0,Z107),"0")</f>
        <v>1.2246600000000001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4"/>
      <c r="P109" s="570" t="s">
        <v>72</v>
      </c>
      <c r="Q109" s="571"/>
      <c r="R109" s="571"/>
      <c r="S109" s="571"/>
      <c r="T109" s="571"/>
      <c r="U109" s="571"/>
      <c r="V109" s="572"/>
      <c r="W109" s="37" t="s">
        <v>70</v>
      </c>
      <c r="X109" s="561">
        <f>IFERROR(SUM(X104:X107),"0")</f>
        <v>630</v>
      </c>
      <c r="Y109" s="561">
        <f>IFERROR(SUM(Y104:Y107),"0")</f>
        <v>633.6</v>
      </c>
      <c r="Z109" s="37"/>
      <c r="AA109" s="562"/>
      <c r="AB109" s="562"/>
      <c r="AC109" s="562"/>
    </row>
    <row r="110" spans="1:68" ht="14.25" customHeight="1" x14ac:dyDescent="0.25">
      <c r="A110" s="586" t="s">
        <v>137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4"/>
      <c r="P114" s="570" t="s">
        <v>72</v>
      </c>
      <c r="Q114" s="571"/>
      <c r="R114" s="571"/>
      <c r="S114" s="571"/>
      <c r="T114" s="571"/>
      <c r="U114" s="571"/>
      <c r="V114" s="572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4"/>
      <c r="P115" s="570" t="s">
        <v>72</v>
      </c>
      <c r="Q115" s="571"/>
      <c r="R115" s="571"/>
      <c r="S115" s="571"/>
      <c r="T115" s="571"/>
      <c r="U115" s="571"/>
      <c r="V115" s="572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86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800</v>
      </c>
      <c r="Y117" s="560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21</v>
      </c>
      <c r="Y120" s="560">
        <f>IFERROR(IF(X120="",0,CEILING((X120/$H120),1)*$H120),"")</f>
        <v>21.6</v>
      </c>
      <c r="Z120" s="36">
        <f>IFERROR(IF(Y120=0,"",ROUNDUP(Y120/H120,0)*0.00651),"")</f>
        <v>7.8119999999999995E-2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23.099999999999998</v>
      </c>
      <c r="BN120" s="64">
        <f>IFERROR(Y120*I120/H120,"0")</f>
        <v>23.76</v>
      </c>
      <c r="BO120" s="64">
        <f>IFERROR(1/J120*(X120/H120),"0")</f>
        <v>6.4102564102564111E-2</v>
      </c>
      <c r="BP120" s="64">
        <f>IFERROR(1/J120*(Y120/H120),"0")</f>
        <v>6.5934065934065936E-2</v>
      </c>
    </row>
    <row r="121" spans="1:68" x14ac:dyDescent="0.2">
      <c r="A121" s="583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4"/>
      <c r="P121" s="570" t="s">
        <v>72</v>
      </c>
      <c r="Q121" s="571"/>
      <c r="R121" s="571"/>
      <c r="S121" s="571"/>
      <c r="T121" s="571"/>
      <c r="U121" s="571"/>
      <c r="V121" s="572"/>
      <c r="W121" s="37" t="s">
        <v>73</v>
      </c>
      <c r="X121" s="561">
        <f>IFERROR(X117/H117,"0")+IFERROR(X118/H118,"0")+IFERROR(X119/H119,"0")+IFERROR(X120/H120,"0")</f>
        <v>327.09876543209879</v>
      </c>
      <c r="Y121" s="561">
        <f>IFERROR(Y117/H117,"0")+IFERROR(Y118/H118,"0")+IFERROR(Y119/H119,"0")+IFERROR(Y120/H120,"0")</f>
        <v>328</v>
      </c>
      <c r="Z121" s="561">
        <f>IFERROR(IF(Z117="",0,Z117),"0")+IFERROR(IF(Z118="",0,Z118),"0")+IFERROR(IF(Z119="",0,Z119),"0")+IFERROR(IF(Z120="",0,Z120),"0")</f>
        <v>3.3698100000000002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4"/>
      <c r="P122" s="570" t="s">
        <v>72</v>
      </c>
      <c r="Q122" s="571"/>
      <c r="R122" s="571"/>
      <c r="S122" s="571"/>
      <c r="T122" s="571"/>
      <c r="U122" s="571"/>
      <c r="V122" s="572"/>
      <c r="W122" s="37" t="s">
        <v>70</v>
      </c>
      <c r="X122" s="561">
        <f>IFERROR(SUM(X117:X120),"0")</f>
        <v>1406</v>
      </c>
      <c r="Y122" s="561">
        <f>IFERROR(SUM(Y117:Y120),"0")</f>
        <v>1409.4</v>
      </c>
      <c r="Z122" s="37"/>
      <c r="AA122" s="562"/>
      <c r="AB122" s="562"/>
      <c r="AC122" s="562"/>
    </row>
    <row r="123" spans="1:68" ht="14.25" customHeight="1" x14ac:dyDescent="0.25">
      <c r="A123" s="586" t="s">
        <v>172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7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19.8</v>
      </c>
      <c r="Y125" s="560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83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4"/>
      <c r="P126" s="570" t="s">
        <v>72</v>
      </c>
      <c r="Q126" s="571"/>
      <c r="R126" s="571"/>
      <c r="S126" s="571"/>
      <c r="T126" s="571"/>
      <c r="U126" s="571"/>
      <c r="V126" s="572"/>
      <c r="W126" s="37" t="s">
        <v>73</v>
      </c>
      <c r="X126" s="561">
        <f>IFERROR(X124/H124,"0")+IFERROR(X125/H125,"0")</f>
        <v>10</v>
      </c>
      <c r="Y126" s="561">
        <f>IFERROR(Y124/H124,"0")+IFERROR(Y125/H125,"0")</f>
        <v>10</v>
      </c>
      <c r="Z126" s="561">
        <f>IFERROR(IF(Z124="",0,Z124),"0")+IFERROR(IF(Z125="",0,Z125),"0")</f>
        <v>6.5100000000000005E-2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4"/>
      <c r="P127" s="570" t="s">
        <v>72</v>
      </c>
      <c r="Q127" s="571"/>
      <c r="R127" s="571"/>
      <c r="S127" s="571"/>
      <c r="T127" s="571"/>
      <c r="U127" s="571"/>
      <c r="V127" s="572"/>
      <c r="W127" s="37" t="s">
        <v>70</v>
      </c>
      <c r="X127" s="561">
        <f>IFERROR(SUM(X124:X125),"0")</f>
        <v>19.8</v>
      </c>
      <c r="Y127" s="561">
        <f>IFERROR(SUM(Y124:Y125),"0")</f>
        <v>19.8</v>
      </c>
      <c r="Z127" s="37"/>
      <c r="AA127" s="562"/>
      <c r="AB127" s="562"/>
      <c r="AC127" s="562"/>
    </row>
    <row r="128" spans="1:68" ht="16.5" customHeight="1" x14ac:dyDescent="0.25">
      <c r="A128" s="585" t="s">
        <v>234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86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40</v>
      </c>
      <c r="Y131" s="560">
        <f>IFERROR(IF(X131="",0,CEILING((X131/$H131),1)*$H131),"")</f>
        <v>41.6</v>
      </c>
      <c r="Z131" s="36">
        <f>IFERROR(IF(Y131=0,"",ROUNDUP(Y131/H131,0)*0.00651),"")</f>
        <v>8.4629999999999997E-2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42.249999999999993</v>
      </c>
      <c r="BN131" s="64">
        <f>IFERROR(Y131*I131/H131,"0")</f>
        <v>43.94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83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4"/>
      <c r="P132" s="570" t="s">
        <v>72</v>
      </c>
      <c r="Q132" s="571"/>
      <c r="R132" s="571"/>
      <c r="S132" s="571"/>
      <c r="T132" s="571"/>
      <c r="U132" s="571"/>
      <c r="V132" s="572"/>
      <c r="W132" s="37" t="s">
        <v>73</v>
      </c>
      <c r="X132" s="561">
        <f>IFERROR(X130/H130,"0")+IFERROR(X131/H131,"0")</f>
        <v>12.5</v>
      </c>
      <c r="Y132" s="561">
        <f>IFERROR(Y130/H130,"0")+IFERROR(Y131/H131,"0")</f>
        <v>13</v>
      </c>
      <c r="Z132" s="561">
        <f>IFERROR(IF(Z130="",0,Z130),"0")+IFERROR(IF(Z131="",0,Z131),"0")</f>
        <v>8.4629999999999997E-2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4"/>
      <c r="P133" s="570" t="s">
        <v>72</v>
      </c>
      <c r="Q133" s="571"/>
      <c r="R133" s="571"/>
      <c r="S133" s="571"/>
      <c r="T133" s="571"/>
      <c r="U133" s="571"/>
      <c r="V133" s="572"/>
      <c r="W133" s="37" t="s">
        <v>70</v>
      </c>
      <c r="X133" s="561">
        <f>IFERROR(SUM(X130:X131),"0")</f>
        <v>40</v>
      </c>
      <c r="Y133" s="561">
        <f>IFERROR(SUM(Y130:Y131),"0")</f>
        <v>41.6</v>
      </c>
      <c r="Z133" s="37"/>
      <c r="AA133" s="562"/>
      <c r="AB133" s="562"/>
      <c r="AC133" s="562"/>
    </row>
    <row r="134" spans="1:68" ht="14.25" customHeight="1" x14ac:dyDescent="0.25">
      <c r="A134" s="586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28</v>
      </c>
      <c r="Y135" s="560">
        <f>IFERROR(IF(X135="",0,CEILING((X135/$H135),1)*$H135),"")</f>
        <v>28</v>
      </c>
      <c r="Z135" s="36">
        <f>IFERROR(IF(Y135=0,"",ROUNDUP(Y135/H135,0)*0.00651),"")</f>
        <v>6.5100000000000005E-2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30.68</v>
      </c>
      <c r="BN135" s="64">
        <f>IFERROR(Y135*I135/H135,"0")</f>
        <v>30.68</v>
      </c>
      <c r="BO135" s="64">
        <f>IFERROR(1/J135*(X135/H135),"0")</f>
        <v>5.4945054945054951E-2</v>
      </c>
      <c r="BP135" s="64">
        <f>IFERROR(1/J135*(Y135/H135),"0")</f>
        <v>5.4945054945054951E-2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4"/>
      <c r="P137" s="570" t="s">
        <v>72</v>
      </c>
      <c r="Q137" s="571"/>
      <c r="R137" s="571"/>
      <c r="S137" s="571"/>
      <c r="T137" s="571"/>
      <c r="U137" s="571"/>
      <c r="V137" s="572"/>
      <c r="W137" s="37" t="s">
        <v>73</v>
      </c>
      <c r="X137" s="561">
        <f>IFERROR(X135/H135,"0")+IFERROR(X136/H136,"0")</f>
        <v>10</v>
      </c>
      <c r="Y137" s="561">
        <f>IFERROR(Y135/H135,"0")+IFERROR(Y136/H136,"0")</f>
        <v>10</v>
      </c>
      <c r="Z137" s="561">
        <f>IFERROR(IF(Z135="",0,Z135),"0")+IFERROR(IF(Z136="",0,Z136),"0")</f>
        <v>6.5100000000000005E-2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4"/>
      <c r="P138" s="570" t="s">
        <v>72</v>
      </c>
      <c r="Q138" s="571"/>
      <c r="R138" s="571"/>
      <c r="S138" s="571"/>
      <c r="T138" s="571"/>
      <c r="U138" s="571"/>
      <c r="V138" s="572"/>
      <c r="W138" s="37" t="s">
        <v>70</v>
      </c>
      <c r="X138" s="561">
        <f>IFERROR(SUM(X135:X136),"0")</f>
        <v>28</v>
      </c>
      <c r="Y138" s="561">
        <f>IFERROR(SUM(Y135:Y136),"0")</f>
        <v>28</v>
      </c>
      <c r="Z138" s="37"/>
      <c r="AA138" s="562"/>
      <c r="AB138" s="562"/>
      <c r="AC138" s="562"/>
    </row>
    <row r="139" spans="1:68" ht="14.25" customHeight="1" x14ac:dyDescent="0.25">
      <c r="A139" s="586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82.5</v>
      </c>
      <c r="Y141" s="560">
        <f>IFERROR(IF(X141="",0,CEILING((X141/$H141),1)*$H141),"")</f>
        <v>84.48</v>
      </c>
      <c r="Z141" s="36">
        <f>IFERROR(IF(Y141=0,"",ROUNDUP(Y141/H141,0)*0.00651),"")</f>
        <v>0.20832000000000001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90.875</v>
      </c>
      <c r="BN141" s="64">
        <f>IFERROR(Y141*I141/H141,"0")</f>
        <v>93.055999999999997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x14ac:dyDescent="0.2">
      <c r="A142" s="583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4"/>
      <c r="P142" s="570" t="s">
        <v>72</v>
      </c>
      <c r="Q142" s="571"/>
      <c r="R142" s="571"/>
      <c r="S142" s="571"/>
      <c r="T142" s="571"/>
      <c r="U142" s="571"/>
      <c r="V142" s="572"/>
      <c r="W142" s="37" t="s">
        <v>73</v>
      </c>
      <c r="X142" s="561">
        <f>IFERROR(X140/H140,"0")+IFERROR(X141/H141,"0")</f>
        <v>31.25</v>
      </c>
      <c r="Y142" s="561">
        <f>IFERROR(Y140/H140,"0")+IFERROR(Y141/H141,"0")</f>
        <v>32</v>
      </c>
      <c r="Z142" s="561">
        <f>IFERROR(IF(Z140="",0,Z140),"0")+IFERROR(IF(Z141="",0,Z141),"0")</f>
        <v>0.20832000000000001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4"/>
      <c r="P143" s="570" t="s">
        <v>72</v>
      </c>
      <c r="Q143" s="571"/>
      <c r="R143" s="571"/>
      <c r="S143" s="571"/>
      <c r="T143" s="571"/>
      <c r="U143" s="571"/>
      <c r="V143" s="572"/>
      <c r="W143" s="37" t="s">
        <v>70</v>
      </c>
      <c r="X143" s="561">
        <f>IFERROR(SUM(X140:X141),"0")</f>
        <v>82.5</v>
      </c>
      <c r="Y143" s="561">
        <f>IFERROR(SUM(Y140:Y141),"0")</f>
        <v>84.48</v>
      </c>
      <c r="Z143" s="37"/>
      <c r="AA143" s="562"/>
      <c r="AB143" s="562"/>
      <c r="AC143" s="562"/>
    </row>
    <row r="144" spans="1:68" ht="16.5" customHeight="1" x14ac:dyDescent="0.25">
      <c r="A144" s="585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86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4"/>
      <c r="P147" s="570" t="s">
        <v>72</v>
      </c>
      <c r="Q147" s="571"/>
      <c r="R147" s="571"/>
      <c r="S147" s="571"/>
      <c r="T147" s="571"/>
      <c r="U147" s="571"/>
      <c r="V147" s="572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4"/>
      <c r="P148" s="570" t="s">
        <v>72</v>
      </c>
      <c r="Q148" s="571"/>
      <c r="R148" s="571"/>
      <c r="S148" s="571"/>
      <c r="T148" s="571"/>
      <c r="U148" s="571"/>
      <c r="V148" s="572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6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4"/>
      <c r="P153" s="570" t="s">
        <v>72</v>
      </c>
      <c r="Q153" s="571"/>
      <c r="R153" s="571"/>
      <c r="S153" s="571"/>
      <c r="T153" s="571"/>
      <c r="U153" s="571"/>
      <c r="V153" s="572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4"/>
      <c r="P154" s="570" t="s">
        <v>72</v>
      </c>
      <c r="Q154" s="571"/>
      <c r="R154" s="571"/>
      <c r="S154" s="571"/>
      <c r="T154" s="571"/>
      <c r="U154" s="571"/>
      <c r="V154" s="572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17" t="s">
        <v>258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customHeight="1" x14ac:dyDescent="0.25">
      <c r="A156" s="585" t="s">
        <v>259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86" t="s">
        <v>137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4"/>
      <c r="P159" s="570" t="s">
        <v>72</v>
      </c>
      <c r="Q159" s="571"/>
      <c r="R159" s="571"/>
      <c r="S159" s="571"/>
      <c r="T159" s="571"/>
      <c r="U159" s="571"/>
      <c r="V159" s="572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4"/>
      <c r="P160" s="570" t="s">
        <v>72</v>
      </c>
      <c r="Q160" s="571"/>
      <c r="R160" s="571"/>
      <c r="S160" s="571"/>
      <c r="T160" s="571"/>
      <c r="U160" s="571"/>
      <c r="V160" s="572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6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50</v>
      </c>
      <c r="Y163" s="560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52.5</v>
      </c>
      <c r="Y165" s="560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55.75</v>
      </c>
      <c r="BN165" s="64">
        <f t="shared" si="18"/>
        <v>55.75</v>
      </c>
      <c r="BO165" s="64">
        <f t="shared" si="19"/>
        <v>0.10683760683760685</v>
      </c>
      <c r="BP165" s="64">
        <f t="shared" si="20"/>
        <v>0.10683760683760685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87.5</v>
      </c>
      <c r="Y166" s="560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3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192.5</v>
      </c>
      <c r="Y168" s="560">
        <f t="shared" si="16"/>
        <v>193.20000000000002</v>
      </c>
      <c r="Z168" s="36">
        <f>IFERROR(IF(Y168=0,"",ROUNDUP(Y168/H168,0)*0.00502),"")</f>
        <v>0.46184000000000003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201.66666666666669</v>
      </c>
      <c r="BN168" s="64">
        <f t="shared" si="18"/>
        <v>202.40000000000003</v>
      </c>
      <c r="BO168" s="64">
        <f t="shared" si="19"/>
        <v>0.39173789173789175</v>
      </c>
      <c r="BP168" s="64">
        <f t="shared" si="20"/>
        <v>0.39316239316239321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4"/>
      <c r="P171" s="570" t="s">
        <v>72</v>
      </c>
      <c r="Q171" s="571"/>
      <c r="R171" s="571"/>
      <c r="S171" s="571"/>
      <c r="T171" s="571"/>
      <c r="U171" s="571"/>
      <c r="V171" s="572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171.9047619047619</v>
      </c>
      <c r="Y171" s="561">
        <f>IFERROR(Y162/H162,"0")+IFERROR(Y163/H163,"0")+IFERROR(Y164/H164,"0")+IFERROR(Y165/H165,"0")+IFERROR(Y166/H166,"0")+IFERROR(Y167/H167,"0")+IFERROR(Y168/H168,"0")+IFERROR(Y169/H169,"0")+IFERROR(Y170/H170,"0")</f>
        <v>173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0.91646000000000005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4"/>
      <c r="P172" s="570" t="s">
        <v>72</v>
      </c>
      <c r="Q172" s="571"/>
      <c r="R172" s="571"/>
      <c r="S172" s="571"/>
      <c r="T172" s="571"/>
      <c r="U172" s="571"/>
      <c r="V172" s="572"/>
      <c r="W172" s="37" t="s">
        <v>70</v>
      </c>
      <c r="X172" s="561">
        <f>IFERROR(SUM(X162:X170),"0")</f>
        <v>385.5</v>
      </c>
      <c r="Y172" s="561">
        <f>IFERROR(SUM(Y162:Y170),"0")</f>
        <v>387.90000000000003</v>
      </c>
      <c r="Z172" s="37"/>
      <c r="AA172" s="562"/>
      <c r="AB172" s="562"/>
      <c r="AC172" s="562"/>
    </row>
    <row r="173" spans="1:68" ht="14.25" customHeight="1" x14ac:dyDescent="0.25">
      <c r="A173" s="586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6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3.5</v>
      </c>
      <c r="Y176" s="560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3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4"/>
      <c r="P177" s="570" t="s">
        <v>72</v>
      </c>
      <c r="Q177" s="571"/>
      <c r="R177" s="571"/>
      <c r="S177" s="571"/>
      <c r="T177" s="571"/>
      <c r="U177" s="571"/>
      <c r="V177" s="572"/>
      <c r="W177" s="37" t="s">
        <v>73</v>
      </c>
      <c r="X177" s="561">
        <f>IFERROR(X174/H174,"0")+IFERROR(X175/H175,"0")+IFERROR(X176/H176,"0")</f>
        <v>11.111111111111111</v>
      </c>
      <c r="Y177" s="561">
        <f>IFERROR(Y174/H174,"0")+IFERROR(Y175/H175,"0")+IFERROR(Y176/H176,"0")</f>
        <v>12</v>
      </c>
      <c r="Z177" s="561">
        <f>IFERROR(IF(Z174="",0,Z174),"0")+IFERROR(IF(Z175="",0,Z175),"0")+IFERROR(IF(Z176="",0,Z176),"0")</f>
        <v>7.0800000000000002E-2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4"/>
      <c r="P178" s="570" t="s">
        <v>72</v>
      </c>
      <c r="Q178" s="571"/>
      <c r="R178" s="571"/>
      <c r="S178" s="571"/>
      <c r="T178" s="571"/>
      <c r="U178" s="571"/>
      <c r="V178" s="572"/>
      <c r="W178" s="37" t="s">
        <v>70</v>
      </c>
      <c r="X178" s="561">
        <f>IFERROR(SUM(X174:X176),"0")</f>
        <v>14</v>
      </c>
      <c r="Y178" s="561">
        <f>IFERROR(SUM(Y174:Y176),"0")</f>
        <v>15.120000000000001</v>
      </c>
      <c r="Z178" s="37"/>
      <c r="AA178" s="562"/>
      <c r="AB178" s="562"/>
      <c r="AC178" s="562"/>
    </row>
    <row r="179" spans="1:68" ht="14.25" customHeight="1" x14ac:dyDescent="0.25">
      <c r="A179" s="586" t="s">
        <v>296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83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4"/>
      <c r="P181" s="570" t="s">
        <v>72</v>
      </c>
      <c r="Q181" s="571"/>
      <c r="R181" s="571"/>
      <c r="S181" s="571"/>
      <c r="T181" s="571"/>
      <c r="U181" s="571"/>
      <c r="V181" s="572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4"/>
      <c r="P182" s="570" t="s">
        <v>72</v>
      </c>
      <c r="Q182" s="571"/>
      <c r="R182" s="571"/>
      <c r="S182" s="571"/>
      <c r="T182" s="571"/>
      <c r="U182" s="571"/>
      <c r="V182" s="572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customHeight="1" x14ac:dyDescent="0.25">
      <c r="A183" s="585" t="s">
        <v>299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86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4"/>
      <c r="P187" s="570" t="s">
        <v>72</v>
      </c>
      <c r="Q187" s="571"/>
      <c r="R187" s="571"/>
      <c r="S187" s="571"/>
      <c r="T187" s="571"/>
      <c r="U187" s="571"/>
      <c r="V187" s="572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4"/>
      <c r="P188" s="570" t="s">
        <v>72</v>
      </c>
      <c r="Q188" s="571"/>
      <c r="R188" s="571"/>
      <c r="S188" s="571"/>
      <c r="T188" s="571"/>
      <c r="U188" s="571"/>
      <c r="V188" s="572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6" t="s">
        <v>137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4"/>
      <c r="P192" s="570" t="s">
        <v>72</v>
      </c>
      <c r="Q192" s="571"/>
      <c r="R192" s="571"/>
      <c r="S192" s="571"/>
      <c r="T192" s="571"/>
      <c r="U192" s="571"/>
      <c r="V192" s="572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4"/>
      <c r="P193" s="570" t="s">
        <v>72</v>
      </c>
      <c r="Q193" s="571"/>
      <c r="R193" s="571"/>
      <c r="S193" s="571"/>
      <c r="T193" s="571"/>
      <c r="U193" s="571"/>
      <c r="V193" s="572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6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130</v>
      </c>
      <c r="Y195" s="560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60</v>
      </c>
      <c r="Y196" s="56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220</v>
      </c>
      <c r="Y197" s="560">
        <f t="shared" si="21"/>
        <v>221.4</v>
      </c>
      <c r="Z197" s="36">
        <f>IFERROR(IF(Y197=0,"",ROUNDUP(Y197/H197,0)*0.00902),"")</f>
        <v>0.36982000000000004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228.55555555555554</v>
      </c>
      <c r="BN197" s="64">
        <f t="shared" si="23"/>
        <v>230.01</v>
      </c>
      <c r="BO197" s="64">
        <f t="shared" si="24"/>
        <v>0.30864197530864196</v>
      </c>
      <c r="BP197" s="64">
        <f t="shared" si="25"/>
        <v>0.31060606060606061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50</v>
      </c>
      <c r="Y198" s="560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60</v>
      </c>
      <c r="Y199" s="560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99</v>
      </c>
      <c r="Y201" s="560">
        <f t="shared" si="21"/>
        <v>99</v>
      </c>
      <c r="Z201" s="36">
        <f>IFERROR(IF(Y201=0,"",ROUNDUP(Y201/H201,0)*0.00502),"")</f>
        <v>0.27610000000000001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104.5</v>
      </c>
      <c r="BN201" s="64">
        <f t="shared" si="23"/>
        <v>104.5</v>
      </c>
      <c r="BO201" s="64">
        <f t="shared" si="24"/>
        <v>0.23504273504273507</v>
      </c>
      <c r="BP201" s="64">
        <f t="shared" si="25"/>
        <v>0.23504273504273507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60</v>
      </c>
      <c r="Y202" s="560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83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4"/>
      <c r="P203" s="570" t="s">
        <v>72</v>
      </c>
      <c r="Q203" s="571"/>
      <c r="R203" s="571"/>
      <c r="S203" s="571"/>
      <c r="T203" s="571"/>
      <c r="U203" s="571"/>
      <c r="V203" s="572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236.85185185185188</v>
      </c>
      <c r="Y203" s="561">
        <f>IFERROR(Y195/H195,"0")+IFERROR(Y196/H196,"0")+IFERROR(Y197/H197,"0")+IFERROR(Y198/H198,"0")+IFERROR(Y199/H199,"0")+IFERROR(Y200/H200,"0")+IFERROR(Y201/H201,"0")+IFERROR(Y202/H202,"0")</f>
        <v>241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1.56182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4"/>
      <c r="P204" s="570" t="s">
        <v>72</v>
      </c>
      <c r="Q204" s="571"/>
      <c r="R204" s="571"/>
      <c r="S204" s="571"/>
      <c r="T204" s="571"/>
      <c r="U204" s="571"/>
      <c r="V204" s="572"/>
      <c r="W204" s="37" t="s">
        <v>70</v>
      </c>
      <c r="X204" s="561">
        <f>IFERROR(SUM(X195:X202),"0")</f>
        <v>733</v>
      </c>
      <c r="Y204" s="561">
        <f>IFERROR(SUM(Y195:Y202),"0")</f>
        <v>750.60000000000014</v>
      </c>
      <c r="Z204" s="37"/>
      <c r="AA204" s="562"/>
      <c r="AB204" s="562"/>
      <c r="AC204" s="562"/>
    </row>
    <row r="205" spans="1:68" ht="14.25" customHeight="1" x14ac:dyDescent="0.25">
      <c r="A205" s="586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300</v>
      </c>
      <c r="Y208" s="56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280</v>
      </c>
      <c r="Y209" s="560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320</v>
      </c>
      <c r="Y211" s="560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240</v>
      </c>
      <c r="Y213" s="560">
        <f t="shared" si="26"/>
        <v>240</v>
      </c>
      <c r="Z213" s="36">
        <f t="shared" si="31"/>
        <v>0.65100000000000002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280</v>
      </c>
      <c r="Y214" s="560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83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4"/>
      <c r="P215" s="570" t="s">
        <v>72</v>
      </c>
      <c r="Q215" s="571"/>
      <c r="R215" s="571"/>
      <c r="S215" s="571"/>
      <c r="T215" s="571"/>
      <c r="U215" s="571"/>
      <c r="V215" s="572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501.14942528735634</v>
      </c>
      <c r="Y215" s="561">
        <f>IFERROR(Y206/H206,"0")+IFERROR(Y207/H207,"0")+IFERROR(Y208/H208,"0")+IFERROR(Y209/H209,"0")+IFERROR(Y210/H210,"0")+IFERROR(Y211/H211,"0")+IFERROR(Y212/H212,"0")+IFERROR(Y213/H213,"0")+IFERROR(Y214/H214,"0")</f>
        <v>503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3.7109799999999997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4"/>
      <c r="P216" s="570" t="s">
        <v>72</v>
      </c>
      <c r="Q216" s="571"/>
      <c r="R216" s="571"/>
      <c r="S216" s="571"/>
      <c r="T216" s="571"/>
      <c r="U216" s="571"/>
      <c r="V216" s="572"/>
      <c r="W216" s="37" t="s">
        <v>70</v>
      </c>
      <c r="X216" s="561">
        <f>IFERROR(SUM(X206:X214),"0")</f>
        <v>1420</v>
      </c>
      <c r="Y216" s="561">
        <f>IFERROR(SUM(Y206:Y214),"0")</f>
        <v>1427.6999999999998</v>
      </c>
      <c r="Z216" s="37"/>
      <c r="AA216" s="562"/>
      <c r="AB216" s="562"/>
      <c r="AC216" s="562"/>
    </row>
    <row r="217" spans="1:68" ht="14.25" customHeight="1" x14ac:dyDescent="0.25">
      <c r="A217" s="586" t="s">
        <v>172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83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4"/>
      <c r="P220" s="570" t="s">
        <v>72</v>
      </c>
      <c r="Q220" s="571"/>
      <c r="R220" s="571"/>
      <c r="S220" s="571"/>
      <c r="T220" s="571"/>
      <c r="U220" s="571"/>
      <c r="V220" s="572"/>
      <c r="W220" s="37" t="s">
        <v>73</v>
      </c>
      <c r="X220" s="561">
        <f>IFERROR(X218/H218,"0")+IFERROR(X219/H219,"0")</f>
        <v>30</v>
      </c>
      <c r="Y220" s="561">
        <f>IFERROR(Y218/H218,"0")+IFERROR(Y219/H219,"0")</f>
        <v>31</v>
      </c>
      <c r="Z220" s="561">
        <f>IFERROR(IF(Z218="",0,Z218),"0")+IFERROR(IF(Z219="",0,Z219),"0")</f>
        <v>0.20180999999999999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4"/>
      <c r="P221" s="570" t="s">
        <v>72</v>
      </c>
      <c r="Q221" s="571"/>
      <c r="R221" s="571"/>
      <c r="S221" s="571"/>
      <c r="T221" s="571"/>
      <c r="U221" s="571"/>
      <c r="V221" s="572"/>
      <c r="W221" s="37" t="s">
        <v>70</v>
      </c>
      <c r="X221" s="561">
        <f>IFERROR(SUM(X218:X219),"0")</f>
        <v>72</v>
      </c>
      <c r="Y221" s="561">
        <f>IFERROR(SUM(Y218:Y219),"0")</f>
        <v>74.400000000000006</v>
      </c>
      <c r="Z221" s="37"/>
      <c r="AA221" s="562"/>
      <c r="AB221" s="562"/>
      <c r="AC221" s="562"/>
    </row>
    <row r="222" spans="1:68" ht="16.5" customHeight="1" x14ac:dyDescent="0.25">
      <c r="A222" s="585" t="s">
        <v>360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86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20</v>
      </c>
      <c r="Y224" s="560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52</v>
      </c>
      <c r="Y230" s="560">
        <f t="shared" si="32"/>
        <v>52</v>
      </c>
      <c r="Z230" s="36">
        <f>IFERROR(IF(Y230=0,"",ROUNDUP(Y230/H230,0)*0.00902),"")</f>
        <v>0.11726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54.73</v>
      </c>
      <c r="BN230" s="64">
        <f t="shared" si="34"/>
        <v>54.73</v>
      </c>
      <c r="BO230" s="64">
        <f t="shared" si="35"/>
        <v>9.8484848484848481E-2</v>
      </c>
      <c r="BP230" s="64">
        <f t="shared" si="36"/>
        <v>9.8484848484848481E-2</v>
      </c>
    </row>
    <row r="231" spans="1:68" x14ac:dyDescent="0.2">
      <c r="A231" s="583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4"/>
      <c r="P231" s="570" t="s">
        <v>72</v>
      </c>
      <c r="Q231" s="571"/>
      <c r="R231" s="571"/>
      <c r="S231" s="571"/>
      <c r="T231" s="571"/>
      <c r="U231" s="571"/>
      <c r="V231" s="572"/>
      <c r="W231" s="37" t="s">
        <v>73</v>
      </c>
      <c r="X231" s="561">
        <f>IFERROR(X224/H224,"0")+IFERROR(X225/H225,"0")+IFERROR(X226/H226,"0")+IFERROR(X227/H227,"0")+IFERROR(X228/H228,"0")+IFERROR(X229/H229,"0")+IFERROR(X230/H230,"0")</f>
        <v>24.724137931034484</v>
      </c>
      <c r="Y231" s="561">
        <f>IFERROR(Y224/H224,"0")+IFERROR(Y225/H225,"0")+IFERROR(Y226/H226,"0")+IFERROR(Y227/H227,"0")+IFERROR(Y228/H228,"0")+IFERROR(Y229/H229,"0")+IFERROR(Y230/H230,"0")</f>
        <v>25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0.24542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4"/>
      <c r="P232" s="570" t="s">
        <v>72</v>
      </c>
      <c r="Q232" s="571"/>
      <c r="R232" s="571"/>
      <c r="S232" s="571"/>
      <c r="T232" s="571"/>
      <c r="U232" s="571"/>
      <c r="V232" s="572"/>
      <c r="W232" s="37" t="s">
        <v>70</v>
      </c>
      <c r="X232" s="561">
        <f>IFERROR(SUM(X224:X230),"0")</f>
        <v>112</v>
      </c>
      <c r="Y232" s="561">
        <f>IFERROR(SUM(Y224:Y230),"0")</f>
        <v>115.2</v>
      </c>
      <c r="Z232" s="37"/>
      <c r="AA232" s="562"/>
      <c r="AB232" s="562"/>
      <c r="AC232" s="562"/>
    </row>
    <row r="233" spans="1:68" ht="14.25" customHeight="1" x14ac:dyDescent="0.25">
      <c r="A233" s="586" t="s">
        <v>137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4"/>
      <c r="P235" s="570" t="s">
        <v>72</v>
      </c>
      <c r="Q235" s="571"/>
      <c r="R235" s="571"/>
      <c r="S235" s="571"/>
      <c r="T235" s="571"/>
      <c r="U235" s="571"/>
      <c r="V235" s="572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4"/>
      <c r="P236" s="570" t="s">
        <v>72</v>
      </c>
      <c r="Q236" s="571"/>
      <c r="R236" s="571"/>
      <c r="S236" s="571"/>
      <c r="T236" s="571"/>
      <c r="U236" s="571"/>
      <c r="V236" s="572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6" t="s">
        <v>382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8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12</v>
      </c>
      <c r="Y238" s="56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83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4"/>
      <c r="P239" s="570" t="s">
        <v>72</v>
      </c>
      <c r="Q239" s="571"/>
      <c r="R239" s="571"/>
      <c r="S239" s="571"/>
      <c r="T239" s="571"/>
      <c r="U239" s="571"/>
      <c r="V239" s="572"/>
      <c r="W239" s="37" t="s">
        <v>73</v>
      </c>
      <c r="X239" s="561">
        <f>IFERROR(X238/H238,"0")</f>
        <v>6.6666666666666661</v>
      </c>
      <c r="Y239" s="561">
        <f>IFERROR(Y238/H238,"0")</f>
        <v>7</v>
      </c>
      <c r="Z239" s="561">
        <f>IFERROR(IF(Z238="",0,Z238),"0")</f>
        <v>4.1299999999999996E-2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4"/>
      <c r="P240" s="570" t="s">
        <v>72</v>
      </c>
      <c r="Q240" s="571"/>
      <c r="R240" s="571"/>
      <c r="S240" s="571"/>
      <c r="T240" s="571"/>
      <c r="U240" s="571"/>
      <c r="V240" s="572"/>
      <c r="W240" s="37" t="s">
        <v>70</v>
      </c>
      <c r="X240" s="561">
        <f>IFERROR(SUM(X238:X238),"0")</f>
        <v>12</v>
      </c>
      <c r="Y240" s="561">
        <f>IFERROR(SUM(Y238:Y238),"0")</f>
        <v>12.6</v>
      </c>
      <c r="Z240" s="37"/>
      <c r="AA240" s="562"/>
      <c r="AB240" s="562"/>
      <c r="AC240" s="562"/>
    </row>
    <row r="241" spans="1:68" ht="14.25" customHeight="1" x14ac:dyDescent="0.25">
      <c r="A241" s="586" t="s">
        <v>387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59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7.0000000000000009</v>
      </c>
      <c r="Y243" s="56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8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4"/>
      <c r="P247" s="570" t="s">
        <v>72</v>
      </c>
      <c r="Q247" s="571"/>
      <c r="R247" s="571"/>
      <c r="S247" s="571"/>
      <c r="T247" s="571"/>
      <c r="U247" s="571"/>
      <c r="V247" s="572"/>
      <c r="W247" s="37" t="s">
        <v>73</v>
      </c>
      <c r="X247" s="561">
        <f>IFERROR(X242/H242,"0")+IFERROR(X243/H243,"0")+IFERROR(X244/H244,"0")+IFERROR(X245/H245,"0")+IFERROR(X246/H246,"0")</f>
        <v>9.7222222222222214</v>
      </c>
      <c r="Y247" s="561">
        <f>IFERROR(Y242/H242,"0")+IFERROR(Y243/H243,"0")+IFERROR(Y244/H244,"0")+IFERROR(Y245/H245,"0")+IFERROR(Y246/H246,"0")</f>
        <v>11</v>
      </c>
      <c r="Z247" s="561">
        <f>IFERROR(IF(Z242="",0,Z242),"0")+IFERROR(IF(Z243="",0,Z243),"0")+IFERROR(IF(Z244="",0,Z244),"0")+IFERROR(IF(Z245="",0,Z245),"0")+IFERROR(IF(Z246="",0,Z246),"0")</f>
        <v>6.4899999999999999E-2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4"/>
      <c r="P248" s="570" t="s">
        <v>72</v>
      </c>
      <c r="Q248" s="571"/>
      <c r="R248" s="571"/>
      <c r="S248" s="571"/>
      <c r="T248" s="571"/>
      <c r="U248" s="571"/>
      <c r="V248" s="572"/>
      <c r="W248" s="37" t="s">
        <v>70</v>
      </c>
      <c r="X248" s="561">
        <f>IFERROR(SUM(X242:X246),"0")</f>
        <v>12.5</v>
      </c>
      <c r="Y248" s="561">
        <f>IFERROR(SUM(Y242:Y246),"0")</f>
        <v>13.77</v>
      </c>
      <c r="Z248" s="37"/>
      <c r="AA248" s="562"/>
      <c r="AB248" s="562"/>
      <c r="AC248" s="562"/>
    </row>
    <row r="249" spans="1:68" ht="16.5" customHeight="1" x14ac:dyDescent="0.25">
      <c r="A249" s="585" t="s">
        <v>400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86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4"/>
      <c r="P256" s="570" t="s">
        <v>72</v>
      </c>
      <c r="Q256" s="571"/>
      <c r="R256" s="571"/>
      <c r="S256" s="571"/>
      <c r="T256" s="571"/>
      <c r="U256" s="571"/>
      <c r="V256" s="572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4"/>
      <c r="P257" s="570" t="s">
        <v>72</v>
      </c>
      <c r="Q257" s="571"/>
      <c r="R257" s="571"/>
      <c r="S257" s="571"/>
      <c r="T257" s="571"/>
      <c r="U257" s="571"/>
      <c r="V257" s="572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5" t="s">
        <v>416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86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0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4"/>
      <c r="P264" s="570" t="s">
        <v>72</v>
      </c>
      <c r="Q264" s="571"/>
      <c r="R264" s="571"/>
      <c r="S264" s="571"/>
      <c r="T264" s="571"/>
      <c r="U264" s="571"/>
      <c r="V264" s="572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4"/>
      <c r="P265" s="570" t="s">
        <v>72</v>
      </c>
      <c r="Q265" s="571"/>
      <c r="R265" s="571"/>
      <c r="S265" s="571"/>
      <c r="T265" s="571"/>
      <c r="U265" s="571"/>
      <c r="V265" s="572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5" t="s">
        <v>429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86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160</v>
      </c>
      <c r="Y270" s="560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83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4"/>
      <c r="P271" s="570" t="s">
        <v>72</v>
      </c>
      <c r="Q271" s="571"/>
      <c r="R271" s="571"/>
      <c r="S271" s="571"/>
      <c r="T271" s="571"/>
      <c r="U271" s="571"/>
      <c r="V271" s="572"/>
      <c r="W271" s="37" t="s">
        <v>73</v>
      </c>
      <c r="X271" s="561">
        <f>IFERROR(X268/H268,"0")+IFERROR(X269/H269,"0")+IFERROR(X270/H270,"0")</f>
        <v>66.666666666666671</v>
      </c>
      <c r="Y271" s="561">
        <f>IFERROR(Y268/H268,"0")+IFERROR(Y269/H269,"0")+IFERROR(Y270/H270,"0")</f>
        <v>67</v>
      </c>
      <c r="Z271" s="561">
        <f>IFERROR(IF(Z268="",0,Z268),"0")+IFERROR(IF(Z269="",0,Z269),"0")+IFERROR(IF(Z270="",0,Z270),"0")</f>
        <v>0.43617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4"/>
      <c r="P272" s="570" t="s">
        <v>72</v>
      </c>
      <c r="Q272" s="571"/>
      <c r="R272" s="571"/>
      <c r="S272" s="571"/>
      <c r="T272" s="571"/>
      <c r="U272" s="571"/>
      <c r="V272" s="572"/>
      <c r="W272" s="37" t="s">
        <v>70</v>
      </c>
      <c r="X272" s="561">
        <f>IFERROR(SUM(X268:X270),"0")</f>
        <v>160</v>
      </c>
      <c r="Y272" s="561">
        <f>IFERROR(SUM(Y268:Y270),"0")</f>
        <v>160.79999999999998</v>
      </c>
      <c r="Z272" s="37"/>
      <c r="AA272" s="562"/>
      <c r="AB272" s="562"/>
      <c r="AC272" s="562"/>
    </row>
    <row r="273" spans="1:68" ht="16.5" customHeight="1" x14ac:dyDescent="0.25">
      <c r="A273" s="585" t="s">
        <v>439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86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4"/>
      <c r="P276" s="570" t="s">
        <v>72</v>
      </c>
      <c r="Q276" s="571"/>
      <c r="R276" s="571"/>
      <c r="S276" s="571"/>
      <c r="T276" s="571"/>
      <c r="U276" s="571"/>
      <c r="V276" s="572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4"/>
      <c r="P277" s="570" t="s">
        <v>72</v>
      </c>
      <c r="Q277" s="571"/>
      <c r="R277" s="571"/>
      <c r="S277" s="571"/>
      <c r="T277" s="571"/>
      <c r="U277" s="571"/>
      <c r="V277" s="572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6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4"/>
      <c r="P280" s="570" t="s">
        <v>72</v>
      </c>
      <c r="Q280" s="571"/>
      <c r="R280" s="571"/>
      <c r="S280" s="571"/>
      <c r="T280" s="571"/>
      <c r="U280" s="571"/>
      <c r="V280" s="572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4"/>
      <c r="P281" s="570" t="s">
        <v>72</v>
      </c>
      <c r="Q281" s="571"/>
      <c r="R281" s="571"/>
      <c r="S281" s="571"/>
      <c r="T281" s="571"/>
      <c r="U281" s="571"/>
      <c r="V281" s="572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5" t="s">
        <v>446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86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4"/>
      <c r="P285" s="570" t="s">
        <v>72</v>
      </c>
      <c r="Q285" s="571"/>
      <c r="R285" s="571"/>
      <c r="S285" s="571"/>
      <c r="T285" s="571"/>
      <c r="U285" s="571"/>
      <c r="V285" s="572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4"/>
      <c r="P286" s="570" t="s">
        <v>72</v>
      </c>
      <c r="Q286" s="571"/>
      <c r="R286" s="571"/>
      <c r="S286" s="571"/>
      <c r="T286" s="571"/>
      <c r="U286" s="571"/>
      <c r="V286" s="572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5" t="s">
        <v>451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86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83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4"/>
      <c r="P295" s="570" t="s">
        <v>72</v>
      </c>
      <c r="Q295" s="571"/>
      <c r="R295" s="571"/>
      <c r="S295" s="571"/>
      <c r="T295" s="571"/>
      <c r="U295" s="571"/>
      <c r="V295" s="572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4"/>
      <c r="P296" s="570" t="s">
        <v>72</v>
      </c>
      <c r="Q296" s="571"/>
      <c r="R296" s="571"/>
      <c r="S296" s="571"/>
      <c r="T296" s="571"/>
      <c r="U296" s="571"/>
      <c r="V296" s="572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86" t="s">
        <v>64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70</v>
      </c>
      <c r="Y302" s="560">
        <f t="shared" si="42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73.333333333333329</v>
      </c>
      <c r="BN302" s="64">
        <f t="shared" si="44"/>
        <v>74.8</v>
      </c>
      <c r="BO302" s="64">
        <f t="shared" si="45"/>
        <v>0.14245014245014245</v>
      </c>
      <c r="BP302" s="64">
        <f t="shared" si="46"/>
        <v>0.14529914529914531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30</v>
      </c>
      <c r="Y304" s="560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83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4"/>
      <c r="P305" s="570" t="s">
        <v>72</v>
      </c>
      <c r="Q305" s="571"/>
      <c r="R305" s="571"/>
      <c r="S305" s="571"/>
      <c r="T305" s="571"/>
      <c r="U305" s="571"/>
      <c r="V305" s="572"/>
      <c r="W305" s="37" t="s">
        <v>73</v>
      </c>
      <c r="X305" s="561">
        <f>IFERROR(X298/H298,"0")+IFERROR(X299/H299,"0")+IFERROR(X300/H300,"0")+IFERROR(X301/H301,"0")+IFERROR(X302/H302,"0")+IFERROR(X303/H303,"0")+IFERROR(X304/H304,"0")</f>
        <v>50</v>
      </c>
      <c r="Y305" s="561">
        <f>IFERROR(Y298/H298,"0")+IFERROR(Y299/H299,"0")+IFERROR(Y300/H300,"0")+IFERROR(Y301/H301,"0")+IFERROR(Y302/H302,"0")+IFERROR(Y303/H303,"0")+IFERROR(Y304/H304,"0")</f>
        <v>51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562"/>
      <c r="AB305" s="562"/>
      <c r="AC305" s="562"/>
    </row>
    <row r="306" spans="1:68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4"/>
      <c r="P306" s="570" t="s">
        <v>72</v>
      </c>
      <c r="Q306" s="571"/>
      <c r="R306" s="571"/>
      <c r="S306" s="571"/>
      <c r="T306" s="571"/>
      <c r="U306" s="571"/>
      <c r="V306" s="572"/>
      <c r="W306" s="37" t="s">
        <v>70</v>
      </c>
      <c r="X306" s="561">
        <f>IFERROR(SUM(X298:X304),"0")</f>
        <v>100</v>
      </c>
      <c r="Y306" s="561">
        <f>IFERROR(SUM(Y298:Y304),"0")</f>
        <v>102</v>
      </c>
      <c r="Z306" s="37"/>
      <c r="AA306" s="562"/>
      <c r="AB306" s="562"/>
      <c r="AC306" s="562"/>
    </row>
    <row r="307" spans="1:68" ht="14.25" customHeight="1" x14ac:dyDescent="0.25">
      <c r="A307" s="586" t="s">
        <v>74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8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83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4"/>
      <c r="P313" s="570" t="s">
        <v>72</v>
      </c>
      <c r="Q313" s="571"/>
      <c r="R313" s="571"/>
      <c r="S313" s="571"/>
      <c r="T313" s="571"/>
      <c r="U313" s="571"/>
      <c r="V313" s="572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4"/>
      <c r="P314" s="570" t="s">
        <v>72</v>
      </c>
      <c r="Q314" s="571"/>
      <c r="R314" s="571"/>
      <c r="S314" s="571"/>
      <c r="T314" s="571"/>
      <c r="U314" s="571"/>
      <c r="V314" s="572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86" t="s">
        <v>172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8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60</v>
      </c>
      <c r="Y316" s="560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63.707142857142856</v>
      </c>
      <c r="BN316" s="64">
        <f>IFERROR(Y316*I316/H316,"0")</f>
        <v>71.352000000000004</v>
      </c>
      <c r="BO316" s="64">
        <f>IFERROR(1/J316*(X316/H316),"0")</f>
        <v>0.11160714285714285</v>
      </c>
      <c r="BP316" s="64">
        <f>IFERROR(1/J316*(Y316/H316),"0")</f>
        <v>0.125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400</v>
      </c>
      <c r="Y317" s="560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83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4"/>
      <c r="P319" s="570" t="s">
        <v>72</v>
      </c>
      <c r="Q319" s="571"/>
      <c r="R319" s="571"/>
      <c r="S319" s="571"/>
      <c r="T319" s="571"/>
      <c r="U319" s="571"/>
      <c r="V319" s="572"/>
      <c r="W319" s="37" t="s">
        <v>73</v>
      </c>
      <c r="X319" s="561">
        <f>IFERROR(X316/H316,"0")+IFERROR(X317/H317,"0")+IFERROR(X318/H318,"0")</f>
        <v>61.996336996336993</v>
      </c>
      <c r="Y319" s="561">
        <f>IFERROR(Y316/H316,"0")+IFERROR(Y317/H317,"0")+IFERROR(Y318/H318,"0")</f>
        <v>64</v>
      </c>
      <c r="Z319" s="561">
        <f>IFERROR(IF(Z316="",0,Z316),"0")+IFERROR(IF(Z317="",0,Z317),"0")+IFERROR(IF(Z318="",0,Z318),"0")</f>
        <v>1.21472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4"/>
      <c r="P320" s="570" t="s">
        <v>72</v>
      </c>
      <c r="Q320" s="571"/>
      <c r="R320" s="571"/>
      <c r="S320" s="571"/>
      <c r="T320" s="571"/>
      <c r="U320" s="571"/>
      <c r="V320" s="572"/>
      <c r="W320" s="37" t="s">
        <v>70</v>
      </c>
      <c r="X320" s="561">
        <f>IFERROR(SUM(X316:X318),"0")</f>
        <v>490</v>
      </c>
      <c r="Y320" s="561">
        <f>IFERROR(SUM(Y316:Y318),"0")</f>
        <v>506.4</v>
      </c>
      <c r="Z320" s="37"/>
      <c r="AA320" s="562"/>
      <c r="AB320" s="562"/>
      <c r="AC320" s="562"/>
    </row>
    <row r="321" spans="1:68" ht="14.25" customHeight="1" x14ac:dyDescent="0.25">
      <c r="A321" s="586" t="s">
        <v>95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55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54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34</v>
      </c>
      <c r="Y324" s="560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83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4"/>
      <c r="P326" s="570" t="s">
        <v>72</v>
      </c>
      <c r="Q326" s="571"/>
      <c r="R326" s="571"/>
      <c r="S326" s="571"/>
      <c r="T326" s="571"/>
      <c r="U326" s="571"/>
      <c r="V326" s="572"/>
      <c r="W326" s="37" t="s">
        <v>73</v>
      </c>
      <c r="X326" s="561">
        <f>IFERROR(X322/H322,"0")+IFERROR(X323/H323,"0")+IFERROR(X324/H324,"0")+IFERROR(X325/H325,"0")</f>
        <v>13.333333333333334</v>
      </c>
      <c r="Y326" s="561">
        <f>IFERROR(Y322/H322,"0")+IFERROR(Y323/H323,"0")+IFERROR(Y324/H324,"0")+IFERROR(Y325/H325,"0")</f>
        <v>14</v>
      </c>
      <c r="Z326" s="561">
        <f>IFERROR(IF(Z322="",0,Z322),"0")+IFERROR(IF(Z323="",0,Z323),"0")+IFERROR(IF(Z324="",0,Z324),"0")+IFERROR(IF(Z325="",0,Z325),"0")</f>
        <v>9.1139999999999999E-2</v>
      </c>
      <c r="AA326" s="562"/>
      <c r="AB326" s="562"/>
      <c r="AC326" s="562"/>
    </row>
    <row r="327" spans="1:68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4"/>
      <c r="P327" s="570" t="s">
        <v>72</v>
      </c>
      <c r="Q327" s="571"/>
      <c r="R327" s="571"/>
      <c r="S327" s="571"/>
      <c r="T327" s="571"/>
      <c r="U327" s="571"/>
      <c r="V327" s="572"/>
      <c r="W327" s="37" t="s">
        <v>70</v>
      </c>
      <c r="X327" s="561">
        <f>IFERROR(SUM(X322:X325),"0")</f>
        <v>34</v>
      </c>
      <c r="Y327" s="561">
        <f>IFERROR(SUM(Y322:Y325),"0")</f>
        <v>35.699999999999996</v>
      </c>
      <c r="Z327" s="37"/>
      <c r="AA327" s="562"/>
      <c r="AB327" s="562"/>
      <c r="AC327" s="562"/>
    </row>
    <row r="328" spans="1:68" ht="14.25" customHeight="1" x14ac:dyDescent="0.25">
      <c r="A328" s="586" t="s">
        <v>526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30</v>
      </c>
      <c r="Y329" s="560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8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83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4"/>
      <c r="P332" s="570" t="s">
        <v>72</v>
      </c>
      <c r="Q332" s="571"/>
      <c r="R332" s="571"/>
      <c r="S332" s="571"/>
      <c r="T332" s="571"/>
      <c r="U332" s="571"/>
      <c r="V332" s="572"/>
      <c r="W332" s="37" t="s">
        <v>73</v>
      </c>
      <c r="X332" s="561">
        <f>IFERROR(X329/H329,"0")+IFERROR(X330/H330,"0")+IFERROR(X331/H331,"0")</f>
        <v>15</v>
      </c>
      <c r="Y332" s="561">
        <f>IFERROR(Y329/H329,"0")+IFERROR(Y330/H330,"0")+IFERROR(Y331/H331,"0")</f>
        <v>15</v>
      </c>
      <c r="Z332" s="561">
        <f>IFERROR(IF(Z329="",0,Z329),"0")+IFERROR(IF(Z330="",0,Z330),"0")+IFERROR(IF(Z331="",0,Z331),"0")</f>
        <v>7.110000000000001E-2</v>
      </c>
      <c r="AA332" s="562"/>
      <c r="AB332" s="562"/>
      <c r="AC332" s="562"/>
    </row>
    <row r="333" spans="1:68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4"/>
      <c r="P333" s="570" t="s">
        <v>72</v>
      </c>
      <c r="Q333" s="571"/>
      <c r="R333" s="571"/>
      <c r="S333" s="571"/>
      <c r="T333" s="571"/>
      <c r="U333" s="571"/>
      <c r="V333" s="572"/>
      <c r="W333" s="37" t="s">
        <v>70</v>
      </c>
      <c r="X333" s="561">
        <f>IFERROR(SUM(X329:X331),"0")</f>
        <v>30</v>
      </c>
      <c r="Y333" s="561">
        <f>IFERROR(SUM(Y329:Y331),"0")</f>
        <v>30</v>
      </c>
      <c r="Z333" s="37"/>
      <c r="AA333" s="562"/>
      <c r="AB333" s="562"/>
      <c r="AC333" s="562"/>
    </row>
    <row r="334" spans="1:68" ht="16.5" customHeight="1" x14ac:dyDescent="0.25">
      <c r="A334" s="585" t="s">
        <v>535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customHeight="1" x14ac:dyDescent="0.25">
      <c r="A335" s="586" t="s">
        <v>74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8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700</v>
      </c>
      <c r="Y337" s="560">
        <f>IFERROR(IF(X337="",0,CEILING((X337/$H337),1)*$H337),"")</f>
        <v>701.4</v>
      </c>
      <c r="Z337" s="36">
        <f>IFERROR(IF(Y337=0,"",ROUNDUP(Y337/H337,0)*0.00651),"")</f>
        <v>2.1743399999999999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783.99999999999989</v>
      </c>
      <c r="BN337" s="64">
        <f>IFERROR(Y337*I337/H337,"0")</f>
        <v>785.56799999999987</v>
      </c>
      <c r="BO337" s="64">
        <f>IFERROR(1/J337*(X337/H337),"0")</f>
        <v>1.8315018315018314</v>
      </c>
      <c r="BP337" s="64">
        <f>IFERROR(1/J337*(Y337/H337),"0")</f>
        <v>1.8351648351648353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7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83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4"/>
      <c r="P339" s="570" t="s">
        <v>72</v>
      </c>
      <c r="Q339" s="571"/>
      <c r="R339" s="571"/>
      <c r="S339" s="571"/>
      <c r="T339" s="571"/>
      <c r="U339" s="571"/>
      <c r="V339" s="572"/>
      <c r="W339" s="37" t="s">
        <v>73</v>
      </c>
      <c r="X339" s="561">
        <f>IFERROR(X336/H336,"0")+IFERROR(X337/H337,"0")+IFERROR(X338/H338,"0")</f>
        <v>500</v>
      </c>
      <c r="Y339" s="561">
        <f>IFERROR(Y336/H336,"0")+IFERROR(Y337/H337,"0")+IFERROR(Y338/H338,"0")</f>
        <v>501</v>
      </c>
      <c r="Z339" s="561">
        <f>IFERROR(IF(Z336="",0,Z336),"0")+IFERROR(IF(Z337="",0,Z337),"0")+IFERROR(IF(Z338="",0,Z338),"0")</f>
        <v>3.2615099999999999</v>
      </c>
      <c r="AA339" s="562"/>
      <c r="AB339" s="562"/>
      <c r="AC339" s="562"/>
    </row>
    <row r="340" spans="1:68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4"/>
      <c r="P340" s="570" t="s">
        <v>72</v>
      </c>
      <c r="Q340" s="571"/>
      <c r="R340" s="571"/>
      <c r="S340" s="571"/>
      <c r="T340" s="571"/>
      <c r="U340" s="571"/>
      <c r="V340" s="572"/>
      <c r="W340" s="37" t="s">
        <v>70</v>
      </c>
      <c r="X340" s="561">
        <f>IFERROR(SUM(X336:X338),"0")</f>
        <v>1050</v>
      </c>
      <c r="Y340" s="561">
        <f>IFERROR(SUM(Y336:Y338),"0")</f>
        <v>1052.0999999999999</v>
      </c>
      <c r="Z340" s="37"/>
      <c r="AA340" s="562"/>
      <c r="AB340" s="562"/>
      <c r="AC340" s="562"/>
    </row>
    <row r="341" spans="1:68" ht="27.75" customHeight="1" x14ac:dyDescent="0.2">
      <c r="A341" s="617" t="s">
        <v>545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customHeight="1" x14ac:dyDescent="0.25">
      <c r="A342" s="585" t="s">
        <v>546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customHeight="1" x14ac:dyDescent="0.25">
      <c r="A343" s="586" t="s">
        <v>103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6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1150</v>
      </c>
      <c r="Y347" s="560">
        <f t="shared" si="47"/>
        <v>1155</v>
      </c>
      <c r="Z347" s="36">
        <f>IFERROR(IF(Y347=0,"",ROUNDUP(Y347/H347,0)*0.02175),"")</f>
        <v>1.67475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1186.8</v>
      </c>
      <c r="BN347" s="64">
        <f t="shared" si="49"/>
        <v>1191.96</v>
      </c>
      <c r="BO347" s="64">
        <f t="shared" si="50"/>
        <v>1.5972222222222223</v>
      </c>
      <c r="BP347" s="64">
        <f t="shared" si="51"/>
        <v>1.6041666666666665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6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15</v>
      </c>
      <c r="Y350" s="560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83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4"/>
      <c r="P351" s="570" t="s">
        <v>72</v>
      </c>
      <c r="Q351" s="571"/>
      <c r="R351" s="571"/>
      <c r="S351" s="571"/>
      <c r="T351" s="571"/>
      <c r="U351" s="571"/>
      <c r="V351" s="572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229.66666666666669</v>
      </c>
      <c r="Y351" s="561">
        <f>IFERROR(Y344/H344,"0")+IFERROR(Y345/H345,"0")+IFERROR(Y346/H346,"0")+IFERROR(Y347/H347,"0")+IFERROR(Y348/H348,"0")+IFERROR(Y349/H349,"0")+IFERROR(Y350/H350,"0")</f>
        <v>231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4.9860599999999993</v>
      </c>
      <c r="AA351" s="562"/>
      <c r="AB351" s="562"/>
      <c r="AC351" s="562"/>
    </row>
    <row r="352" spans="1:68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4"/>
      <c r="P352" s="570" t="s">
        <v>72</v>
      </c>
      <c r="Q352" s="571"/>
      <c r="R352" s="571"/>
      <c r="S352" s="571"/>
      <c r="T352" s="571"/>
      <c r="U352" s="571"/>
      <c r="V352" s="572"/>
      <c r="W352" s="37" t="s">
        <v>70</v>
      </c>
      <c r="X352" s="561">
        <f>IFERROR(SUM(X344:X350),"0")</f>
        <v>3415</v>
      </c>
      <c r="Y352" s="561">
        <f>IFERROR(SUM(Y344:Y350),"0")</f>
        <v>3435</v>
      </c>
      <c r="Z352" s="37"/>
      <c r="AA352" s="562"/>
      <c r="AB352" s="562"/>
      <c r="AC352" s="562"/>
    </row>
    <row r="353" spans="1:68" ht="14.25" customHeight="1" x14ac:dyDescent="0.25">
      <c r="A353" s="586" t="s">
        <v>137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6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1200</v>
      </c>
      <c r="Y354" s="560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5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20</v>
      </c>
      <c r="Y355" s="560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83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4"/>
      <c r="P356" s="570" t="s">
        <v>72</v>
      </c>
      <c r="Q356" s="571"/>
      <c r="R356" s="571"/>
      <c r="S356" s="571"/>
      <c r="T356" s="571"/>
      <c r="U356" s="571"/>
      <c r="V356" s="572"/>
      <c r="W356" s="37" t="s">
        <v>73</v>
      </c>
      <c r="X356" s="561">
        <f>IFERROR(X354/H354,"0")+IFERROR(X355/H355,"0")</f>
        <v>85</v>
      </c>
      <c r="Y356" s="561">
        <f>IFERROR(Y354/H354,"0")+IFERROR(Y355/H355,"0")</f>
        <v>85</v>
      </c>
      <c r="Z356" s="561">
        <f>IFERROR(IF(Z354="",0,Z354),"0")+IFERROR(IF(Z355="",0,Z355),"0")</f>
        <v>1.7850999999999997</v>
      </c>
      <c r="AA356" s="562"/>
      <c r="AB356" s="562"/>
      <c r="AC356" s="562"/>
    </row>
    <row r="357" spans="1:68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4"/>
      <c r="P357" s="570" t="s">
        <v>72</v>
      </c>
      <c r="Q357" s="571"/>
      <c r="R357" s="571"/>
      <c r="S357" s="571"/>
      <c r="T357" s="571"/>
      <c r="U357" s="571"/>
      <c r="V357" s="572"/>
      <c r="W357" s="37" t="s">
        <v>70</v>
      </c>
      <c r="X357" s="561">
        <f>IFERROR(SUM(X354:X355),"0")</f>
        <v>1220</v>
      </c>
      <c r="Y357" s="561">
        <f>IFERROR(SUM(Y354:Y355),"0")</f>
        <v>1220</v>
      </c>
      <c r="Z357" s="37"/>
      <c r="AA357" s="562"/>
      <c r="AB357" s="562"/>
      <c r="AC357" s="562"/>
    </row>
    <row r="358" spans="1:68" ht="14.25" customHeight="1" x14ac:dyDescent="0.25">
      <c r="A358" s="586" t="s">
        <v>74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100</v>
      </c>
      <c r="Y360" s="560">
        <f>IFERROR(IF(X360="",0,CEILING((X360/$H360),1)*$H360),"")</f>
        <v>108</v>
      </c>
      <c r="Z360" s="36">
        <f>IFERROR(IF(Y360=0,"",ROUNDUP(Y360/H360,0)*0.01898),"")</f>
        <v>0.22776000000000002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105.76666666666667</v>
      </c>
      <c r="BN360" s="64">
        <f>IFERROR(Y360*I360/H360,"0")</f>
        <v>114.22799999999999</v>
      </c>
      <c r="BO360" s="64">
        <f>IFERROR(1/J360*(X360/H360),"0")</f>
        <v>0.1736111111111111</v>
      </c>
      <c r="BP360" s="64">
        <f>IFERROR(1/J360*(Y360/H360),"0")</f>
        <v>0.1875</v>
      </c>
    </row>
    <row r="361" spans="1:68" x14ac:dyDescent="0.2">
      <c r="A361" s="583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4"/>
      <c r="P361" s="570" t="s">
        <v>72</v>
      </c>
      <c r="Q361" s="571"/>
      <c r="R361" s="571"/>
      <c r="S361" s="571"/>
      <c r="T361" s="571"/>
      <c r="U361" s="571"/>
      <c r="V361" s="572"/>
      <c r="W361" s="37" t="s">
        <v>73</v>
      </c>
      <c r="X361" s="561">
        <f>IFERROR(X359/H359,"0")+IFERROR(X360/H360,"0")</f>
        <v>11.111111111111111</v>
      </c>
      <c r="Y361" s="561">
        <f>IFERROR(Y359/H359,"0")+IFERROR(Y360/H360,"0")</f>
        <v>12</v>
      </c>
      <c r="Z361" s="561">
        <f>IFERROR(IF(Z359="",0,Z359),"0")+IFERROR(IF(Z360="",0,Z360),"0")</f>
        <v>0.22776000000000002</v>
      </c>
      <c r="AA361" s="562"/>
      <c r="AB361" s="562"/>
      <c r="AC361" s="562"/>
    </row>
    <row r="362" spans="1:68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4"/>
      <c r="P362" s="570" t="s">
        <v>72</v>
      </c>
      <c r="Q362" s="571"/>
      <c r="R362" s="571"/>
      <c r="S362" s="571"/>
      <c r="T362" s="571"/>
      <c r="U362" s="571"/>
      <c r="V362" s="572"/>
      <c r="W362" s="37" t="s">
        <v>70</v>
      </c>
      <c r="X362" s="561">
        <f>IFERROR(SUM(X359:X360),"0")</f>
        <v>100</v>
      </c>
      <c r="Y362" s="561">
        <f>IFERROR(SUM(Y359:Y360),"0")</f>
        <v>108</v>
      </c>
      <c r="Z362" s="37"/>
      <c r="AA362" s="562"/>
      <c r="AB362" s="562"/>
      <c r="AC362" s="562"/>
    </row>
    <row r="363" spans="1:68" ht="14.25" customHeight="1" x14ac:dyDescent="0.25">
      <c r="A363" s="586" t="s">
        <v>172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63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100</v>
      </c>
      <c r="Y364" s="560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83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4"/>
      <c r="P365" s="570" t="s">
        <v>72</v>
      </c>
      <c r="Q365" s="571"/>
      <c r="R365" s="571"/>
      <c r="S365" s="571"/>
      <c r="T365" s="571"/>
      <c r="U365" s="571"/>
      <c r="V365" s="572"/>
      <c r="W365" s="37" t="s">
        <v>73</v>
      </c>
      <c r="X365" s="561">
        <f>IFERROR(X364/H364,"0")</f>
        <v>11.111111111111111</v>
      </c>
      <c r="Y365" s="561">
        <f>IFERROR(Y364/H364,"0")</f>
        <v>12</v>
      </c>
      <c r="Z365" s="561">
        <f>IFERROR(IF(Z364="",0,Z364),"0")</f>
        <v>0.22776000000000002</v>
      </c>
      <c r="AA365" s="562"/>
      <c r="AB365" s="562"/>
      <c r="AC365" s="562"/>
    </row>
    <row r="366" spans="1:68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4"/>
      <c r="P366" s="570" t="s">
        <v>72</v>
      </c>
      <c r="Q366" s="571"/>
      <c r="R366" s="571"/>
      <c r="S366" s="571"/>
      <c r="T366" s="571"/>
      <c r="U366" s="571"/>
      <c r="V366" s="572"/>
      <c r="W366" s="37" t="s">
        <v>70</v>
      </c>
      <c r="X366" s="561">
        <f>IFERROR(SUM(X364:X364),"0")</f>
        <v>100</v>
      </c>
      <c r="Y366" s="561">
        <f>IFERROR(SUM(Y364:Y364),"0")</f>
        <v>108</v>
      </c>
      <c r="Z366" s="37"/>
      <c r="AA366" s="562"/>
      <c r="AB366" s="562"/>
      <c r="AC366" s="562"/>
    </row>
    <row r="367" spans="1:68" ht="16.5" customHeight="1" x14ac:dyDescent="0.25">
      <c r="A367" s="585" t="s">
        <v>580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customHeight="1" x14ac:dyDescent="0.25">
      <c r="A368" s="586" t="s">
        <v>103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30</v>
      </c>
      <c r="Y371" s="560">
        <f>IFERROR(IF(X371="",0,CEILING((X371/$H371),1)*$H371),"")</f>
        <v>36</v>
      </c>
      <c r="Z371" s="36">
        <f>IFERROR(IF(Y371=0,"",ROUNDUP(Y371/H371,0)*0.01898),"")</f>
        <v>5.6940000000000004E-2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31.087500000000002</v>
      </c>
      <c r="BN371" s="64">
        <f>IFERROR(Y371*I371/H371,"0")</f>
        <v>37.305</v>
      </c>
      <c r="BO371" s="64">
        <f>IFERROR(1/J371*(X371/H371),"0")</f>
        <v>3.90625E-2</v>
      </c>
      <c r="BP371" s="64">
        <f>IFERROR(1/J371*(Y371/H371),"0")</f>
        <v>4.6875E-2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3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4"/>
      <c r="P373" s="570" t="s">
        <v>72</v>
      </c>
      <c r="Q373" s="571"/>
      <c r="R373" s="571"/>
      <c r="S373" s="571"/>
      <c r="T373" s="571"/>
      <c r="U373" s="571"/>
      <c r="V373" s="572"/>
      <c r="W373" s="37" t="s">
        <v>73</v>
      </c>
      <c r="X373" s="561">
        <f>IFERROR(X369/H369,"0")+IFERROR(X370/H370,"0")+IFERROR(X371/H371,"0")+IFERROR(X372/H372,"0")</f>
        <v>2.5</v>
      </c>
      <c r="Y373" s="561">
        <f>IFERROR(Y369/H369,"0")+IFERROR(Y370/H370,"0")+IFERROR(Y371/H371,"0")+IFERROR(Y372/H372,"0")</f>
        <v>3</v>
      </c>
      <c r="Z373" s="561">
        <f>IFERROR(IF(Z369="",0,Z369),"0")+IFERROR(IF(Z370="",0,Z370),"0")+IFERROR(IF(Z371="",0,Z371),"0")+IFERROR(IF(Z372="",0,Z372),"0")</f>
        <v>5.6940000000000004E-2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4"/>
      <c r="P374" s="570" t="s">
        <v>72</v>
      </c>
      <c r="Q374" s="571"/>
      <c r="R374" s="571"/>
      <c r="S374" s="571"/>
      <c r="T374" s="571"/>
      <c r="U374" s="571"/>
      <c r="V374" s="572"/>
      <c r="W374" s="37" t="s">
        <v>70</v>
      </c>
      <c r="X374" s="561">
        <f>IFERROR(SUM(X369:X372),"0")</f>
        <v>30</v>
      </c>
      <c r="Y374" s="561">
        <f>IFERROR(SUM(Y369:Y372),"0")</f>
        <v>36</v>
      </c>
      <c r="Z374" s="37"/>
      <c r="AA374" s="562"/>
      <c r="AB374" s="562"/>
      <c r="AC374" s="562"/>
    </row>
    <row r="375" spans="1:68" ht="14.25" customHeight="1" x14ac:dyDescent="0.25">
      <c r="A375" s="586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3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4"/>
      <c r="P377" s="570" t="s">
        <v>72</v>
      </c>
      <c r="Q377" s="571"/>
      <c r="R377" s="571"/>
      <c r="S377" s="571"/>
      <c r="T377" s="571"/>
      <c r="U377" s="571"/>
      <c r="V377" s="572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4"/>
      <c r="P378" s="570" t="s">
        <v>72</v>
      </c>
      <c r="Q378" s="571"/>
      <c r="R378" s="571"/>
      <c r="S378" s="571"/>
      <c r="T378" s="571"/>
      <c r="U378" s="571"/>
      <c r="V378" s="572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86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20</v>
      </c>
      <c r="Y380" s="56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3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4"/>
      <c r="P382" s="570" t="s">
        <v>72</v>
      </c>
      <c r="Q382" s="571"/>
      <c r="R382" s="571"/>
      <c r="S382" s="571"/>
      <c r="T382" s="571"/>
      <c r="U382" s="571"/>
      <c r="V382" s="572"/>
      <c r="W382" s="37" t="s">
        <v>73</v>
      </c>
      <c r="X382" s="561">
        <f>IFERROR(X380/H380,"0")+IFERROR(X381/H381,"0")</f>
        <v>2.2222222222222223</v>
      </c>
      <c r="Y382" s="561">
        <f>IFERROR(Y380/H380,"0")+IFERROR(Y381/H381,"0")</f>
        <v>3</v>
      </c>
      <c r="Z382" s="561">
        <f>IFERROR(IF(Z380="",0,Z380),"0")+IFERROR(IF(Z381="",0,Z381),"0")</f>
        <v>5.6940000000000004E-2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4"/>
      <c r="P383" s="570" t="s">
        <v>72</v>
      </c>
      <c r="Q383" s="571"/>
      <c r="R383" s="571"/>
      <c r="S383" s="571"/>
      <c r="T383" s="571"/>
      <c r="U383" s="571"/>
      <c r="V383" s="572"/>
      <c r="W383" s="37" t="s">
        <v>70</v>
      </c>
      <c r="X383" s="561">
        <f>IFERROR(SUM(X380:X381),"0")</f>
        <v>20</v>
      </c>
      <c r="Y383" s="561">
        <f>IFERROR(SUM(Y380:Y381),"0")</f>
        <v>27</v>
      </c>
      <c r="Z383" s="37"/>
      <c r="AA383" s="562"/>
      <c r="AB383" s="562"/>
      <c r="AC383" s="562"/>
    </row>
    <row r="384" spans="1:68" ht="14.25" customHeight="1" x14ac:dyDescent="0.25">
      <c r="A384" s="586" t="s">
        <v>172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3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4"/>
      <c r="P386" s="570" t="s">
        <v>72</v>
      </c>
      <c r="Q386" s="571"/>
      <c r="R386" s="571"/>
      <c r="S386" s="571"/>
      <c r="T386" s="571"/>
      <c r="U386" s="571"/>
      <c r="V386" s="572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4"/>
      <c r="P387" s="570" t="s">
        <v>72</v>
      </c>
      <c r="Q387" s="571"/>
      <c r="R387" s="571"/>
      <c r="S387" s="571"/>
      <c r="T387" s="571"/>
      <c r="U387" s="571"/>
      <c r="V387" s="572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17" t="s">
        <v>602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customHeight="1" x14ac:dyDescent="0.25">
      <c r="A389" s="585" t="s">
        <v>603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86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35</v>
      </c>
      <c r="Y396" s="560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3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4"/>
      <c r="P401" s="570" t="s">
        <v>72</v>
      </c>
      <c r="Q401" s="571"/>
      <c r="R401" s="571"/>
      <c r="S401" s="571"/>
      <c r="T401" s="571"/>
      <c r="U401" s="571"/>
      <c r="V401" s="572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33.333333333333329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0.17068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4"/>
      <c r="P402" s="570" t="s">
        <v>72</v>
      </c>
      <c r="Q402" s="571"/>
      <c r="R402" s="571"/>
      <c r="S402" s="571"/>
      <c r="T402" s="571"/>
      <c r="U402" s="571"/>
      <c r="V402" s="572"/>
      <c r="W402" s="37" t="s">
        <v>70</v>
      </c>
      <c r="X402" s="561">
        <f>IFERROR(SUM(X391:X400),"0")</f>
        <v>70</v>
      </c>
      <c r="Y402" s="561">
        <f>IFERROR(SUM(Y391:Y400),"0")</f>
        <v>71.400000000000006</v>
      </c>
      <c r="Z402" s="37"/>
      <c r="AA402" s="562"/>
      <c r="AB402" s="562"/>
      <c r="AC402" s="562"/>
    </row>
    <row r="403" spans="1:68" ht="14.25" customHeight="1" x14ac:dyDescent="0.25">
      <c r="A403" s="586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3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4"/>
      <c r="P406" s="570" t="s">
        <v>72</v>
      </c>
      <c r="Q406" s="571"/>
      <c r="R406" s="571"/>
      <c r="S406" s="571"/>
      <c r="T406" s="571"/>
      <c r="U406" s="571"/>
      <c r="V406" s="572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4"/>
      <c r="P407" s="570" t="s">
        <v>72</v>
      </c>
      <c r="Q407" s="571"/>
      <c r="R407" s="571"/>
      <c r="S407" s="571"/>
      <c r="T407" s="571"/>
      <c r="U407" s="571"/>
      <c r="V407" s="572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5" t="s">
        <v>635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86" t="s">
        <v>137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6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3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4"/>
      <c r="P411" s="570" t="s">
        <v>72</v>
      </c>
      <c r="Q411" s="571"/>
      <c r="R411" s="571"/>
      <c r="S411" s="571"/>
      <c r="T411" s="571"/>
      <c r="U411" s="571"/>
      <c r="V411" s="572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4"/>
      <c r="P412" s="570" t="s">
        <v>72</v>
      </c>
      <c r="Q412" s="571"/>
      <c r="R412" s="571"/>
      <c r="S412" s="571"/>
      <c r="T412" s="571"/>
      <c r="U412" s="571"/>
      <c r="V412" s="572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6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10.5</v>
      </c>
      <c r="Y417" s="560">
        <f>IFERROR(IF(X417="",0,CEILING((X417/$H417),1)*$H417),"")</f>
        <v>10.5</v>
      </c>
      <c r="Z417" s="36">
        <f>IFERROR(IF(Y417=0,"",ROUNDUP(Y417/H417,0)*0.00502),"")</f>
        <v>2.5100000000000001E-2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11.149999999999999</v>
      </c>
      <c r="BN417" s="64">
        <f>IFERROR(Y417*I417/H417,"0")</f>
        <v>11.149999999999999</v>
      </c>
      <c r="BO417" s="64">
        <f>IFERROR(1/J417*(X417/H417),"0")</f>
        <v>2.1367521367521368E-2</v>
      </c>
      <c r="BP417" s="64">
        <f>IFERROR(1/J417*(Y417/H417),"0")</f>
        <v>2.1367521367521368E-2</v>
      </c>
    </row>
    <row r="418" spans="1:68" x14ac:dyDescent="0.2">
      <c r="A418" s="583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4"/>
      <c r="P418" s="570" t="s">
        <v>72</v>
      </c>
      <c r="Q418" s="571"/>
      <c r="R418" s="571"/>
      <c r="S418" s="571"/>
      <c r="T418" s="571"/>
      <c r="U418" s="571"/>
      <c r="V418" s="572"/>
      <c r="W418" s="37" t="s">
        <v>73</v>
      </c>
      <c r="X418" s="561">
        <f>IFERROR(X414/H414,"0")+IFERROR(X415/H415,"0")+IFERROR(X416/H416,"0")+IFERROR(X417/H417,"0")</f>
        <v>5</v>
      </c>
      <c r="Y418" s="561">
        <f>IFERROR(Y414/H414,"0")+IFERROR(Y415/H415,"0")+IFERROR(Y416/H416,"0")+IFERROR(Y417/H417,"0")</f>
        <v>5</v>
      </c>
      <c r="Z418" s="561">
        <f>IFERROR(IF(Z414="",0,Z414),"0")+IFERROR(IF(Z415="",0,Z415),"0")+IFERROR(IF(Z416="",0,Z416),"0")+IFERROR(IF(Z417="",0,Z417),"0")</f>
        <v>2.5100000000000001E-2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4"/>
      <c r="P419" s="570" t="s">
        <v>72</v>
      </c>
      <c r="Q419" s="571"/>
      <c r="R419" s="571"/>
      <c r="S419" s="571"/>
      <c r="T419" s="571"/>
      <c r="U419" s="571"/>
      <c r="V419" s="572"/>
      <c r="W419" s="37" t="s">
        <v>70</v>
      </c>
      <c r="X419" s="561">
        <f>IFERROR(SUM(X414:X417),"0")</f>
        <v>10.5</v>
      </c>
      <c r="Y419" s="561">
        <f>IFERROR(SUM(Y414:Y417),"0")</f>
        <v>10.5</v>
      </c>
      <c r="Z419" s="37"/>
      <c r="AA419" s="562"/>
      <c r="AB419" s="562"/>
      <c r="AC419" s="562"/>
    </row>
    <row r="420" spans="1:68" ht="16.5" customHeight="1" x14ac:dyDescent="0.25">
      <c r="A420" s="585" t="s">
        <v>650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86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8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40</v>
      </c>
      <c r="Y422" s="560">
        <f>IFERROR(IF(X422="",0,CEILING((X422/$H422),1)*$H422),"")</f>
        <v>40.799999999999997</v>
      </c>
      <c r="Z422" s="36">
        <f>IFERROR(IF(Y422=0,"",ROUNDUP(Y422/H422,0)*0.00651),"")</f>
        <v>0.22134000000000001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70</v>
      </c>
      <c r="BN422" s="64">
        <f>IFERROR(Y422*I422/H422,"0")</f>
        <v>71.399999999999991</v>
      </c>
      <c r="BO422" s="64">
        <f>IFERROR(1/J422*(X422/H422),"0")</f>
        <v>0.18315018315018317</v>
      </c>
      <c r="BP422" s="64">
        <f>IFERROR(1/J422*(Y422/H422),"0")</f>
        <v>0.18681318681318682</v>
      </c>
    </row>
    <row r="423" spans="1:68" x14ac:dyDescent="0.2">
      <c r="A423" s="583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4"/>
      <c r="P423" s="570" t="s">
        <v>72</v>
      </c>
      <c r="Q423" s="571"/>
      <c r="R423" s="571"/>
      <c r="S423" s="571"/>
      <c r="T423" s="571"/>
      <c r="U423" s="571"/>
      <c r="V423" s="572"/>
      <c r="W423" s="37" t="s">
        <v>73</v>
      </c>
      <c r="X423" s="561">
        <f>IFERROR(X422/H422,"0")</f>
        <v>33.333333333333336</v>
      </c>
      <c r="Y423" s="561">
        <f>IFERROR(Y422/H422,"0")</f>
        <v>34</v>
      </c>
      <c r="Z423" s="561">
        <f>IFERROR(IF(Z422="",0,Z422),"0")</f>
        <v>0.22134000000000001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4"/>
      <c r="P424" s="570" t="s">
        <v>72</v>
      </c>
      <c r="Q424" s="571"/>
      <c r="R424" s="571"/>
      <c r="S424" s="571"/>
      <c r="T424" s="571"/>
      <c r="U424" s="571"/>
      <c r="V424" s="572"/>
      <c r="W424" s="37" t="s">
        <v>70</v>
      </c>
      <c r="X424" s="561">
        <f>IFERROR(SUM(X422:X422),"0")</f>
        <v>40</v>
      </c>
      <c r="Y424" s="561">
        <f>IFERROR(SUM(Y422:Y422),"0")</f>
        <v>40.799999999999997</v>
      </c>
      <c r="Z424" s="37"/>
      <c r="AA424" s="562"/>
      <c r="AB424" s="562"/>
      <c r="AC424" s="562"/>
    </row>
    <row r="425" spans="1:68" ht="16.5" customHeight="1" x14ac:dyDescent="0.25">
      <c r="A425" s="585" t="s">
        <v>654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86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3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4"/>
      <c r="P428" s="570" t="s">
        <v>72</v>
      </c>
      <c r="Q428" s="571"/>
      <c r="R428" s="571"/>
      <c r="S428" s="571"/>
      <c r="T428" s="571"/>
      <c r="U428" s="571"/>
      <c r="V428" s="572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4"/>
      <c r="P429" s="570" t="s">
        <v>72</v>
      </c>
      <c r="Q429" s="571"/>
      <c r="R429" s="571"/>
      <c r="S429" s="571"/>
      <c r="T429" s="571"/>
      <c r="U429" s="571"/>
      <c r="V429" s="572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17" t="s">
        <v>658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customHeight="1" x14ac:dyDescent="0.25">
      <c r="A431" s="585" t="s">
        <v>658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86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150</v>
      </c>
      <c r="Y438" s="560">
        <f t="shared" si="58"/>
        <v>153.12</v>
      </c>
      <c r="Z438" s="36">
        <f t="shared" si="59"/>
        <v>0.34683999999999998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160.22727272727272</v>
      </c>
      <c r="BN438" s="64">
        <f t="shared" si="61"/>
        <v>163.56</v>
      </c>
      <c r="BO438" s="64">
        <f t="shared" si="62"/>
        <v>0.27316433566433568</v>
      </c>
      <c r="BP438" s="64">
        <f t="shared" si="63"/>
        <v>0.27884615384615385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60</v>
      </c>
      <c r="Y441" s="560">
        <f t="shared" si="58"/>
        <v>62.4</v>
      </c>
      <c r="Z441" s="36">
        <f>IFERROR(IF(Y441=0,"",ROUNDUP(Y441/H441,0)*0.00902),"")</f>
        <v>0.11726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86.625</v>
      </c>
      <c r="BN441" s="64">
        <f t="shared" si="61"/>
        <v>90.089999999999989</v>
      </c>
      <c r="BO441" s="64">
        <f t="shared" si="62"/>
        <v>9.4696969696969696E-2</v>
      </c>
      <c r="BP441" s="64">
        <f t="shared" si="63"/>
        <v>9.8484848484848481E-2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102</v>
      </c>
      <c r="Y445" s="560">
        <f t="shared" si="58"/>
        <v>104.4</v>
      </c>
      <c r="Z445" s="36">
        <f>IFERROR(IF(Y445=0,"",ROUNDUP(Y445/H445,0)*0.00902),"")</f>
        <v>0.26158000000000003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107.95</v>
      </c>
      <c r="BN445" s="64">
        <f t="shared" si="61"/>
        <v>110.49</v>
      </c>
      <c r="BO445" s="64">
        <f t="shared" si="62"/>
        <v>0.21464646464646464</v>
      </c>
      <c r="BP445" s="64">
        <f t="shared" si="63"/>
        <v>0.2196969696969697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3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4"/>
      <c r="P447" s="570" t="s">
        <v>72</v>
      </c>
      <c r="Q447" s="571"/>
      <c r="R447" s="571"/>
      <c r="S447" s="571"/>
      <c r="T447" s="571"/>
      <c r="U447" s="571"/>
      <c r="V447" s="572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88.181818181818173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0.95291999999999999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4"/>
      <c r="P448" s="570" t="s">
        <v>72</v>
      </c>
      <c r="Q448" s="571"/>
      <c r="R448" s="571"/>
      <c r="S448" s="571"/>
      <c r="T448" s="571"/>
      <c r="U448" s="571"/>
      <c r="V448" s="572"/>
      <c r="W448" s="37" t="s">
        <v>70</v>
      </c>
      <c r="X448" s="561">
        <f>IFERROR(SUM(X433:X446),"0")</f>
        <v>412</v>
      </c>
      <c r="Y448" s="561">
        <f>IFERROR(SUM(Y433:Y446),"0")</f>
        <v>420.24</v>
      </c>
      <c r="Z448" s="37"/>
      <c r="AA448" s="562"/>
      <c r="AB448" s="562"/>
      <c r="AC448" s="562"/>
    </row>
    <row r="449" spans="1:68" ht="14.25" customHeight="1" x14ac:dyDescent="0.25">
      <c r="A449" s="586" t="s">
        <v>137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3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4"/>
      <c r="P453" s="570" t="s">
        <v>72</v>
      </c>
      <c r="Q453" s="571"/>
      <c r="R453" s="571"/>
      <c r="S453" s="571"/>
      <c r="T453" s="571"/>
      <c r="U453" s="571"/>
      <c r="V453" s="572"/>
      <c r="W453" s="37" t="s">
        <v>73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4"/>
      <c r="P454" s="570" t="s">
        <v>72</v>
      </c>
      <c r="Q454" s="571"/>
      <c r="R454" s="571"/>
      <c r="S454" s="571"/>
      <c r="T454" s="571"/>
      <c r="U454" s="571"/>
      <c r="V454" s="572"/>
      <c r="W454" s="37" t="s">
        <v>70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customHeight="1" x14ac:dyDescent="0.25">
      <c r="A455" s="586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30</v>
      </c>
      <c r="Y460" s="560">
        <f t="shared" si="64"/>
        <v>33.6</v>
      </c>
      <c r="Z460" s="36">
        <f>IFERROR(IF(Y460=0,"",ROUNDUP(Y460/H460,0)*0.00902),"")</f>
        <v>6.3140000000000002E-2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43.3125</v>
      </c>
      <c r="BN460" s="64">
        <f t="shared" si="66"/>
        <v>48.510000000000005</v>
      </c>
      <c r="BO460" s="64">
        <f t="shared" si="67"/>
        <v>4.7348484848484848E-2</v>
      </c>
      <c r="BP460" s="64">
        <f t="shared" si="68"/>
        <v>5.3030303030303039E-2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18</v>
      </c>
      <c r="Y462" s="560">
        <f t="shared" si="64"/>
        <v>19.2</v>
      </c>
      <c r="Z462" s="36">
        <f>IFERROR(IF(Y462=0,"",ROUNDUP(Y462/H462,0)*0.00902),"")</f>
        <v>3.6080000000000001E-2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25.087500000000002</v>
      </c>
      <c r="BN462" s="64">
        <f t="shared" si="66"/>
        <v>26.76</v>
      </c>
      <c r="BO462" s="64">
        <f t="shared" si="67"/>
        <v>2.8409090909090912E-2</v>
      </c>
      <c r="BP462" s="64">
        <f t="shared" si="68"/>
        <v>3.0303030303030304E-2</v>
      </c>
    </row>
    <row r="463" spans="1:68" x14ac:dyDescent="0.2">
      <c r="A463" s="583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4"/>
      <c r="P463" s="570" t="s">
        <v>72</v>
      </c>
      <c r="Q463" s="571"/>
      <c r="R463" s="571"/>
      <c r="S463" s="571"/>
      <c r="T463" s="571"/>
      <c r="U463" s="571"/>
      <c r="V463" s="572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13.75</v>
      </c>
      <c r="Y463" s="561">
        <f>IFERROR(Y456/H456,"0")+IFERROR(Y457/H457,"0")+IFERROR(Y458/H458,"0")+IFERROR(Y459/H459,"0")+IFERROR(Y460/H460,"0")+IFERROR(Y461/H461,"0")+IFERROR(Y462/H462,"0")</f>
        <v>15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0.1353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4"/>
      <c r="P464" s="570" t="s">
        <v>72</v>
      </c>
      <c r="Q464" s="571"/>
      <c r="R464" s="571"/>
      <c r="S464" s="571"/>
      <c r="T464" s="571"/>
      <c r="U464" s="571"/>
      <c r="V464" s="572"/>
      <c r="W464" s="37" t="s">
        <v>70</v>
      </c>
      <c r="X464" s="561">
        <f>IFERROR(SUM(X456:X462),"0")</f>
        <v>66</v>
      </c>
      <c r="Y464" s="561">
        <f>IFERROR(SUM(Y456:Y462),"0")</f>
        <v>72</v>
      </c>
      <c r="Z464" s="37"/>
      <c r="AA464" s="562"/>
      <c r="AB464" s="562"/>
      <c r="AC464" s="562"/>
    </row>
    <row r="465" spans="1:68" ht="14.25" customHeight="1" x14ac:dyDescent="0.25">
      <c r="A465" s="586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3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4"/>
      <c r="P469" s="570" t="s">
        <v>72</v>
      </c>
      <c r="Q469" s="571"/>
      <c r="R469" s="571"/>
      <c r="S469" s="571"/>
      <c r="T469" s="571"/>
      <c r="U469" s="571"/>
      <c r="V469" s="572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4"/>
      <c r="P470" s="570" t="s">
        <v>72</v>
      </c>
      <c r="Q470" s="571"/>
      <c r="R470" s="571"/>
      <c r="S470" s="571"/>
      <c r="T470" s="571"/>
      <c r="U470" s="571"/>
      <c r="V470" s="572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17" t="s">
        <v>727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customHeight="1" x14ac:dyDescent="0.25">
      <c r="A472" s="585" t="s">
        <v>727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86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30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5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7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3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4"/>
      <c r="P478" s="570" t="s">
        <v>72</v>
      </c>
      <c r="Q478" s="571"/>
      <c r="R478" s="571"/>
      <c r="S478" s="571"/>
      <c r="T478" s="571"/>
      <c r="U478" s="571"/>
      <c r="V478" s="572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4"/>
      <c r="P479" s="570" t="s">
        <v>72</v>
      </c>
      <c r="Q479" s="571"/>
      <c r="R479" s="571"/>
      <c r="S479" s="571"/>
      <c r="T479" s="571"/>
      <c r="U479" s="571"/>
      <c r="V479" s="572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86" t="s">
        <v>137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6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9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59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3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4"/>
      <c r="P484" s="570" t="s">
        <v>72</v>
      </c>
      <c r="Q484" s="571"/>
      <c r="R484" s="571"/>
      <c r="S484" s="571"/>
      <c r="T484" s="571"/>
      <c r="U484" s="571"/>
      <c r="V484" s="572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4"/>
      <c r="P485" s="570" t="s">
        <v>72</v>
      </c>
      <c r="Q485" s="571"/>
      <c r="R485" s="571"/>
      <c r="S485" s="571"/>
      <c r="T485" s="571"/>
      <c r="U485" s="571"/>
      <c r="V485" s="572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6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1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69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3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4"/>
      <c r="P489" s="570" t="s">
        <v>72</v>
      </c>
      <c r="Q489" s="571"/>
      <c r="R489" s="571"/>
      <c r="S489" s="571"/>
      <c r="T489" s="571"/>
      <c r="U489" s="571"/>
      <c r="V489" s="572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4"/>
      <c r="P490" s="570" t="s">
        <v>72</v>
      </c>
      <c r="Q490" s="571"/>
      <c r="R490" s="571"/>
      <c r="S490" s="571"/>
      <c r="T490" s="571"/>
      <c r="U490" s="571"/>
      <c r="V490" s="572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86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4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800</v>
      </c>
      <c r="Y492" s="560">
        <f>IFERROR(IF(X492="",0,CEILING((X492/$H492),1)*$H492),"")</f>
        <v>801</v>
      </c>
      <c r="Z492" s="36">
        <f>IFERROR(IF(Y492=0,"",ROUNDUP(Y492/H492,0)*0.01898),"")</f>
        <v>1.6892199999999999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846.13333333333333</v>
      </c>
      <c r="BN492" s="64">
        <f>IFERROR(Y492*I492/H492,"0")</f>
        <v>847.19100000000003</v>
      </c>
      <c r="BO492" s="64">
        <f>IFERROR(1/J492*(X492/H492),"0")</f>
        <v>1.3888888888888888</v>
      </c>
      <c r="BP492" s="64">
        <f>IFERROR(1/J492*(Y492/H492),"0")</f>
        <v>1.390625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38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3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4"/>
      <c r="P494" s="570" t="s">
        <v>72</v>
      </c>
      <c r="Q494" s="571"/>
      <c r="R494" s="571"/>
      <c r="S494" s="571"/>
      <c r="T494" s="571"/>
      <c r="U494" s="571"/>
      <c r="V494" s="572"/>
      <c r="W494" s="37" t="s">
        <v>73</v>
      </c>
      <c r="X494" s="561">
        <f>IFERROR(X492/H492,"0")+IFERROR(X493/H493,"0")</f>
        <v>88.888888888888886</v>
      </c>
      <c r="Y494" s="561">
        <f>IFERROR(Y492/H492,"0")+IFERROR(Y493/H493,"0")</f>
        <v>89</v>
      </c>
      <c r="Z494" s="561">
        <f>IFERROR(IF(Z492="",0,Z492),"0")+IFERROR(IF(Z493="",0,Z493),"0")</f>
        <v>1.6892199999999999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4"/>
      <c r="P495" s="570" t="s">
        <v>72</v>
      </c>
      <c r="Q495" s="571"/>
      <c r="R495" s="571"/>
      <c r="S495" s="571"/>
      <c r="T495" s="571"/>
      <c r="U495" s="571"/>
      <c r="V495" s="572"/>
      <c r="W495" s="37" t="s">
        <v>70</v>
      </c>
      <c r="X495" s="561">
        <f>IFERROR(SUM(X492:X493),"0")</f>
        <v>800</v>
      </c>
      <c r="Y495" s="561">
        <f>IFERROR(SUM(Y492:Y493),"0")</f>
        <v>801</v>
      </c>
      <c r="Z495" s="37"/>
      <c r="AA495" s="562"/>
      <c r="AB495" s="562"/>
      <c r="AC495" s="562"/>
    </row>
    <row r="496" spans="1:68" ht="14.25" customHeight="1" x14ac:dyDescent="0.25">
      <c r="A496" s="586" t="s">
        <v>172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598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37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3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4"/>
      <c r="P499" s="570" t="s">
        <v>72</v>
      </c>
      <c r="Q499" s="571"/>
      <c r="R499" s="571"/>
      <c r="S499" s="571"/>
      <c r="T499" s="571"/>
      <c r="U499" s="571"/>
      <c r="V499" s="572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4"/>
      <c r="P500" s="570" t="s">
        <v>72</v>
      </c>
      <c r="Q500" s="571"/>
      <c r="R500" s="571"/>
      <c r="S500" s="571"/>
      <c r="T500" s="571"/>
      <c r="U500" s="571"/>
      <c r="V500" s="572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5" t="s">
        <v>778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86" t="s">
        <v>137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7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3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4"/>
      <c r="P504" s="570" t="s">
        <v>72</v>
      </c>
      <c r="Q504" s="571"/>
      <c r="R504" s="571"/>
      <c r="S504" s="571"/>
      <c r="T504" s="571"/>
      <c r="U504" s="571"/>
      <c r="V504" s="572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4"/>
      <c r="P505" s="570" t="s">
        <v>72</v>
      </c>
      <c r="Q505" s="571"/>
      <c r="R505" s="571"/>
      <c r="S505" s="571"/>
      <c r="T505" s="571"/>
      <c r="U505" s="571"/>
      <c r="V505" s="572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55" t="s">
        <v>783</v>
      </c>
      <c r="Q506" s="656"/>
      <c r="R506" s="656"/>
      <c r="S506" s="656"/>
      <c r="T506" s="656"/>
      <c r="U506" s="656"/>
      <c r="V506" s="620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16018.3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16197.73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55" t="s">
        <v>784</v>
      </c>
      <c r="Q507" s="656"/>
      <c r="R507" s="656"/>
      <c r="S507" s="656"/>
      <c r="T507" s="656"/>
      <c r="U507" s="656"/>
      <c r="V507" s="620"/>
      <c r="W507" s="37" t="s">
        <v>70</v>
      </c>
      <c r="X507" s="561">
        <f>IFERROR(SUM(BM22:BM503),"0")</f>
        <v>17053.530316107895</v>
      </c>
      <c r="Y507" s="561">
        <f>IFERROR(SUM(BN22:BN503),"0")</f>
        <v>17246.763999999999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55" t="s">
        <v>785</v>
      </c>
      <c r="Q508" s="656"/>
      <c r="R508" s="656"/>
      <c r="S508" s="656"/>
      <c r="T508" s="656"/>
      <c r="U508" s="656"/>
      <c r="V508" s="620"/>
      <c r="W508" s="37" t="s">
        <v>786</v>
      </c>
      <c r="X508" s="38">
        <f>ROUNDUP(SUM(BO22:BO503),0)</f>
        <v>29</v>
      </c>
      <c r="Y508" s="38">
        <f>ROUNDUP(SUM(BP22:BP503),0)</f>
        <v>30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55" t="s">
        <v>787</v>
      </c>
      <c r="Q509" s="656"/>
      <c r="R509" s="656"/>
      <c r="S509" s="656"/>
      <c r="T509" s="656"/>
      <c r="U509" s="656"/>
      <c r="V509" s="620"/>
      <c r="W509" s="37" t="s">
        <v>70</v>
      </c>
      <c r="X509" s="561">
        <f>GrossWeightTotal+PalletQtyTotal*25</f>
        <v>17778.530316107895</v>
      </c>
      <c r="Y509" s="561">
        <f>GrossWeightTotalR+PalletQtyTotalR*25</f>
        <v>17996.763999999999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55" t="s">
        <v>788</v>
      </c>
      <c r="Q510" s="656"/>
      <c r="R510" s="656"/>
      <c r="S510" s="656"/>
      <c r="T510" s="656"/>
      <c r="U510" s="656"/>
      <c r="V510" s="620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3473.7844856293132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3506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55" t="s">
        <v>789</v>
      </c>
      <c r="Q511" s="656"/>
      <c r="R511" s="656"/>
      <c r="S511" s="656"/>
      <c r="T511" s="656"/>
      <c r="U511" s="656"/>
      <c r="V511" s="620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34.00817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68" t="s">
        <v>101</v>
      </c>
      <c r="D513" s="650"/>
      <c r="E513" s="650"/>
      <c r="F513" s="650"/>
      <c r="G513" s="650"/>
      <c r="H513" s="628"/>
      <c r="I513" s="568" t="s">
        <v>258</v>
      </c>
      <c r="J513" s="650"/>
      <c r="K513" s="650"/>
      <c r="L513" s="650"/>
      <c r="M513" s="650"/>
      <c r="N513" s="650"/>
      <c r="O513" s="650"/>
      <c r="P513" s="650"/>
      <c r="Q513" s="650"/>
      <c r="R513" s="650"/>
      <c r="S513" s="628"/>
      <c r="T513" s="568" t="s">
        <v>545</v>
      </c>
      <c r="U513" s="628"/>
      <c r="V513" s="568" t="s">
        <v>602</v>
      </c>
      <c r="W513" s="650"/>
      <c r="X513" s="650"/>
      <c r="Y513" s="628"/>
      <c r="Z513" s="556" t="s">
        <v>658</v>
      </c>
      <c r="AA513" s="568" t="s">
        <v>727</v>
      </c>
      <c r="AB513" s="628"/>
      <c r="AC513" s="52"/>
      <c r="AF513" s="557"/>
    </row>
    <row r="514" spans="1:32" ht="14.25" customHeight="1" thickTop="1" x14ac:dyDescent="0.2">
      <c r="A514" s="744" t="s">
        <v>792</v>
      </c>
      <c r="B514" s="568" t="s">
        <v>63</v>
      </c>
      <c r="C514" s="568" t="s">
        <v>102</v>
      </c>
      <c r="D514" s="568" t="s">
        <v>119</v>
      </c>
      <c r="E514" s="568" t="s">
        <v>179</v>
      </c>
      <c r="F514" s="568" t="s">
        <v>201</v>
      </c>
      <c r="G514" s="568" t="s">
        <v>234</v>
      </c>
      <c r="H514" s="568" t="s">
        <v>101</v>
      </c>
      <c r="I514" s="568" t="s">
        <v>259</v>
      </c>
      <c r="J514" s="568" t="s">
        <v>299</v>
      </c>
      <c r="K514" s="568" t="s">
        <v>360</v>
      </c>
      <c r="L514" s="568" t="s">
        <v>400</v>
      </c>
      <c r="M514" s="568" t="s">
        <v>416</v>
      </c>
      <c r="N514" s="557"/>
      <c r="O514" s="568" t="s">
        <v>429</v>
      </c>
      <c r="P514" s="568" t="s">
        <v>439</v>
      </c>
      <c r="Q514" s="568" t="s">
        <v>446</v>
      </c>
      <c r="R514" s="568" t="s">
        <v>451</v>
      </c>
      <c r="S514" s="568" t="s">
        <v>535</v>
      </c>
      <c r="T514" s="568" t="s">
        <v>546</v>
      </c>
      <c r="U514" s="568" t="s">
        <v>580</v>
      </c>
      <c r="V514" s="568" t="s">
        <v>603</v>
      </c>
      <c r="W514" s="568" t="s">
        <v>635</v>
      </c>
      <c r="X514" s="568" t="s">
        <v>650</v>
      </c>
      <c r="Y514" s="568" t="s">
        <v>654</v>
      </c>
      <c r="Z514" s="568" t="s">
        <v>658</v>
      </c>
      <c r="AA514" s="568" t="s">
        <v>727</v>
      </c>
      <c r="AB514" s="568" t="s">
        <v>778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428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863.4</v>
      </c>
      <c r="E516" s="46">
        <f>IFERROR(Y89*1,"0")+IFERROR(Y90*1,"0")+IFERROR(Y91*1,"0")+IFERROR(Y95*1,"0")+IFERROR(Y96*1,"0")+IFERROR(Y97*1,"0")+IFERROR(Y98*1,"0")+IFERROR(Y99*1,"0")</f>
        <v>1530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2062.8000000000002</v>
      </c>
      <c r="G516" s="46">
        <f>IFERROR(Y130*1,"0")+IFERROR(Y131*1,"0")+IFERROR(Y135*1,"0")+IFERROR(Y136*1,"0")+IFERROR(Y140*1,"0")+IFERROR(Y141*1,"0")</f>
        <v>154.07999999999998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406.79999999999995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2252.7000000000003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141.57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160.79999999999998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674.1</v>
      </c>
      <c r="S516" s="46">
        <f>IFERROR(Y336*1,"0")+IFERROR(Y337*1,"0")+IFERROR(Y338*1,"0")</f>
        <v>1052.0999999999999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4871</v>
      </c>
      <c r="U516" s="46">
        <f>IFERROR(Y369*1,"0")+IFERROR(Y370*1,"0")+IFERROR(Y371*1,"0")+IFERROR(Y372*1,"0")+IFERROR(Y376*1,"0")+IFERROR(Y380*1,"0")+IFERROR(Y381*1,"0")+IFERROR(Y385*1,"0")</f>
        <v>63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71.400000000000006</v>
      </c>
      <c r="W516" s="46">
        <f>IFERROR(Y410*1,"0")+IFERROR(Y414*1,"0")+IFERROR(Y415*1,"0")+IFERROR(Y416*1,"0")+IFERROR(Y417*1,"0")</f>
        <v>10.5</v>
      </c>
      <c r="X516" s="46">
        <f>IFERROR(Y422*1,"0")</f>
        <v>40.799999999999997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613.68000000000018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801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