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86609C5A-C661-416A-B7E5-62C59EEF94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5" i="1" l="1"/>
  <c r="X494" i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Y468" i="1" s="1"/>
  <c r="P464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2" i="1"/>
  <c r="Y421" i="1"/>
  <c r="X421" i="1"/>
  <c r="BP420" i="1"/>
  <c r="BO420" i="1"/>
  <c r="BN420" i="1"/>
  <c r="BM420" i="1"/>
  <c r="Z420" i="1"/>
  <c r="Z421" i="1" s="1"/>
  <c r="Y420" i="1"/>
  <c r="X505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Y374" i="1"/>
  <c r="BP373" i="1"/>
  <c r="BO373" i="1"/>
  <c r="BN373" i="1"/>
  <c r="BM373" i="1"/>
  <c r="Z373" i="1"/>
  <c r="Z375" i="1" s="1"/>
  <c r="Y373" i="1"/>
  <c r="Y376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5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Y89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5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5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499" i="1" s="1"/>
  <c r="BO22" i="1"/>
  <c r="X497" i="1" s="1"/>
  <c r="BM22" i="1"/>
  <c r="X496" i="1" s="1"/>
  <c r="X498" i="1" s="1"/>
  <c r="Y22" i="1"/>
  <c r="B505" i="1" s="1"/>
  <c r="P22" i="1"/>
  <c r="H10" i="1"/>
  <c r="A9" i="1"/>
  <c r="F10" i="1" s="1"/>
  <c r="D7" i="1"/>
  <c r="Q6" i="1"/>
  <c r="P2" i="1"/>
  <c r="Z188" i="1" l="1"/>
  <c r="H9" i="1"/>
  <c r="A10" i="1"/>
  <c r="Y24" i="1"/>
  <c r="Y32" i="1"/>
  <c r="Y36" i="1"/>
  <c r="Y44" i="1"/>
  <c r="Y48" i="1"/>
  <c r="Y57" i="1"/>
  <c r="Y63" i="1"/>
  <c r="Y69" i="1"/>
  <c r="Y77" i="1"/>
  <c r="Y83" i="1"/>
  <c r="BP88" i="1"/>
  <c r="BN88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5" i="1"/>
  <c r="Y143" i="1"/>
  <c r="BP141" i="1"/>
  <c r="BN141" i="1"/>
  <c r="Z141" i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Z173" i="1" s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89" i="1"/>
  <c r="BN289" i="1"/>
  <c r="Z289" i="1"/>
  <c r="Z293" i="1" s="1"/>
  <c r="Y293" i="1"/>
  <c r="Z303" i="1"/>
  <c r="BP297" i="1"/>
  <c r="BN297" i="1"/>
  <c r="Z297" i="1"/>
  <c r="Y303" i="1"/>
  <c r="BP301" i="1"/>
  <c r="BN301" i="1"/>
  <c r="Z301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414" i="1"/>
  <c r="BN414" i="1"/>
  <c r="Z414" i="1"/>
  <c r="E505" i="1"/>
  <c r="F9" i="1"/>
  <c r="J9" i="1"/>
  <c r="Z22" i="1"/>
  <c r="Z23" i="1" s="1"/>
  <c r="BN22" i="1"/>
  <c r="BP22" i="1"/>
  <c r="Y23" i="1"/>
  <c r="X495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Z81" i="1"/>
  <c r="Z82" i="1" s="1"/>
  <c r="BN81" i="1"/>
  <c r="Z86" i="1"/>
  <c r="Z89" i="1" s="1"/>
  <c r="BN86" i="1"/>
  <c r="BP86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BP208" i="1"/>
  <c r="BN208" i="1"/>
  <c r="Z208" i="1"/>
  <c r="K505" i="1"/>
  <c r="Y230" i="1"/>
  <c r="BP220" i="1"/>
  <c r="BN220" i="1"/>
  <c r="Z220" i="1"/>
  <c r="Y231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BP309" i="1"/>
  <c r="BN309" i="1"/>
  <c r="Z309" i="1"/>
  <c r="BP335" i="1"/>
  <c r="BN335" i="1"/>
  <c r="Z335" i="1"/>
  <c r="Z337" i="1" s="1"/>
  <c r="Y337" i="1"/>
  <c r="Z380" i="1"/>
  <c r="F505" i="1"/>
  <c r="Y104" i="1"/>
  <c r="G505" i="1"/>
  <c r="Y127" i="1"/>
  <c r="Y211" i="1"/>
  <c r="BP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5" i="1"/>
  <c r="Y255" i="1"/>
  <c r="BP250" i="1"/>
  <c r="BN250" i="1"/>
  <c r="Z250" i="1"/>
  <c r="Z255" i="1" s="1"/>
  <c r="BP254" i="1"/>
  <c r="BN254" i="1"/>
  <c r="Z254" i="1"/>
  <c r="Y256" i="1"/>
  <c r="Y264" i="1"/>
  <c r="BP259" i="1"/>
  <c r="BN259" i="1"/>
  <c r="Z259" i="1"/>
  <c r="Z263" i="1" s="1"/>
  <c r="Y263" i="1"/>
  <c r="Z270" i="1"/>
  <c r="BP268" i="1"/>
  <c r="BN268" i="1"/>
  <c r="Z268" i="1"/>
  <c r="R505" i="1"/>
  <c r="BP291" i="1"/>
  <c r="BN291" i="1"/>
  <c r="Z291" i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Z317" i="1" s="1"/>
  <c r="Y325" i="1"/>
  <c r="Z330" i="1"/>
  <c r="BP328" i="1"/>
  <c r="BN328" i="1"/>
  <c r="Z328" i="1"/>
  <c r="BP343" i="1"/>
  <c r="BN343" i="1"/>
  <c r="Z343" i="1"/>
  <c r="BP347" i="1"/>
  <c r="BN347" i="1"/>
  <c r="Z347" i="1"/>
  <c r="Z349" i="1" s="1"/>
  <c r="BP379" i="1"/>
  <c r="BN379" i="1"/>
  <c r="Z379" i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Z459" i="1" s="1"/>
  <c r="Y459" i="1"/>
  <c r="M505" i="1"/>
  <c r="O505" i="1"/>
  <c r="Y271" i="1"/>
  <c r="Y276" i="1"/>
  <c r="Y285" i="1"/>
  <c r="Y294" i="1"/>
  <c r="S505" i="1"/>
  <c r="Y338" i="1"/>
  <c r="T505" i="1"/>
  <c r="Y350" i="1"/>
  <c r="Y354" i="1"/>
  <c r="Z370" i="1"/>
  <c r="BP368" i="1"/>
  <c r="BN368" i="1"/>
  <c r="Z368" i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Z453" i="1" s="1"/>
  <c r="BP451" i="1"/>
  <c r="BN451" i="1"/>
  <c r="Z451" i="1"/>
  <c r="Y460" i="1"/>
  <c r="BP465" i="1"/>
  <c r="BN465" i="1"/>
  <c r="Z465" i="1"/>
  <c r="Z468" i="1" s="1"/>
  <c r="BP472" i="1"/>
  <c r="BN472" i="1"/>
  <c r="Z472" i="1"/>
  <c r="Y479" i="1"/>
  <c r="Y494" i="1"/>
  <c r="Z474" i="1" l="1"/>
  <c r="Z438" i="1"/>
  <c r="Y497" i="1"/>
  <c r="Z199" i="1"/>
  <c r="Z444" i="1"/>
  <c r="Z399" i="1"/>
  <c r="Z246" i="1"/>
  <c r="Z230" i="1"/>
  <c r="Z43" i="1"/>
  <c r="Z500" i="1" s="1"/>
  <c r="Z31" i="1"/>
  <c r="Y499" i="1"/>
  <c r="Y496" i="1"/>
  <c r="Y498" i="1" s="1"/>
  <c r="Z167" i="1"/>
  <c r="Z143" i="1"/>
  <c r="Z110" i="1"/>
  <c r="Y495" i="1"/>
</calcChain>
</file>

<file path=xl/sharedStrings.xml><?xml version="1.0" encoding="utf-8"?>
<sst xmlns="http://schemas.openxmlformats.org/spreadsheetml/2006/main" count="2312" uniqueCount="774">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</sst>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topLeftCell="A476" zoomScaleNormal="100" zoomScaleSheetLayoutView="100" workbookViewId="0">
      <selection activeCell="AA501" sqref="AA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4" t="s">
        <v>0</v>
      </c>
      <c r="E1" s="575"/>
      <c r="F1" s="575"/>
      <c r="G1" s="12" t="s">
        <v>1</v>
      </c>
      <c r="H1" s="624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0" t="s">
        <v>8</v>
      </c>
      <c r="B5" s="671"/>
      <c r="C5" s="672"/>
      <c r="D5" s="631"/>
      <c r="E5" s="632"/>
      <c r="F5" s="834" t="s">
        <v>9</v>
      </c>
      <c r="G5" s="672"/>
      <c r="H5" s="631"/>
      <c r="I5" s="777"/>
      <c r="J5" s="777"/>
      <c r="K5" s="777"/>
      <c r="L5" s="777"/>
      <c r="M5" s="632"/>
      <c r="N5" s="58"/>
      <c r="P5" s="24" t="s">
        <v>10</v>
      </c>
      <c r="Q5" s="850">
        <v>45950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9" customFormat="1" ht="24" customHeight="1" x14ac:dyDescent="0.2">
      <c r="A6" s="670" t="s">
        <v>13</v>
      </c>
      <c r="B6" s="671"/>
      <c r="C6" s="672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9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5" t="s">
        <v>16</v>
      </c>
      <c r="U6" s="709"/>
      <c r="V6" s="760" t="s">
        <v>17</v>
      </c>
      <c r="W6" s="627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64"/>
      <c r="U7" s="709"/>
      <c r="V7" s="761"/>
      <c r="W7" s="762"/>
      <c r="AB7" s="51"/>
      <c r="AC7" s="51"/>
      <c r="AD7" s="51"/>
      <c r="AE7" s="51"/>
    </row>
    <row r="8" spans="1:32" s="539" customFormat="1" ht="25.5" customHeight="1" x14ac:dyDescent="0.2">
      <c r="A8" s="869" t="s">
        <v>18</v>
      </c>
      <c r="B8" s="561"/>
      <c r="C8" s="562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8">
        <v>0.375</v>
      </c>
      <c r="R8" s="606"/>
      <c r="T8" s="564"/>
      <c r="U8" s="709"/>
      <c r="V8" s="761"/>
      <c r="W8" s="762"/>
      <c r="AB8" s="51"/>
      <c r="AC8" s="51"/>
      <c r="AD8" s="51"/>
      <c r="AE8" s="51"/>
    </row>
    <row r="9" spans="1:32" s="539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87"/>
      <c r="E9" s="559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7"/>
      <c r="P9" s="26" t="s">
        <v>21</v>
      </c>
      <c r="Q9" s="665"/>
      <c r="R9" s="666"/>
      <c r="T9" s="564"/>
      <c r="U9" s="70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87"/>
      <c r="E10" s="559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53" t="str">
        <f>IFERROR(VLOOKUP($D$10,Proxy,2,FALSE),"")</f>
        <v/>
      </c>
      <c r="I10" s="564"/>
      <c r="J10" s="564"/>
      <c r="K10" s="564"/>
      <c r="L10" s="564"/>
      <c r="M10" s="564"/>
      <c r="N10" s="538"/>
      <c r="P10" s="26" t="s">
        <v>22</v>
      </c>
      <c r="Q10" s="716"/>
      <c r="R10" s="717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798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06"/>
      <c r="S12" s="23"/>
      <c r="U12" s="24"/>
      <c r="V12" s="575"/>
      <c r="W12" s="564"/>
      <c r="AB12" s="51"/>
      <c r="AC12" s="51"/>
      <c r="AD12" s="51"/>
      <c r="AE12" s="51"/>
    </row>
    <row r="13" spans="1:32" s="539" customFormat="1" ht="23.25" customHeight="1" x14ac:dyDescent="0.2">
      <c r="A13" s="706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8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0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6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36</v>
      </c>
      <c r="B17" s="586" t="s">
        <v>37</v>
      </c>
      <c r="C17" s="685" t="s">
        <v>38</v>
      </c>
      <c r="D17" s="586" t="s">
        <v>39</v>
      </c>
      <c r="E17" s="650"/>
      <c r="F17" s="586" t="s">
        <v>40</v>
      </c>
      <c r="G17" s="586" t="s">
        <v>41</v>
      </c>
      <c r="H17" s="586" t="s">
        <v>42</v>
      </c>
      <c r="I17" s="586" t="s">
        <v>43</v>
      </c>
      <c r="J17" s="586" t="s">
        <v>44</v>
      </c>
      <c r="K17" s="586" t="s">
        <v>45</v>
      </c>
      <c r="L17" s="586" t="s">
        <v>46</v>
      </c>
      <c r="M17" s="586" t="s">
        <v>47</v>
      </c>
      <c r="N17" s="586" t="s">
        <v>48</v>
      </c>
      <c r="O17" s="586" t="s">
        <v>49</v>
      </c>
      <c r="P17" s="586" t="s">
        <v>50</v>
      </c>
      <c r="Q17" s="649"/>
      <c r="R17" s="649"/>
      <c r="S17" s="649"/>
      <c r="T17" s="650"/>
      <c r="U17" s="868" t="s">
        <v>51</v>
      </c>
      <c r="V17" s="672"/>
      <c r="W17" s="586" t="s">
        <v>52</v>
      </c>
      <c r="X17" s="586" t="s">
        <v>53</v>
      </c>
      <c r="Y17" s="866" t="s">
        <v>54</v>
      </c>
      <c r="Z17" s="775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651"/>
      <c r="E18" s="65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87"/>
      <c r="X18" s="587"/>
      <c r="Y18" s="867"/>
      <c r="Z18" s="776"/>
      <c r="AA18" s="752"/>
      <c r="AB18" s="752"/>
      <c r="AC18" s="752"/>
      <c r="AD18" s="831"/>
      <c r="AE18" s="832"/>
      <c r="AF18" s="833"/>
      <c r="AG18" s="66"/>
      <c r="BD18" s="65"/>
    </row>
    <row r="19" spans="1:68" ht="27.75" customHeight="1" x14ac:dyDescent="0.2">
      <c r="A19" s="602" t="s">
        <v>63</v>
      </c>
      <c r="B19" s="603"/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3"/>
      <c r="Y19" s="603"/>
      <c r="Z19" s="603"/>
      <c r="AA19" s="48"/>
      <c r="AB19" s="48"/>
      <c r="AC19" s="48"/>
    </row>
    <row r="20" spans="1:68" ht="16.5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0"/>
      <c r="AB20" s="540"/>
      <c r="AC20" s="540"/>
    </row>
    <row r="21" spans="1:68" ht="14.25" customHeight="1" x14ac:dyDescent="0.25">
      <c r="A21" s="56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0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0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70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0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8" t="s">
        <v>91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0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0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2" t="s">
        <v>97</v>
      </c>
      <c r="B37" s="603"/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48"/>
      <c r="AB37" s="48"/>
      <c r="AC37" s="48"/>
    </row>
    <row r="38" spans="1:68" ht="16.5" customHeight="1" x14ac:dyDescent="0.25">
      <c r="A38" s="563" t="s">
        <v>98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0"/>
      <c r="AB38" s="540"/>
      <c r="AC38" s="540"/>
    </row>
    <row r="39" spans="1:68" ht="14.25" customHeight="1" x14ac:dyDescent="0.25">
      <c r="A39" s="568" t="s">
        <v>99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100</v>
      </c>
      <c r="Y40" s="546">
        <f>IFERROR(IF(X40="",0,CEILING((X40/$H40),1)*$H40),"")</f>
        <v>108</v>
      </c>
      <c r="Z40" s="36">
        <f>IFERROR(IF(Y40=0,"",ROUNDUP(Y40/H40,0)*0.01898),"")</f>
        <v>0.1898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104.02777777777777</v>
      </c>
      <c r="BN40" s="64">
        <f>IFERROR(Y40*I40/H40,"0")</f>
        <v>112.34999999999998</v>
      </c>
      <c r="BO40" s="64">
        <f>IFERROR(1/J40*(X40/H40),"0")</f>
        <v>0.14467592592592593</v>
      </c>
      <c r="BP40" s="64">
        <f>IFERROR(1/J40*(Y40/H40),"0")</f>
        <v>0.15625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240</v>
      </c>
      <c r="Y41" s="546">
        <f>IFERROR(IF(X41="",0,CEILING((X41/$H41),1)*$H41),"")</f>
        <v>240</v>
      </c>
      <c r="Z41" s="36">
        <f>IFERROR(IF(Y41=0,"",ROUNDUP(Y41/H41,0)*0.00902),"")</f>
        <v>0.54120000000000001</v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252.6</v>
      </c>
      <c r="BN41" s="64">
        <f>IFERROR(Y41*I41/H41,"0")</f>
        <v>252.6</v>
      </c>
      <c r="BO41" s="64">
        <f>IFERROR(1/J41*(X41/H41),"0")</f>
        <v>0.45454545454545459</v>
      </c>
      <c r="BP41" s="64">
        <f>IFERROR(1/J41*(Y41/H41),"0")</f>
        <v>0.45454545454545459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70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7">
        <f>IFERROR(X40/H40,"0")+IFERROR(X41/H41,"0")+IFERROR(X42/H42,"0")</f>
        <v>69.259259259259267</v>
      </c>
      <c r="Y43" s="547">
        <f>IFERROR(Y40/H40,"0")+IFERROR(Y41/H41,"0")+IFERROR(Y42/H42,"0")</f>
        <v>70</v>
      </c>
      <c r="Z43" s="547">
        <f>IFERROR(IF(Z40="",0,Z40),"0")+IFERROR(IF(Z41="",0,Z41),"0")+IFERROR(IF(Z42="",0,Z42),"0")</f>
        <v>0.73099999999999998</v>
      </c>
      <c r="AA43" s="548"/>
      <c r="AB43" s="548"/>
      <c r="AC43" s="548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0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7">
        <f>IFERROR(SUM(X40:X42),"0")</f>
        <v>340</v>
      </c>
      <c r="Y44" s="547">
        <f>IFERROR(SUM(Y40:Y42),"0")</f>
        <v>348</v>
      </c>
      <c r="Z44" s="37"/>
      <c r="AA44" s="548"/>
      <c r="AB44" s="548"/>
      <c r="AC44" s="548"/>
    </row>
    <row r="45" spans="1:68" ht="14.25" customHeight="1" x14ac:dyDescent="0.25">
      <c r="A45" s="568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1"/>
      <c r="AB45" s="541"/>
      <c r="AC45" s="541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70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0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3" t="s">
        <v>116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0"/>
      <c r="AB49" s="540"/>
      <c r="AC49" s="540"/>
    </row>
    <row r="50" spans="1:68" ht="14.25" customHeight="1" x14ac:dyDescent="0.25">
      <c r="A50" s="568" t="s">
        <v>99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1"/>
      <c r="AB50" s="541"/>
      <c r="AC50" s="541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320</v>
      </c>
      <c r="Y52" s="546">
        <f t="shared" si="0"/>
        <v>324</v>
      </c>
      <c r="Z52" s="36">
        <f>IFERROR(IF(Y52=0,"",ROUNDUP(Y52/H52,0)*0.01898),"")</f>
        <v>0.56940000000000002</v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332.88888888888886</v>
      </c>
      <c r="BN52" s="64">
        <f t="shared" si="2"/>
        <v>337.04999999999995</v>
      </c>
      <c r="BO52" s="64">
        <f t="shared" si="3"/>
        <v>0.46296296296296291</v>
      </c>
      <c r="BP52" s="64">
        <f t="shared" si="4"/>
        <v>0.46874999999999994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315</v>
      </c>
      <c r="Y56" s="546">
        <f t="shared" si="0"/>
        <v>315</v>
      </c>
      <c r="Z56" s="36">
        <f>IFERROR(IF(Y56=0,"",ROUNDUP(Y56/H56,0)*0.00902),"")</f>
        <v>0.63139999999999996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329.70000000000005</v>
      </c>
      <c r="BN56" s="64">
        <f t="shared" si="2"/>
        <v>329.70000000000005</v>
      </c>
      <c r="BO56" s="64">
        <f t="shared" si="3"/>
        <v>0.53030303030303028</v>
      </c>
      <c r="BP56" s="64">
        <f t="shared" si="4"/>
        <v>0.53030303030303028</v>
      </c>
    </row>
    <row r="57" spans="1:68" x14ac:dyDescent="0.2">
      <c r="A57" s="569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70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7">
        <f>IFERROR(X51/H51,"0")+IFERROR(X52/H52,"0")+IFERROR(X53/H53,"0")+IFERROR(X54/H54,"0")+IFERROR(X55/H55,"0")+IFERROR(X56/H56,"0")</f>
        <v>99.629629629629619</v>
      </c>
      <c r="Y57" s="547">
        <f>IFERROR(Y51/H51,"0")+IFERROR(Y52/H52,"0")+IFERROR(Y53/H53,"0")+IFERROR(Y54/H54,"0")+IFERROR(Y55/H55,"0")+IFERROR(Y56/H56,"0")</f>
        <v>100</v>
      </c>
      <c r="Z57" s="547">
        <f>IFERROR(IF(Z51="",0,Z51),"0")+IFERROR(IF(Z52="",0,Z52),"0")+IFERROR(IF(Z53="",0,Z53),"0")+IFERROR(IF(Z54="",0,Z54),"0")+IFERROR(IF(Z55="",0,Z55),"0")+IFERROR(IF(Z56="",0,Z56),"0")</f>
        <v>1.2008000000000001</v>
      </c>
      <c r="AA57" s="548"/>
      <c r="AB57" s="548"/>
      <c r="AC57" s="548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0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7">
        <f>IFERROR(SUM(X51:X56),"0")</f>
        <v>635</v>
      </c>
      <c r="Y58" s="547">
        <f>IFERROR(SUM(Y51:Y56),"0")</f>
        <v>639</v>
      </c>
      <c r="Z58" s="37"/>
      <c r="AA58" s="548"/>
      <c r="AB58" s="548"/>
      <c r="AC58" s="548"/>
    </row>
    <row r="59" spans="1:68" ht="14.25" customHeight="1" x14ac:dyDescent="0.25">
      <c r="A59" s="568" t="s">
        <v>135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150</v>
      </c>
      <c r="Y60" s="546">
        <f>IFERROR(IF(X60="",0,CEILING((X60/$H60),1)*$H60),"")</f>
        <v>151.20000000000002</v>
      </c>
      <c r="Z60" s="36">
        <f>IFERROR(IF(Y60=0,"",ROUNDUP(Y60/H60,0)*0.01898),"")</f>
        <v>0.26572000000000001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156.04166666666666</v>
      </c>
      <c r="BN60" s="64">
        <f>IFERROR(Y60*I60/H60,"0")</f>
        <v>157.29000000000002</v>
      </c>
      <c r="BO60" s="64">
        <f>IFERROR(1/J60*(X60/H60),"0")</f>
        <v>0.21701388888888887</v>
      </c>
      <c r="BP60" s="64">
        <f>IFERROR(1/J60*(Y60/H60),"0")</f>
        <v>0.21875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148.5</v>
      </c>
      <c r="Y62" s="546">
        <f>IFERROR(IF(X62="",0,CEILING((X62/$H62),1)*$H62),"")</f>
        <v>148.5</v>
      </c>
      <c r="Z62" s="36">
        <f>IFERROR(IF(Y62=0,"",ROUNDUP(Y62/H62,0)*0.00651),"")</f>
        <v>0.35805000000000003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158.4</v>
      </c>
      <c r="BN62" s="64">
        <f>IFERROR(Y62*I62/H62,"0")</f>
        <v>158.4</v>
      </c>
      <c r="BO62" s="64">
        <f>IFERROR(1/J62*(X62/H62),"0")</f>
        <v>0.30219780219780218</v>
      </c>
      <c r="BP62" s="64">
        <f>IFERROR(1/J62*(Y62/H62),"0")</f>
        <v>0.30219780219780218</v>
      </c>
    </row>
    <row r="63" spans="1:68" x14ac:dyDescent="0.2">
      <c r="A63" s="569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70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7">
        <f>IFERROR(X60/H60,"0")+IFERROR(X61/H61,"0")+IFERROR(X62/H62,"0")</f>
        <v>68.888888888888886</v>
      </c>
      <c r="Y63" s="547">
        <f>IFERROR(Y60/H60,"0")+IFERROR(Y61/H61,"0")+IFERROR(Y62/H62,"0")</f>
        <v>69</v>
      </c>
      <c r="Z63" s="547">
        <f>IFERROR(IF(Z60="",0,Z60),"0")+IFERROR(IF(Z61="",0,Z61),"0")+IFERROR(IF(Z62="",0,Z62),"0")</f>
        <v>0.62377000000000005</v>
      </c>
      <c r="AA63" s="548"/>
      <c r="AB63" s="548"/>
      <c r="AC63" s="548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70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7">
        <f>IFERROR(SUM(X60:X62),"0")</f>
        <v>298.5</v>
      </c>
      <c r="Y64" s="547">
        <f>IFERROR(SUM(Y60:Y62),"0")</f>
        <v>299.70000000000005</v>
      </c>
      <c r="Z64" s="37"/>
      <c r="AA64" s="548"/>
      <c r="AB64" s="548"/>
      <c r="AC64" s="548"/>
    </row>
    <row r="65" spans="1:68" ht="14.25" customHeight="1" x14ac:dyDescent="0.25">
      <c r="A65" s="568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1"/>
      <c r="AB65" s="541"/>
      <c r="AC65" s="541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70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70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8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1"/>
      <c r="AB71" s="541"/>
      <c r="AC71" s="541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70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70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8" t="s">
        <v>165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40</v>
      </c>
      <c r="Y80" s="546">
        <f>IFERROR(IF(X80="",0,CEILING((X80/$H80),1)*$H80),"")</f>
        <v>46.8</v>
      </c>
      <c r="Z80" s="36">
        <f>IFERROR(IF(Y80=0,"",ROUNDUP(Y80/H80,0)*0.01898),"")</f>
        <v>0.11388000000000001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42.230769230769226</v>
      </c>
      <c r="BN80" s="64">
        <f>IFERROR(Y80*I80/H80,"0")</f>
        <v>49.41</v>
      </c>
      <c r="BO80" s="64">
        <f>IFERROR(1/J80*(X80/H80),"0")</f>
        <v>8.0128205128205135E-2</v>
      </c>
      <c r="BP80" s="64">
        <f>IFERROR(1/J80*(Y80/H80),"0")</f>
        <v>9.375E-2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70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7">
        <f>IFERROR(X80/H80,"0")+IFERROR(X81/H81,"0")</f>
        <v>5.1282051282051286</v>
      </c>
      <c r="Y82" s="547">
        <f>IFERROR(Y80/H80,"0")+IFERROR(Y81/H81,"0")</f>
        <v>6</v>
      </c>
      <c r="Z82" s="547">
        <f>IFERROR(IF(Z80="",0,Z80),"0")+IFERROR(IF(Z81="",0,Z81),"0")</f>
        <v>0.11388000000000001</v>
      </c>
      <c r="AA82" s="548"/>
      <c r="AB82" s="548"/>
      <c r="AC82" s="548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70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7">
        <f>IFERROR(SUM(X80:X81),"0")</f>
        <v>40</v>
      </c>
      <c r="Y83" s="547">
        <f>IFERROR(SUM(Y80:Y81),"0")</f>
        <v>46.8</v>
      </c>
      <c r="Z83" s="37"/>
      <c r="AA83" s="548"/>
      <c r="AB83" s="548"/>
      <c r="AC83" s="548"/>
    </row>
    <row r="84" spans="1:68" ht="16.5" customHeight="1" x14ac:dyDescent="0.25">
      <c r="A84" s="563" t="s">
        <v>172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0"/>
      <c r="AB84" s="540"/>
      <c r="AC84" s="540"/>
    </row>
    <row r="85" spans="1:68" ht="14.25" customHeight="1" x14ac:dyDescent="0.25">
      <c r="A85" s="568" t="s">
        <v>99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100</v>
      </c>
      <c r="Y86" s="546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405</v>
      </c>
      <c r="Y88" s="546">
        <f>IFERROR(IF(X88="",0,CEILING((X88/$H88),1)*$H88),"")</f>
        <v>405</v>
      </c>
      <c r="Z88" s="36">
        <f>IFERROR(IF(Y88=0,"",ROUNDUP(Y88/H88,0)*0.00902),"")</f>
        <v>0.81180000000000008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423.9</v>
      </c>
      <c r="BN88" s="64">
        <f>IFERROR(Y88*I88/H88,"0")</f>
        <v>423.9</v>
      </c>
      <c r="BO88" s="64">
        <f>IFERROR(1/J88*(X88/H88),"0")</f>
        <v>0.68181818181818188</v>
      </c>
      <c r="BP88" s="64">
        <f>IFERROR(1/J88*(Y88/H88),"0")</f>
        <v>0.68181818181818188</v>
      </c>
    </row>
    <row r="89" spans="1:68" x14ac:dyDescent="0.2">
      <c r="A89" s="569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70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7">
        <f>IFERROR(X86/H86,"0")+IFERROR(X87/H87,"0")+IFERROR(X88/H88,"0")</f>
        <v>99.259259259259267</v>
      </c>
      <c r="Y89" s="547">
        <f>IFERROR(Y86/H86,"0")+IFERROR(Y87/H87,"0")+IFERROR(Y88/H88,"0")</f>
        <v>100</v>
      </c>
      <c r="Z89" s="547">
        <f>IFERROR(IF(Z86="",0,Z86),"0")+IFERROR(IF(Z87="",0,Z87),"0")+IFERROR(IF(Z88="",0,Z88),"0")</f>
        <v>1.0016</v>
      </c>
      <c r="AA89" s="548"/>
      <c r="AB89" s="548"/>
      <c r="AC89" s="548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70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7">
        <f>IFERROR(SUM(X86:X88),"0")</f>
        <v>505</v>
      </c>
      <c r="Y90" s="547">
        <f>IFERROR(SUM(Y86:Y88),"0")</f>
        <v>513</v>
      </c>
      <c r="Z90" s="37"/>
      <c r="AA90" s="548"/>
      <c r="AB90" s="548"/>
      <c r="AC90" s="548"/>
    </row>
    <row r="91" spans="1:68" ht="14.25" customHeight="1" x14ac:dyDescent="0.25">
      <c r="A91" s="568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140</v>
      </c>
      <c r="Y92" s="546">
        <f>IFERROR(IF(X92="",0,CEILING((X92/$H92),1)*$H92),"")</f>
        <v>145.79999999999998</v>
      </c>
      <c r="Z92" s="36">
        <f>IFERROR(IF(Y92=0,"",ROUNDUP(Y92/H92,0)*0.01898),"")</f>
        <v>0.34164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148.97037037037035</v>
      </c>
      <c r="BN92" s="64">
        <f>IFERROR(Y92*I92/H92,"0")</f>
        <v>155.142</v>
      </c>
      <c r="BO92" s="64">
        <f>IFERROR(1/J92*(X92/H92),"0")</f>
        <v>0.27006172839506176</v>
      </c>
      <c r="BP92" s="64">
        <f>IFERROR(1/J92*(Y92/H92),"0")</f>
        <v>0.28125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405</v>
      </c>
      <c r="Y94" s="546">
        <f>IFERROR(IF(X94="",0,CEILING((X94/$H94),1)*$H94),"")</f>
        <v>405</v>
      </c>
      <c r="Z94" s="36">
        <f>IFERROR(IF(Y94=0,"",ROUNDUP(Y94/H94,0)*0.00651),"")</f>
        <v>0.97650000000000003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442.79999999999995</v>
      </c>
      <c r="BN94" s="64">
        <f>IFERROR(Y94*I94/H94,"0")</f>
        <v>442.79999999999995</v>
      </c>
      <c r="BO94" s="64">
        <f>IFERROR(1/J94*(X94/H94),"0")</f>
        <v>0.82417582417582425</v>
      </c>
      <c r="BP94" s="64">
        <f>IFERROR(1/J94*(Y94/H94),"0")</f>
        <v>0.82417582417582425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70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7">
        <f>IFERROR(X92/H92,"0")+IFERROR(X93/H93,"0")+IFERROR(X94/H94,"0")+IFERROR(X95/H95,"0")</f>
        <v>167.28395061728395</v>
      </c>
      <c r="Y96" s="547">
        <f>IFERROR(Y92/H92,"0")+IFERROR(Y93/H93,"0")+IFERROR(Y94/H94,"0")+IFERROR(Y95/H95,"0")</f>
        <v>168</v>
      </c>
      <c r="Z96" s="547">
        <f>IFERROR(IF(Z92="",0,Z92),"0")+IFERROR(IF(Z93="",0,Z93),"0")+IFERROR(IF(Z94="",0,Z94),"0")+IFERROR(IF(Z95="",0,Z95),"0")</f>
        <v>1.3181400000000001</v>
      </c>
      <c r="AA96" s="548"/>
      <c r="AB96" s="548"/>
      <c r="AC96" s="548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70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7">
        <f>IFERROR(SUM(X92:X95),"0")</f>
        <v>545</v>
      </c>
      <c r="Y97" s="547">
        <f>IFERROR(SUM(Y92:Y95),"0")</f>
        <v>550.79999999999995</v>
      </c>
      <c r="Z97" s="37"/>
      <c r="AA97" s="548"/>
      <c r="AB97" s="548"/>
      <c r="AC97" s="548"/>
    </row>
    <row r="98" spans="1:68" ht="16.5" customHeight="1" x14ac:dyDescent="0.25">
      <c r="A98" s="563" t="s">
        <v>191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0"/>
      <c r="AB98" s="540"/>
      <c r="AC98" s="540"/>
    </row>
    <row r="99" spans="1:68" ht="14.25" customHeight="1" x14ac:dyDescent="0.25">
      <c r="A99" s="568" t="s">
        <v>99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1"/>
      <c r="AB99" s="541"/>
      <c r="AC99" s="541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260</v>
      </c>
      <c r="Y100" s="546">
        <f>IFERROR(IF(X100="",0,CEILING((X100/$H100),1)*$H100),"")</f>
        <v>270</v>
      </c>
      <c r="Z100" s="36">
        <f>IFERROR(IF(Y100=0,"",ROUNDUP(Y100/H100,0)*0.01898),"")</f>
        <v>0.47450000000000003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270.47222222222217</v>
      </c>
      <c r="BN100" s="64">
        <f>IFERROR(Y100*I100/H100,"0")</f>
        <v>280.87499999999994</v>
      </c>
      <c r="BO100" s="64">
        <f>IFERROR(1/J100*(X100/H100),"0")</f>
        <v>0.37615740740740738</v>
      </c>
      <c r="BP100" s="64">
        <f>IFERROR(1/J100*(Y100/H100),"0")</f>
        <v>0.390625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450</v>
      </c>
      <c r="Y102" s="546">
        <f>IFERROR(IF(X102="",0,CEILING((X102/$H102),1)*$H102),"")</f>
        <v>450</v>
      </c>
      <c r="Z102" s="36">
        <f>IFERROR(IF(Y102=0,"",ROUNDUP(Y102/H102,0)*0.00902),"")</f>
        <v>0.90200000000000002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471</v>
      </c>
      <c r="BN102" s="64">
        <f>IFERROR(Y102*I102/H102,"0")</f>
        <v>471</v>
      </c>
      <c r="BO102" s="64">
        <f>IFERROR(1/J102*(X102/H102),"0")</f>
        <v>0.75757575757575757</v>
      </c>
      <c r="BP102" s="64">
        <f>IFERROR(1/J102*(Y102/H102),"0")</f>
        <v>0.75757575757575757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70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7">
        <f>IFERROR(X100/H100,"0")+IFERROR(X101/H101,"0")+IFERROR(X102/H102,"0")+IFERROR(X103/H103,"0")</f>
        <v>124.07407407407408</v>
      </c>
      <c r="Y104" s="547">
        <f>IFERROR(Y100/H100,"0")+IFERROR(Y101/H101,"0")+IFERROR(Y102/H102,"0")+IFERROR(Y103/H103,"0")</f>
        <v>125</v>
      </c>
      <c r="Z104" s="547">
        <f>IFERROR(IF(Z100="",0,Z100),"0")+IFERROR(IF(Z101="",0,Z101),"0")+IFERROR(IF(Z102="",0,Z102),"0")+IFERROR(IF(Z103="",0,Z103),"0")</f>
        <v>1.3765000000000001</v>
      </c>
      <c r="AA104" s="548"/>
      <c r="AB104" s="548"/>
      <c r="AC104" s="548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70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7">
        <f>IFERROR(SUM(X100:X103),"0")</f>
        <v>710</v>
      </c>
      <c r="Y105" s="547">
        <f>IFERROR(SUM(Y100:Y103),"0")</f>
        <v>720</v>
      </c>
      <c r="Z105" s="37"/>
      <c r="AA105" s="548"/>
      <c r="AB105" s="548"/>
      <c r="AC105" s="548"/>
    </row>
    <row r="106" spans="1:68" ht="14.25" customHeight="1" x14ac:dyDescent="0.25">
      <c r="A106" s="568" t="s">
        <v>135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70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70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8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600</v>
      </c>
      <c r="Y113" s="546">
        <f>IFERROR(IF(X113="",0,CEILING((X113/$H113),1)*$H113),"")</f>
        <v>607.5</v>
      </c>
      <c r="Z113" s="36">
        <f>IFERROR(IF(Y113=0,"",ROUNDUP(Y113/H113,0)*0.01898),"")</f>
        <v>1.4235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637.99999999999989</v>
      </c>
      <c r="BN113" s="64">
        <f>IFERROR(Y113*I113/H113,"0")</f>
        <v>645.97500000000002</v>
      </c>
      <c r="BO113" s="64">
        <f>IFERROR(1/J113*(X113/H113),"0")</f>
        <v>1.1574074074074074</v>
      </c>
      <c r="BP113" s="64">
        <f>IFERROR(1/J113*(Y113/H113),"0")</f>
        <v>1.171875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270</v>
      </c>
      <c r="Y115" s="546">
        <f>IFERROR(IF(X115="",0,CEILING((X115/$H115),1)*$H115),"")</f>
        <v>270</v>
      </c>
      <c r="Z115" s="36">
        <f>IFERROR(IF(Y115=0,"",ROUNDUP(Y115/H115,0)*0.00651),"")</f>
        <v>0.65100000000000002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295.2</v>
      </c>
      <c r="BN115" s="64">
        <f>IFERROR(Y115*I115/H115,"0")</f>
        <v>295.2</v>
      </c>
      <c r="BO115" s="64">
        <f>IFERROR(1/J115*(X115/H115),"0")</f>
        <v>0.5494505494505495</v>
      </c>
      <c r="BP115" s="64">
        <f>IFERROR(1/J115*(Y115/H115),"0")</f>
        <v>0.5494505494505495</v>
      </c>
    </row>
    <row r="116" spans="1:68" ht="16.5" customHeight="1" x14ac:dyDescent="0.25">
      <c r="A116" s="54" t="s">
        <v>217</v>
      </c>
      <c r="B116" s="54" t="s">
        <v>218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33</v>
      </c>
      <c r="Y116" s="546">
        <f>IFERROR(IF(X116="",0,CEILING((X116/$H116),1)*$H116),"")</f>
        <v>34.200000000000003</v>
      </c>
      <c r="Z116" s="36">
        <f>IFERROR(IF(Y116=0,"",ROUNDUP(Y116/H116,0)*0.00651),"")</f>
        <v>0.12369000000000001</v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36.300000000000004</v>
      </c>
      <c r="BN116" s="64">
        <f>IFERROR(Y116*I116/H116,"0")</f>
        <v>37.620000000000005</v>
      </c>
      <c r="BO116" s="64">
        <f>IFERROR(1/J116*(X116/H116),"0")</f>
        <v>0.10073260073260074</v>
      </c>
      <c r="BP116" s="64">
        <f>IFERROR(1/J116*(Y116/H116),"0")</f>
        <v>0.1043956043956044</v>
      </c>
    </row>
    <row r="117" spans="1:68" x14ac:dyDescent="0.2">
      <c r="A117" s="569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70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7">
        <f>IFERROR(X113/H113,"0")+IFERROR(X114/H114,"0")+IFERROR(X115/H115,"0")+IFERROR(X116/H116,"0")</f>
        <v>192.40740740740742</v>
      </c>
      <c r="Y117" s="547">
        <f>IFERROR(Y113/H113,"0")+IFERROR(Y114/H114,"0")+IFERROR(Y115/H115,"0")+IFERROR(Y116/H116,"0")</f>
        <v>194</v>
      </c>
      <c r="Z117" s="547">
        <f>IFERROR(IF(Z113="",0,Z113),"0")+IFERROR(IF(Z114="",0,Z114),"0")+IFERROR(IF(Z115="",0,Z115),"0")+IFERROR(IF(Z116="",0,Z116),"0")</f>
        <v>2.1981899999999999</v>
      </c>
      <c r="AA117" s="548"/>
      <c r="AB117" s="548"/>
      <c r="AC117" s="548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70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7">
        <f>IFERROR(SUM(X113:X116),"0")</f>
        <v>903</v>
      </c>
      <c r="Y118" s="547">
        <f>IFERROR(SUM(Y113:Y116),"0")</f>
        <v>911.7</v>
      </c>
      <c r="Z118" s="37"/>
      <c r="AA118" s="548"/>
      <c r="AB118" s="548"/>
      <c r="AC118" s="548"/>
    </row>
    <row r="119" spans="1:68" ht="14.25" customHeight="1" x14ac:dyDescent="0.25">
      <c r="A119" s="568" t="s">
        <v>165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1"/>
      <c r="AB119" s="541"/>
      <c r="AC119" s="541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82.5</v>
      </c>
      <c r="Y120" s="546">
        <f>IFERROR(IF(X120="",0,CEILING((X120/$H120),1)*$H120),"")</f>
        <v>83.16</v>
      </c>
      <c r="Z120" s="36">
        <f>IFERROR(IF(Y120=0,"",ROUNDUP(Y120/H120,0)*0.00651),"")</f>
        <v>0.27342</v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93.25</v>
      </c>
      <c r="BN120" s="64">
        <f>IFERROR(Y120*I120/H120,"0")</f>
        <v>93.995999999999995</v>
      </c>
      <c r="BO120" s="64">
        <f>IFERROR(1/J120*(X120/H120),"0")</f>
        <v>0.22893772893772893</v>
      </c>
      <c r="BP120" s="64">
        <f>IFERROR(1/J120*(Y120/H120),"0")</f>
        <v>0.23076923076923078</v>
      </c>
    </row>
    <row r="121" spans="1:68" x14ac:dyDescent="0.2">
      <c r="A121" s="56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0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7">
        <f>IFERROR(X120/H120,"0")</f>
        <v>41.666666666666664</v>
      </c>
      <c r="Y121" s="547">
        <f>IFERROR(Y120/H120,"0")</f>
        <v>42</v>
      </c>
      <c r="Z121" s="547">
        <f>IFERROR(IF(Z120="",0,Z120),"0")</f>
        <v>0.27342</v>
      </c>
      <c r="AA121" s="548"/>
      <c r="AB121" s="548"/>
      <c r="AC121" s="548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0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7">
        <f>IFERROR(SUM(X120:X120),"0")</f>
        <v>82.5</v>
      </c>
      <c r="Y122" s="547">
        <f>IFERROR(SUM(Y120:Y120),"0")</f>
        <v>83.16</v>
      </c>
      <c r="Z122" s="37"/>
      <c r="AA122" s="548"/>
      <c r="AB122" s="548"/>
      <c r="AC122" s="548"/>
    </row>
    <row r="123" spans="1:68" ht="16.5" customHeight="1" x14ac:dyDescent="0.25">
      <c r="A123" s="563" t="s">
        <v>223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0"/>
      <c r="AB123" s="540"/>
      <c r="AC123" s="540"/>
    </row>
    <row r="124" spans="1:68" ht="14.25" customHeight="1" x14ac:dyDescent="0.25">
      <c r="A124" s="568" t="s">
        <v>99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1"/>
      <c r="AB124" s="541"/>
      <c r="AC124" s="541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60</v>
      </c>
      <c r="Y125" s="546">
        <f>IFERROR(IF(X125="",0,CEILING((X125/$H125),1)*$H125),"")</f>
        <v>60.800000000000004</v>
      </c>
      <c r="Z125" s="36">
        <f>IFERROR(IF(Y125=0,"",ROUNDUP(Y125/H125,0)*0.00651),"")</f>
        <v>0.12369000000000001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63.374999999999993</v>
      </c>
      <c r="BN125" s="64">
        <f>IFERROR(Y125*I125/H125,"0")</f>
        <v>64.22</v>
      </c>
      <c r="BO125" s="64">
        <f>IFERROR(1/J125*(X125/H125),"0")</f>
        <v>0.10302197802197803</v>
      </c>
      <c r="BP125" s="64">
        <f>IFERROR(1/J125*(Y125/H125),"0")</f>
        <v>0.1043956043956044</v>
      </c>
    </row>
    <row r="126" spans="1:68" ht="27" customHeight="1" x14ac:dyDescent="0.25">
      <c r="A126" s="54" t="s">
        <v>224</v>
      </c>
      <c r="B126" s="54" t="s">
        <v>227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0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7">
        <f>IFERROR(X125/H125,"0")+IFERROR(X126/H126,"0")</f>
        <v>18.75</v>
      </c>
      <c r="Y127" s="547">
        <f>IFERROR(Y125/H125,"0")+IFERROR(Y126/H126,"0")</f>
        <v>19</v>
      </c>
      <c r="Z127" s="547">
        <f>IFERROR(IF(Z125="",0,Z125),"0")+IFERROR(IF(Z126="",0,Z126),"0")</f>
        <v>0.12369000000000001</v>
      </c>
      <c r="AA127" s="548"/>
      <c r="AB127" s="548"/>
      <c r="AC127" s="548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70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7">
        <f>IFERROR(SUM(X125:X126),"0")</f>
        <v>60</v>
      </c>
      <c r="Y128" s="547">
        <f>IFERROR(SUM(Y125:Y126),"0")</f>
        <v>60.800000000000004</v>
      </c>
      <c r="Z128" s="37"/>
      <c r="AA128" s="548"/>
      <c r="AB128" s="548"/>
      <c r="AC128" s="548"/>
    </row>
    <row r="129" spans="1:68" ht="14.25" customHeight="1" x14ac:dyDescent="0.25">
      <c r="A129" s="568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1"/>
      <c r="AB129" s="541"/>
      <c r="AC129" s="541"/>
    </row>
    <row r="130" spans="1:68" ht="27" customHeight="1" x14ac:dyDescent="0.25">
      <c r="A130" s="54" t="s">
        <v>228</v>
      </c>
      <c r="B130" s="54" t="s">
        <v>229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35</v>
      </c>
      <c r="Y131" s="546">
        <f>IFERROR(IF(X131="",0,CEILING((X131/$H131),1)*$H131),"")</f>
        <v>36.4</v>
      </c>
      <c r="Z131" s="36">
        <f>IFERROR(IF(Y131=0,"",ROUNDUP(Y131/H131,0)*0.00651),"")</f>
        <v>8.4629999999999997E-2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38.35</v>
      </c>
      <c r="BN131" s="64">
        <f>IFERROR(Y131*I131/H131,"0")</f>
        <v>39.884</v>
      </c>
      <c r="BO131" s="64">
        <f>IFERROR(1/J131*(X131/H131),"0")</f>
        <v>6.8681318681318687E-2</v>
      </c>
      <c r="BP131" s="64">
        <f>IFERROR(1/J131*(Y131/H131),"0")</f>
        <v>7.1428571428571438E-2</v>
      </c>
    </row>
    <row r="132" spans="1:68" x14ac:dyDescent="0.2">
      <c r="A132" s="56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0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7">
        <f>IFERROR(X130/H130,"0")+IFERROR(X131/H131,"0")</f>
        <v>12.5</v>
      </c>
      <c r="Y132" s="547">
        <f>IFERROR(Y130/H130,"0")+IFERROR(Y131/H131,"0")</f>
        <v>13</v>
      </c>
      <c r="Z132" s="547">
        <f>IFERROR(IF(Z130="",0,Z130),"0")+IFERROR(IF(Z131="",0,Z131),"0")</f>
        <v>8.4629999999999997E-2</v>
      </c>
      <c r="AA132" s="548"/>
      <c r="AB132" s="548"/>
      <c r="AC132" s="548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0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7">
        <f>IFERROR(SUM(X130:X131),"0")</f>
        <v>35</v>
      </c>
      <c r="Y133" s="547">
        <f>IFERROR(SUM(Y130:Y131),"0")</f>
        <v>36.4</v>
      </c>
      <c r="Z133" s="37"/>
      <c r="AA133" s="548"/>
      <c r="AB133" s="548"/>
      <c r="AC133" s="548"/>
    </row>
    <row r="134" spans="1:68" ht="14.25" customHeight="1" x14ac:dyDescent="0.25">
      <c r="A134" s="568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1"/>
      <c r="AB134" s="541"/>
      <c r="AC134" s="541"/>
    </row>
    <row r="135" spans="1:68" ht="16.5" customHeight="1" x14ac:dyDescent="0.25">
      <c r="A135" s="54" t="s">
        <v>232</v>
      </c>
      <c r="B135" s="54" t="s">
        <v>233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79.2</v>
      </c>
      <c r="Y136" s="546">
        <f>IFERROR(IF(X136="",0,CEILING((X136/$H136),1)*$H136),"")</f>
        <v>79.2</v>
      </c>
      <c r="Z136" s="36">
        <f>IFERROR(IF(Y136=0,"",ROUNDUP(Y136/H136,0)*0.00651),"")</f>
        <v>0.1953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87.24</v>
      </c>
      <c r="BN136" s="64">
        <f>IFERROR(Y136*I136/H136,"0")</f>
        <v>87.24</v>
      </c>
      <c r="BO136" s="64">
        <f>IFERROR(1/J136*(X136/H136),"0")</f>
        <v>0.16483516483516486</v>
      </c>
      <c r="BP136" s="64">
        <f>IFERROR(1/J136*(Y136/H136),"0")</f>
        <v>0.16483516483516486</v>
      </c>
    </row>
    <row r="137" spans="1:68" x14ac:dyDescent="0.2">
      <c r="A137" s="56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0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7">
        <f>IFERROR(X135/H135,"0")+IFERROR(X136/H136,"0")</f>
        <v>30</v>
      </c>
      <c r="Y137" s="547">
        <f>IFERROR(Y135/H135,"0")+IFERROR(Y136/H136,"0")</f>
        <v>30</v>
      </c>
      <c r="Z137" s="547">
        <f>IFERROR(IF(Z135="",0,Z135),"0")+IFERROR(IF(Z136="",0,Z136),"0")</f>
        <v>0.1953</v>
      </c>
      <c r="AA137" s="548"/>
      <c r="AB137" s="548"/>
      <c r="AC137" s="548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0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7">
        <f>IFERROR(SUM(X135:X136),"0")</f>
        <v>79.2</v>
      </c>
      <c r="Y138" s="547">
        <f>IFERROR(SUM(Y135:Y136),"0")</f>
        <v>79.2</v>
      </c>
      <c r="Z138" s="37"/>
      <c r="AA138" s="548"/>
      <c r="AB138" s="548"/>
      <c r="AC138" s="548"/>
    </row>
    <row r="139" spans="1:68" ht="16.5" customHeight="1" x14ac:dyDescent="0.25">
      <c r="A139" s="563" t="s">
        <v>97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0"/>
      <c r="AB139" s="540"/>
      <c r="AC139" s="540"/>
    </row>
    <row r="140" spans="1:68" ht="14.25" customHeight="1" x14ac:dyDescent="0.25">
      <c r="A140" s="568" t="s">
        <v>99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1"/>
      <c r="AB140" s="541"/>
      <c r="AC140" s="541"/>
    </row>
    <row r="141" spans="1:68" ht="27" customHeight="1" x14ac:dyDescent="0.25">
      <c r="A141" s="54" t="s">
        <v>235</v>
      </c>
      <c r="B141" s="54" t="s">
        <v>236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238</v>
      </c>
      <c r="B142" s="54" t="s">
        <v>239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3" t="s">
        <v>240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241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0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70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8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1"/>
      <c r="AB145" s="541"/>
      <c r="AC145" s="541"/>
    </row>
    <row r="146" spans="1:68" ht="16.5" customHeight="1" x14ac:dyDescent="0.25">
      <c r="A146" s="54" t="s">
        <v>242</v>
      </c>
      <c r="B146" s="54" t="s">
        <v>243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244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245</v>
      </c>
      <c r="B147" s="54" t="s">
        <v>246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247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248</v>
      </c>
      <c r="B148" s="54" t="s">
        <v>249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250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70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70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2" t="s">
        <v>251</v>
      </c>
      <c r="B151" s="603"/>
      <c r="C151" s="603"/>
      <c r="D151" s="603"/>
      <c r="E151" s="603"/>
      <c r="F151" s="603"/>
      <c r="G151" s="603"/>
      <c r="H151" s="603"/>
      <c r="I151" s="603"/>
      <c r="J151" s="603"/>
      <c r="K151" s="603"/>
      <c r="L151" s="603"/>
      <c r="M151" s="603"/>
      <c r="N151" s="603"/>
      <c r="O151" s="603"/>
      <c r="P151" s="603"/>
      <c r="Q151" s="603"/>
      <c r="R151" s="603"/>
      <c r="S151" s="603"/>
      <c r="T151" s="603"/>
      <c r="U151" s="603"/>
      <c r="V151" s="603"/>
      <c r="W151" s="603"/>
      <c r="X151" s="603"/>
      <c r="Y151" s="603"/>
      <c r="Z151" s="603"/>
      <c r="AA151" s="48"/>
      <c r="AB151" s="48"/>
      <c r="AC151" s="48"/>
    </row>
    <row r="152" spans="1:68" ht="16.5" customHeight="1" x14ac:dyDescent="0.25">
      <c r="A152" s="563" t="s">
        <v>252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0"/>
      <c r="AB152" s="540"/>
      <c r="AC152" s="540"/>
    </row>
    <row r="153" spans="1:68" ht="14.25" customHeight="1" x14ac:dyDescent="0.25">
      <c r="A153" s="568" t="s">
        <v>135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1"/>
      <c r="AB153" s="541"/>
      <c r="AC153" s="541"/>
    </row>
    <row r="154" spans="1:68" ht="27" customHeight="1" x14ac:dyDescent="0.25">
      <c r="A154" s="54" t="s">
        <v>253</v>
      </c>
      <c r="B154" s="54" t="s">
        <v>254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255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70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70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8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1"/>
      <c r="AB157" s="541"/>
      <c r="AC157" s="541"/>
    </row>
    <row r="158" spans="1:68" ht="27" customHeight="1" x14ac:dyDescent="0.25">
      <c r="A158" s="54" t="s">
        <v>256</v>
      </c>
      <c r="B158" s="54" t="s">
        <v>257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199</v>
      </c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60</v>
      </c>
      <c r="Y158" s="546">
        <f t="shared" ref="Y158:Y166" si="5">IFERROR(IF(X158="",0,CEILING((X158/$H158),1)*$H158),"")</f>
        <v>63</v>
      </c>
      <c r="Z158" s="36">
        <f>IFERROR(IF(Y158=0,"",ROUNDUP(Y158/H158,0)*0.00902),"")</f>
        <v>0.1353</v>
      </c>
      <c r="AA158" s="56"/>
      <c r="AB158" s="57"/>
      <c r="AC158" s="191" t="s">
        <v>258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63.857142857142854</v>
      </c>
      <c r="BN158" s="64">
        <f t="shared" ref="BN158:BN166" si="7">IFERROR(Y158*I158/H158,"0")</f>
        <v>67.049999999999983</v>
      </c>
      <c r="BO158" s="64">
        <f t="shared" ref="BO158:BO166" si="8">IFERROR(1/J158*(X158/H158),"0")</f>
        <v>0.10822510822510822</v>
      </c>
      <c r="BP158" s="64">
        <f t="shared" ref="BP158:BP166" si="9">IFERROR(1/J158*(Y158/H158),"0")</f>
        <v>0.11363636363636365</v>
      </c>
    </row>
    <row r="159" spans="1:68" ht="27" customHeight="1" x14ac:dyDescent="0.25">
      <c r="A159" s="54" t="s">
        <v>259</v>
      </c>
      <c r="B159" s="54" t="s">
        <v>260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 t="s">
        <v>199</v>
      </c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30</v>
      </c>
      <c r="Y159" s="546">
        <f t="shared" si="5"/>
        <v>33.6</v>
      </c>
      <c r="Z159" s="36">
        <f>IFERROR(IF(Y159=0,"",ROUNDUP(Y159/H159,0)*0.00902),"")</f>
        <v>7.2160000000000002E-2</v>
      </c>
      <c r="AA159" s="56"/>
      <c r="AB159" s="57"/>
      <c r="AC159" s="193" t="s">
        <v>261</v>
      </c>
      <c r="AG159" s="64"/>
      <c r="AJ159" s="68" t="s">
        <v>106</v>
      </c>
      <c r="AK159" s="68">
        <v>50.4</v>
      </c>
      <c r="BB159" s="194" t="s">
        <v>1</v>
      </c>
      <c r="BM159" s="64">
        <f t="shared" si="6"/>
        <v>31.928571428571427</v>
      </c>
      <c r="BN159" s="64">
        <f t="shared" si="7"/>
        <v>35.76</v>
      </c>
      <c r="BO159" s="64">
        <f t="shared" si="8"/>
        <v>5.4112554112554112E-2</v>
      </c>
      <c r="BP159" s="64">
        <f t="shared" si="9"/>
        <v>6.0606060606060608E-2</v>
      </c>
    </row>
    <row r="160" spans="1:68" ht="27" customHeight="1" x14ac:dyDescent="0.25">
      <c r="A160" s="54" t="s">
        <v>262</v>
      </c>
      <c r="B160" s="54" t="s">
        <v>263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199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100</v>
      </c>
      <c r="Y160" s="546">
        <f t="shared" si="5"/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264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105</v>
      </c>
      <c r="BN160" s="64">
        <f t="shared" si="7"/>
        <v>105.84000000000002</v>
      </c>
      <c r="BO160" s="64">
        <f t="shared" si="8"/>
        <v>0.18037518037518038</v>
      </c>
      <c r="BP160" s="64">
        <f t="shared" si="9"/>
        <v>0.18181818181818182</v>
      </c>
    </row>
    <row r="161" spans="1:68" ht="27" customHeight="1" x14ac:dyDescent="0.25">
      <c r="A161" s="54" t="s">
        <v>265</v>
      </c>
      <c r="B161" s="54" t="s">
        <v>266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267</v>
      </c>
      <c r="M161" s="33" t="s">
        <v>68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62.999999999999993</v>
      </c>
      <c r="Y161" s="546">
        <f t="shared" si="5"/>
        <v>63</v>
      </c>
      <c r="Z161" s="36">
        <f>IFERROR(IF(Y161=0,"",ROUNDUP(Y161/H161,0)*0.00502),"")</f>
        <v>0.15060000000000001</v>
      </c>
      <c r="AA161" s="56"/>
      <c r="AB161" s="57"/>
      <c r="AC161" s="197" t="s">
        <v>258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66.899999999999991</v>
      </c>
      <c r="BN161" s="64">
        <f t="shared" si="7"/>
        <v>66.900000000000006</v>
      </c>
      <c r="BO161" s="64">
        <f t="shared" si="8"/>
        <v>0.12820512820512819</v>
      </c>
      <c r="BP161" s="64">
        <f t="shared" si="9"/>
        <v>0.12820512820512822</v>
      </c>
    </row>
    <row r="162" spans="1:68" ht="27" customHeight="1" x14ac:dyDescent="0.25">
      <c r="A162" s="54" t="s">
        <v>268</v>
      </c>
      <c r="B162" s="54" t="s">
        <v>269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267</v>
      </c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122.5</v>
      </c>
      <c r="Y162" s="546">
        <f t="shared" si="5"/>
        <v>123.9</v>
      </c>
      <c r="Z162" s="36">
        <f>IFERROR(IF(Y162=0,"",ROUNDUP(Y162/H162,0)*0.00502),"")</f>
        <v>0.29618</v>
      </c>
      <c r="AA162" s="56"/>
      <c r="AB162" s="57"/>
      <c r="AC162" s="199" t="s">
        <v>261</v>
      </c>
      <c r="AG162" s="64"/>
      <c r="AJ162" s="68" t="s">
        <v>106</v>
      </c>
      <c r="AK162" s="68">
        <v>37.799999999999997</v>
      </c>
      <c r="BB162" s="200" t="s">
        <v>1</v>
      </c>
      <c r="BM162" s="64">
        <f t="shared" si="6"/>
        <v>130.08333333333334</v>
      </c>
      <c r="BN162" s="64">
        <f t="shared" si="7"/>
        <v>131.57</v>
      </c>
      <c r="BO162" s="64">
        <f t="shared" si="8"/>
        <v>0.2492877492877493</v>
      </c>
      <c r="BP162" s="64">
        <f t="shared" si="9"/>
        <v>0.25213675213675218</v>
      </c>
    </row>
    <row r="163" spans="1:68" ht="27" customHeight="1" x14ac:dyDescent="0.25">
      <c r="A163" s="54" t="s">
        <v>270</v>
      </c>
      <c r="B163" s="54" t="s">
        <v>271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272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273</v>
      </c>
      <c r="B164" s="54" t="s">
        <v>274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267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70</v>
      </c>
      <c r="Y164" s="546">
        <f t="shared" si="5"/>
        <v>71.400000000000006</v>
      </c>
      <c r="Z164" s="36">
        <f>IFERROR(IF(Y164=0,"",ROUNDUP(Y164/H164,0)*0.00502),"")</f>
        <v>0.17068</v>
      </c>
      <c r="AA164" s="56"/>
      <c r="AB164" s="57"/>
      <c r="AC164" s="203" t="s">
        <v>264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73.333333333333329</v>
      </c>
      <c r="BN164" s="64">
        <f t="shared" si="7"/>
        <v>74.8</v>
      </c>
      <c r="BO164" s="64">
        <f t="shared" si="8"/>
        <v>0.14245014245014245</v>
      </c>
      <c r="BP164" s="64">
        <f t="shared" si="9"/>
        <v>0.14529914529914531</v>
      </c>
    </row>
    <row r="165" spans="1:68" ht="27" customHeight="1" x14ac:dyDescent="0.25">
      <c r="A165" s="54" t="s">
        <v>275</v>
      </c>
      <c r="B165" s="54" t="s">
        <v>276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277</v>
      </c>
      <c r="B166" s="54" t="s">
        <v>278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279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70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166.90476190476187</v>
      </c>
      <c r="Y167" s="547">
        <f>IFERROR(Y158/H158,"0")+IFERROR(Y159/H159,"0")+IFERROR(Y160/H160,"0")+IFERROR(Y161/H161,"0")+IFERROR(Y162/H162,"0")+IFERROR(Y163/H163,"0")+IFERROR(Y164/H164,"0")+IFERROR(Y165/H165,"0")+IFERROR(Y166/H166,"0")</f>
        <v>170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1.0414000000000001</v>
      </c>
      <c r="AA167" s="548"/>
      <c r="AB167" s="548"/>
      <c r="AC167" s="548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70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7">
        <f>IFERROR(SUM(X158:X166),"0")</f>
        <v>445.5</v>
      </c>
      <c r="Y168" s="547">
        <f>IFERROR(SUM(Y158:Y166),"0")</f>
        <v>455.69999999999993</v>
      </c>
      <c r="Z168" s="37"/>
      <c r="AA168" s="548"/>
      <c r="AB168" s="548"/>
      <c r="AC168" s="548"/>
    </row>
    <row r="169" spans="1:68" ht="14.25" customHeight="1" x14ac:dyDescent="0.25">
      <c r="A169" s="568" t="s">
        <v>91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1"/>
      <c r="AB169" s="541"/>
      <c r="AC169" s="541"/>
    </row>
    <row r="170" spans="1:68" ht="27" customHeight="1" x14ac:dyDescent="0.25">
      <c r="A170" s="54" t="s">
        <v>280</v>
      </c>
      <c r="B170" s="54" t="s">
        <v>281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282</v>
      </c>
      <c r="L170" s="32"/>
      <c r="M170" s="33" t="s">
        <v>283</v>
      </c>
      <c r="N170" s="33"/>
      <c r="O170" s="32">
        <v>60</v>
      </c>
      <c r="P170" s="5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284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285</v>
      </c>
      <c r="B171" s="54" t="s">
        <v>286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282</v>
      </c>
      <c r="L171" s="32"/>
      <c r="M171" s="33" t="s">
        <v>283</v>
      </c>
      <c r="N171" s="33"/>
      <c r="O171" s="32">
        <v>90</v>
      </c>
      <c r="P171" s="6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287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70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70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8" t="s">
        <v>290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1"/>
      <c r="AB175" s="541"/>
      <c r="AC175" s="541"/>
    </row>
    <row r="176" spans="1:68" ht="27" customHeight="1" x14ac:dyDescent="0.25">
      <c r="A176" s="54" t="s">
        <v>291</v>
      </c>
      <c r="B176" s="54" t="s">
        <v>292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282</v>
      </c>
      <c r="L176" s="32"/>
      <c r="M176" s="33" t="s">
        <v>283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287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0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0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3" t="s">
        <v>293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0"/>
      <c r="AB179" s="540"/>
      <c r="AC179" s="540"/>
    </row>
    <row r="180" spans="1:68" ht="14.25" customHeight="1" x14ac:dyDescent="0.25">
      <c r="A180" s="568" t="s">
        <v>99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1"/>
      <c r="AB180" s="541"/>
      <c r="AC180" s="541"/>
    </row>
    <row r="181" spans="1:68" ht="16.5" customHeight="1" x14ac:dyDescent="0.25">
      <c r="A181" s="54" t="s">
        <v>294</v>
      </c>
      <c r="B181" s="54" t="s">
        <v>295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296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297</v>
      </c>
      <c r="B182" s="54" t="s">
        <v>298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296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70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70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8" t="s">
        <v>135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1"/>
      <c r="AB185" s="541"/>
      <c r="AC185" s="541"/>
    </row>
    <row r="186" spans="1:68" ht="16.5" customHeight="1" x14ac:dyDescent="0.25">
      <c r="A186" s="54" t="s">
        <v>299</v>
      </c>
      <c r="B186" s="54" t="s">
        <v>300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301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302</v>
      </c>
      <c r="B187" s="54" t="s">
        <v>303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301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0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70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8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1"/>
      <c r="AB190" s="541"/>
      <c r="AC190" s="541"/>
    </row>
    <row r="191" spans="1:68" ht="27" customHeight="1" x14ac:dyDescent="0.25">
      <c r="A191" s="54" t="s">
        <v>304</v>
      </c>
      <c r="B191" s="54" t="s">
        <v>305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199</v>
      </c>
      <c r="M191" s="33" t="s">
        <v>68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90</v>
      </c>
      <c r="Y191" s="546">
        <f t="shared" ref="Y191:Y198" si="10">IFERROR(IF(X191="",0,CEILING((X191/$H191),1)*$H191),"")</f>
        <v>91.800000000000011</v>
      </c>
      <c r="Z191" s="36">
        <f>IFERROR(IF(Y191=0,"",ROUNDUP(Y191/H191,0)*0.00902),"")</f>
        <v>0.15334</v>
      </c>
      <c r="AA191" s="56"/>
      <c r="AB191" s="57"/>
      <c r="AC191" s="225" t="s">
        <v>306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93.5</v>
      </c>
      <c r="BN191" s="64">
        <f t="shared" ref="BN191:BN198" si="12">IFERROR(Y191*I191/H191,"0")</f>
        <v>95.37</v>
      </c>
      <c r="BO191" s="64">
        <f t="shared" ref="BO191:BO198" si="13">IFERROR(1/J191*(X191/H191),"0")</f>
        <v>0.12626262626262624</v>
      </c>
      <c r="BP191" s="64">
        <f t="shared" ref="BP191:BP198" si="14">IFERROR(1/J191*(Y191/H191),"0")</f>
        <v>0.12878787878787878</v>
      </c>
    </row>
    <row r="192" spans="1:68" ht="27" customHeight="1" x14ac:dyDescent="0.25">
      <c r="A192" s="54" t="s">
        <v>307</v>
      </c>
      <c r="B192" s="54" t="s">
        <v>308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199</v>
      </c>
      <c r="M192" s="33" t="s">
        <v>68</v>
      </c>
      <c r="N192" s="33"/>
      <c r="O192" s="32">
        <v>40</v>
      </c>
      <c r="P192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40</v>
      </c>
      <c r="Y192" s="546">
        <f t="shared" si="10"/>
        <v>43.2</v>
      </c>
      <c r="Z192" s="36">
        <f>IFERROR(IF(Y192=0,"",ROUNDUP(Y192/H192,0)*0.00902),"")</f>
        <v>7.2160000000000002E-2</v>
      </c>
      <c r="AA192" s="56"/>
      <c r="AB192" s="57"/>
      <c r="AC192" s="227" t="s">
        <v>309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41.555555555555557</v>
      </c>
      <c r="BN192" s="64">
        <f t="shared" si="12"/>
        <v>44.88</v>
      </c>
      <c r="BO192" s="64">
        <f t="shared" si="13"/>
        <v>5.6116722783389444E-2</v>
      </c>
      <c r="BP192" s="64">
        <f t="shared" si="14"/>
        <v>6.0606060606060608E-2</v>
      </c>
    </row>
    <row r="193" spans="1:68" ht="27" customHeight="1" x14ac:dyDescent="0.25">
      <c r="A193" s="54" t="s">
        <v>310</v>
      </c>
      <c r="B193" s="54" t="s">
        <v>311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199</v>
      </c>
      <c r="M193" s="33" t="s">
        <v>68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210</v>
      </c>
      <c r="Y193" s="546">
        <f t="shared" si="10"/>
        <v>210.60000000000002</v>
      </c>
      <c r="Z193" s="36">
        <f>IFERROR(IF(Y193=0,"",ROUNDUP(Y193/H193,0)*0.00902),"")</f>
        <v>0.35177999999999998</v>
      </c>
      <c r="AA193" s="56"/>
      <c r="AB193" s="57"/>
      <c r="AC193" s="229" t="s">
        <v>312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218.16666666666669</v>
      </c>
      <c r="BN193" s="64">
        <f t="shared" si="12"/>
        <v>218.79000000000002</v>
      </c>
      <c r="BO193" s="64">
        <f t="shared" si="13"/>
        <v>0.2946127946127946</v>
      </c>
      <c r="BP193" s="64">
        <f t="shared" si="14"/>
        <v>0.29545454545454547</v>
      </c>
    </row>
    <row r="194" spans="1:68" ht="27" customHeight="1" x14ac:dyDescent="0.25">
      <c r="A194" s="54" t="s">
        <v>313</v>
      </c>
      <c r="B194" s="54" t="s">
        <v>314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199</v>
      </c>
      <c r="M194" s="33" t="s">
        <v>68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100</v>
      </c>
      <c r="Y194" s="546">
        <f t="shared" si="10"/>
        <v>102.60000000000001</v>
      </c>
      <c r="Z194" s="36">
        <f>IFERROR(IF(Y194=0,"",ROUNDUP(Y194/H194,0)*0.00902),"")</f>
        <v>0.17138</v>
      </c>
      <c r="AA194" s="56"/>
      <c r="AB194" s="57"/>
      <c r="AC194" s="231" t="s">
        <v>315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103.88888888888889</v>
      </c>
      <c r="BN194" s="64">
        <f t="shared" si="12"/>
        <v>106.59000000000002</v>
      </c>
      <c r="BO194" s="64">
        <f t="shared" si="13"/>
        <v>0.14029180695847362</v>
      </c>
      <c r="BP194" s="64">
        <f t="shared" si="14"/>
        <v>0.14393939393939395</v>
      </c>
    </row>
    <row r="195" spans="1:68" ht="27" customHeight="1" x14ac:dyDescent="0.25">
      <c r="A195" s="54" t="s">
        <v>316</v>
      </c>
      <c r="B195" s="54" t="s">
        <v>317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267</v>
      </c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81</v>
      </c>
      <c r="Y195" s="546">
        <f t="shared" si="10"/>
        <v>81</v>
      </c>
      <c r="Z195" s="36">
        <f>IFERROR(IF(Y195=0,"",ROUNDUP(Y195/H195,0)*0.00502),"")</f>
        <v>0.22590000000000002</v>
      </c>
      <c r="AA195" s="56"/>
      <c r="AB195" s="57"/>
      <c r="AC195" s="233" t="s">
        <v>306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86.85</v>
      </c>
      <c r="BN195" s="64">
        <f t="shared" si="12"/>
        <v>86.85</v>
      </c>
      <c r="BO195" s="64">
        <f t="shared" si="13"/>
        <v>0.19230769230769232</v>
      </c>
      <c r="BP195" s="64">
        <f t="shared" si="14"/>
        <v>0.19230769230769232</v>
      </c>
    </row>
    <row r="196" spans="1:68" ht="27" customHeight="1" x14ac:dyDescent="0.25">
      <c r="A196" s="54" t="s">
        <v>318</v>
      </c>
      <c r="B196" s="54" t="s">
        <v>319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267</v>
      </c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51</v>
      </c>
      <c r="Y196" s="546">
        <f t="shared" si="10"/>
        <v>52.2</v>
      </c>
      <c r="Z196" s="36">
        <f>IFERROR(IF(Y196=0,"",ROUNDUP(Y196/H196,0)*0.00502),"")</f>
        <v>0.14558000000000001</v>
      </c>
      <c r="AA196" s="56"/>
      <c r="AB196" s="57"/>
      <c r="AC196" s="235" t="s">
        <v>309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53.833333333333329</v>
      </c>
      <c r="BN196" s="64">
        <f t="shared" si="12"/>
        <v>55.1</v>
      </c>
      <c r="BO196" s="64">
        <f t="shared" si="13"/>
        <v>0.12108262108262109</v>
      </c>
      <c r="BP196" s="64">
        <f t="shared" si="14"/>
        <v>0.12393162393162395</v>
      </c>
    </row>
    <row r="197" spans="1:68" ht="27" customHeight="1" x14ac:dyDescent="0.25">
      <c r="A197" s="54" t="s">
        <v>320</v>
      </c>
      <c r="B197" s="54" t="s">
        <v>321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 t="s">
        <v>267</v>
      </c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63</v>
      </c>
      <c r="Y197" s="546">
        <f t="shared" si="10"/>
        <v>63</v>
      </c>
      <c r="Z197" s="36">
        <f>IFERROR(IF(Y197=0,"",ROUNDUP(Y197/H197,0)*0.00502),"")</f>
        <v>0.1757</v>
      </c>
      <c r="AA197" s="56"/>
      <c r="AB197" s="57"/>
      <c r="AC197" s="237" t="s">
        <v>312</v>
      </c>
      <c r="AG197" s="64"/>
      <c r="AJ197" s="68" t="s">
        <v>106</v>
      </c>
      <c r="AK197" s="68">
        <v>32.4</v>
      </c>
      <c r="BB197" s="238" t="s">
        <v>1</v>
      </c>
      <c r="BM197" s="64">
        <f t="shared" si="11"/>
        <v>66.499999999999986</v>
      </c>
      <c r="BN197" s="64">
        <f t="shared" si="12"/>
        <v>66.499999999999986</v>
      </c>
      <c r="BO197" s="64">
        <f t="shared" si="13"/>
        <v>0.1495726495726496</v>
      </c>
      <c r="BP197" s="64">
        <f t="shared" si="14"/>
        <v>0.1495726495726496</v>
      </c>
    </row>
    <row r="198" spans="1:68" ht="27" customHeight="1" x14ac:dyDescent="0.25">
      <c r="A198" s="54" t="s">
        <v>322</v>
      </c>
      <c r="B198" s="54" t="s">
        <v>323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267</v>
      </c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54</v>
      </c>
      <c r="Y198" s="546">
        <f t="shared" si="10"/>
        <v>54</v>
      </c>
      <c r="Z198" s="36">
        <f>IFERROR(IF(Y198=0,"",ROUNDUP(Y198/H198,0)*0.00502),"")</f>
        <v>0.15060000000000001</v>
      </c>
      <c r="AA198" s="56"/>
      <c r="AB198" s="57"/>
      <c r="AC198" s="239" t="s">
        <v>315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56.999999999999993</v>
      </c>
      <c r="BN198" s="64">
        <f t="shared" si="12"/>
        <v>56.999999999999993</v>
      </c>
      <c r="BO198" s="64">
        <f t="shared" si="13"/>
        <v>0.12820512820512822</v>
      </c>
      <c r="BP198" s="64">
        <f t="shared" si="14"/>
        <v>0.12820512820512822</v>
      </c>
    </row>
    <row r="199" spans="1:68" x14ac:dyDescent="0.2">
      <c r="A199" s="569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70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219.81481481481481</v>
      </c>
      <c r="Y199" s="547">
        <f>IFERROR(Y191/H191,"0")+IFERROR(Y192/H192,"0")+IFERROR(Y193/H193,"0")+IFERROR(Y194/H194,"0")+IFERROR(Y195/H195,"0")+IFERROR(Y196/H196,"0")+IFERROR(Y197/H197,"0")+IFERROR(Y198/H198,"0")</f>
        <v>222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1.4464399999999999</v>
      </c>
      <c r="AA199" s="548"/>
      <c r="AB199" s="548"/>
      <c r="AC199" s="548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70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7">
        <f>IFERROR(SUM(X191:X198),"0")</f>
        <v>689</v>
      </c>
      <c r="Y200" s="547">
        <f>IFERROR(SUM(Y191:Y198),"0")</f>
        <v>698.40000000000009</v>
      </c>
      <c r="Z200" s="37"/>
      <c r="AA200" s="548"/>
      <c r="AB200" s="548"/>
      <c r="AC200" s="548"/>
    </row>
    <row r="201" spans="1:68" ht="14.25" customHeight="1" x14ac:dyDescent="0.25">
      <c r="A201" s="568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1"/>
      <c r="AB201" s="541"/>
      <c r="AC201" s="541"/>
    </row>
    <row r="202" spans="1:68" ht="27" customHeight="1" x14ac:dyDescent="0.25">
      <c r="A202" s="54" t="s">
        <v>324</v>
      </c>
      <c r="B202" s="54" t="s">
        <v>325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326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329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330</v>
      </c>
      <c r="B204" s="54" t="s">
        <v>331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300</v>
      </c>
      <c r="Y204" s="546">
        <f t="shared" si="15"/>
        <v>304.5</v>
      </c>
      <c r="Z204" s="36">
        <f>IFERROR(IF(Y204=0,"",ROUNDUP(Y204/H204,0)*0.01898),"")</f>
        <v>0.6643</v>
      </c>
      <c r="AA204" s="56"/>
      <c r="AB204" s="57"/>
      <c r="AC204" s="245" t="s">
        <v>332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317.89655172413796</v>
      </c>
      <c r="BN204" s="64">
        <f t="shared" si="17"/>
        <v>322.66500000000002</v>
      </c>
      <c r="BO204" s="64">
        <f t="shared" si="18"/>
        <v>0.53879310344827591</v>
      </c>
      <c r="BP204" s="64">
        <f t="shared" si="19"/>
        <v>0.546875</v>
      </c>
    </row>
    <row r="205" spans="1:68" ht="27" customHeight="1" x14ac:dyDescent="0.25">
      <c r="A205" s="54" t="s">
        <v>333</v>
      </c>
      <c r="B205" s="54" t="s">
        <v>334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216</v>
      </c>
      <c r="M205" s="33" t="s">
        <v>77</v>
      </c>
      <c r="N205" s="33"/>
      <c r="O205" s="32">
        <v>40</v>
      </c>
      <c r="P205" s="6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200</v>
      </c>
      <c r="Y205" s="546">
        <f t="shared" si="15"/>
        <v>201.6</v>
      </c>
      <c r="Z205" s="36">
        <f t="shared" ref="Z205:Z210" si="20">IFERROR(IF(Y205=0,"",ROUNDUP(Y205/H205,0)*0.00651),"")</f>
        <v>0.54683999999999999</v>
      </c>
      <c r="AA205" s="56"/>
      <c r="AB205" s="57"/>
      <c r="AC205" s="247" t="s">
        <v>326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222.5</v>
      </c>
      <c r="BN205" s="64">
        <f t="shared" si="17"/>
        <v>224.27999999999997</v>
      </c>
      <c r="BO205" s="64">
        <f t="shared" si="18"/>
        <v>0.45787545787545797</v>
      </c>
      <c r="BP205" s="64">
        <f t="shared" si="19"/>
        <v>0.46153846153846156</v>
      </c>
    </row>
    <row r="206" spans="1:68" ht="27" customHeight="1" x14ac:dyDescent="0.25">
      <c r="A206" s="54" t="s">
        <v>335</v>
      </c>
      <c r="B206" s="54" t="s">
        <v>336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337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338</v>
      </c>
      <c r="B207" s="54" t="s">
        <v>339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216</v>
      </c>
      <c r="M207" s="33" t="s">
        <v>77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168</v>
      </c>
      <c r="Y207" s="546">
        <f t="shared" si="15"/>
        <v>168</v>
      </c>
      <c r="Z207" s="36">
        <f t="shared" si="20"/>
        <v>0.45569999999999999</v>
      </c>
      <c r="AA207" s="56"/>
      <c r="AB207" s="57"/>
      <c r="AC207" s="251" t="s">
        <v>332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185.64000000000001</v>
      </c>
      <c r="BN207" s="64">
        <f t="shared" si="17"/>
        <v>185.64000000000001</v>
      </c>
      <c r="BO207" s="64">
        <f t="shared" si="18"/>
        <v>0.38461538461538464</v>
      </c>
      <c r="BP207" s="64">
        <f t="shared" si="19"/>
        <v>0.38461538461538464</v>
      </c>
    </row>
    <row r="208" spans="1:68" ht="27" customHeight="1" x14ac:dyDescent="0.25">
      <c r="A208" s="54" t="s">
        <v>340</v>
      </c>
      <c r="B208" s="54" t="s">
        <v>341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342</v>
      </c>
      <c r="B209" s="54" t="s">
        <v>343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216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108</v>
      </c>
      <c r="Y209" s="546">
        <f t="shared" si="15"/>
        <v>108</v>
      </c>
      <c r="Z209" s="36">
        <f t="shared" si="20"/>
        <v>0.29294999999999999</v>
      </c>
      <c r="AA209" s="56"/>
      <c r="AB209" s="57"/>
      <c r="AC209" s="255" t="s">
        <v>344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119.34</v>
      </c>
      <c r="BN209" s="64">
        <f t="shared" si="17"/>
        <v>119.34</v>
      </c>
      <c r="BO209" s="64">
        <f t="shared" si="18"/>
        <v>0.24725274725274726</v>
      </c>
      <c r="BP209" s="64">
        <f t="shared" si="19"/>
        <v>0.24725274725274726</v>
      </c>
    </row>
    <row r="210" spans="1:68" ht="27" customHeight="1" x14ac:dyDescent="0.25">
      <c r="A210" s="54" t="s">
        <v>345</v>
      </c>
      <c r="B210" s="54" t="s">
        <v>346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200</v>
      </c>
      <c r="Y210" s="546">
        <f t="shared" si="15"/>
        <v>201.6</v>
      </c>
      <c r="Z210" s="36">
        <f t="shared" si="20"/>
        <v>0.54683999999999999</v>
      </c>
      <c r="AA210" s="56"/>
      <c r="AB210" s="57"/>
      <c r="AC210" s="257" t="s">
        <v>329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221.50000000000003</v>
      </c>
      <c r="BN210" s="64">
        <f t="shared" si="17"/>
        <v>223.27200000000002</v>
      </c>
      <c r="BO210" s="64">
        <f t="shared" si="18"/>
        <v>0.45787545787545797</v>
      </c>
      <c r="BP210" s="64">
        <f t="shared" si="19"/>
        <v>0.46153846153846156</v>
      </c>
    </row>
    <row r="211" spans="1:68" x14ac:dyDescent="0.2">
      <c r="A211" s="569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70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316.14942528735634</v>
      </c>
      <c r="Y211" s="547">
        <f>IFERROR(Y202/H202,"0")+IFERROR(Y203/H203,"0")+IFERROR(Y204/H204,"0")+IFERROR(Y205/H205,"0")+IFERROR(Y206/H206,"0")+IFERROR(Y207/H207,"0")+IFERROR(Y208/H208,"0")+IFERROR(Y209/H209,"0")+IFERROR(Y210/H210,"0")</f>
        <v>318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2.5066299999999999</v>
      </c>
      <c r="AA211" s="548"/>
      <c r="AB211" s="548"/>
      <c r="AC211" s="548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70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7">
        <f>IFERROR(SUM(X202:X210),"0")</f>
        <v>976</v>
      </c>
      <c r="Y212" s="547">
        <f>IFERROR(SUM(Y202:Y210),"0")</f>
        <v>983.7</v>
      </c>
      <c r="Z212" s="37"/>
      <c r="AA212" s="548"/>
      <c r="AB212" s="548"/>
      <c r="AC212" s="548"/>
    </row>
    <row r="213" spans="1:68" ht="14.25" customHeight="1" x14ac:dyDescent="0.25">
      <c r="A213" s="568" t="s">
        <v>165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1"/>
      <c r="AB213" s="541"/>
      <c r="AC213" s="541"/>
    </row>
    <row r="214" spans="1:68" ht="27" customHeight="1" x14ac:dyDescent="0.25">
      <c r="A214" s="54" t="s">
        <v>347</v>
      </c>
      <c r="B214" s="54" t="s">
        <v>348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32</v>
      </c>
      <c r="Y214" s="546">
        <f>IFERROR(IF(X214="",0,CEILING((X214/$H214),1)*$H214),"")</f>
        <v>33.6</v>
      </c>
      <c r="Z214" s="36">
        <f>IFERROR(IF(Y214=0,"",ROUNDUP(Y214/H214,0)*0.00651),"")</f>
        <v>9.1139999999999999E-2</v>
      </c>
      <c r="AA214" s="56"/>
      <c r="AB214" s="57"/>
      <c r="AC214" s="259" t="s">
        <v>349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35.360000000000007</v>
      </c>
      <c r="BN214" s="64">
        <f>IFERROR(Y214*I214/H214,"0")</f>
        <v>37.128000000000007</v>
      </c>
      <c r="BO214" s="64">
        <f>IFERROR(1/J214*(X214/H214),"0")</f>
        <v>7.3260073260073263E-2</v>
      </c>
      <c r="BP214" s="64">
        <f>IFERROR(1/J214*(Y214/H214),"0")</f>
        <v>7.6923076923076941E-2</v>
      </c>
    </row>
    <row r="215" spans="1:68" ht="27" customHeight="1" x14ac:dyDescent="0.25">
      <c r="A215" s="54" t="s">
        <v>350</v>
      </c>
      <c r="B215" s="54" t="s">
        <v>351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28</v>
      </c>
      <c r="Y215" s="546">
        <f>IFERROR(IF(X215="",0,CEILING((X215/$H215),1)*$H215),"")</f>
        <v>28.799999999999997</v>
      </c>
      <c r="Z215" s="36">
        <f>IFERROR(IF(Y215=0,"",ROUNDUP(Y215/H215,0)*0.00651),"")</f>
        <v>7.8119999999999995E-2</v>
      </c>
      <c r="AA215" s="56"/>
      <c r="AB215" s="57"/>
      <c r="AC215" s="261" t="s">
        <v>352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30.94</v>
      </c>
      <c r="BN215" s="64">
        <f>IFERROR(Y215*I215/H215,"0")</f>
        <v>31.824000000000002</v>
      </c>
      <c r="BO215" s="64">
        <f>IFERROR(1/J215*(X215/H215),"0")</f>
        <v>6.4102564102564111E-2</v>
      </c>
      <c r="BP215" s="64">
        <f>IFERROR(1/J215*(Y215/H215),"0")</f>
        <v>6.5934065934065936E-2</v>
      </c>
    </row>
    <row r="216" spans="1:68" x14ac:dyDescent="0.2">
      <c r="A216" s="569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0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7">
        <f>IFERROR(X214/H214,"0")+IFERROR(X215/H215,"0")</f>
        <v>25</v>
      </c>
      <c r="Y216" s="547">
        <f>IFERROR(Y214/H214,"0")+IFERROR(Y215/H215,"0")</f>
        <v>26</v>
      </c>
      <c r="Z216" s="547">
        <f>IFERROR(IF(Z214="",0,Z214),"0")+IFERROR(IF(Z215="",0,Z215),"0")</f>
        <v>0.16925999999999999</v>
      </c>
      <c r="AA216" s="548"/>
      <c r="AB216" s="548"/>
      <c r="AC216" s="548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70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7">
        <f>IFERROR(SUM(X214:X215),"0")</f>
        <v>60</v>
      </c>
      <c r="Y217" s="547">
        <f>IFERROR(SUM(Y214:Y215),"0")</f>
        <v>62.4</v>
      </c>
      <c r="Z217" s="37"/>
      <c r="AA217" s="548"/>
      <c r="AB217" s="548"/>
      <c r="AC217" s="548"/>
    </row>
    <row r="218" spans="1:68" ht="16.5" customHeight="1" x14ac:dyDescent="0.25">
      <c r="A218" s="563" t="s">
        <v>353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0"/>
      <c r="AB218" s="540"/>
      <c r="AC218" s="540"/>
    </row>
    <row r="219" spans="1:68" ht="14.25" customHeight="1" x14ac:dyDescent="0.25">
      <c r="A219" s="568" t="s">
        <v>99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1"/>
      <c r="AB219" s="541"/>
      <c r="AC219" s="541"/>
    </row>
    <row r="220" spans="1:68" ht="27" customHeight="1" x14ac:dyDescent="0.25">
      <c r="A220" s="54" t="s">
        <v>354</v>
      </c>
      <c r="B220" s="54" t="s">
        <v>355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7" t="s">
        <v>356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357</v>
      </c>
      <c r="AC220" s="263" t="s">
        <v>358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20</v>
      </c>
      <c r="Y221" s="546">
        <f t="shared" si="21"/>
        <v>23.2</v>
      </c>
      <c r="Z221" s="36">
        <f>IFERROR(IF(Y221=0,"",ROUNDUP(Y221/H221,0)*0.01898),"")</f>
        <v>3.7960000000000001E-2</v>
      </c>
      <c r="AA221" s="56"/>
      <c r="AB221" s="57"/>
      <c r="AC221" s="265" t="s">
        <v>361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20.75</v>
      </c>
      <c r="BN221" s="64">
        <f t="shared" si="23"/>
        <v>24.07</v>
      </c>
      <c r="BO221" s="64">
        <f t="shared" si="24"/>
        <v>2.6939655172413795E-2</v>
      </c>
      <c r="BP221" s="64">
        <f t="shared" si="25"/>
        <v>3.125E-2</v>
      </c>
    </row>
    <row r="222" spans="1:68" ht="27" customHeight="1" x14ac:dyDescent="0.25">
      <c r="A222" s="54" t="s">
        <v>362</v>
      </c>
      <c r="B222" s="54" t="s">
        <v>363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364</v>
      </c>
      <c r="B223" s="54" t="s">
        <v>365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 t="s">
        <v>103</v>
      </c>
      <c r="M223" s="33" t="s">
        <v>104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20</v>
      </c>
      <c r="Y223" s="546">
        <f t="shared" si="21"/>
        <v>23.2</v>
      </c>
      <c r="Z223" s="36">
        <f>IFERROR(IF(Y223=0,"",ROUNDUP(Y223/H223,0)*0.01898),"")</f>
        <v>3.7960000000000001E-2</v>
      </c>
      <c r="AA223" s="56"/>
      <c r="AB223" s="57"/>
      <c r="AC223" s="269" t="s">
        <v>366</v>
      </c>
      <c r="AG223" s="64"/>
      <c r="AJ223" s="68" t="s">
        <v>106</v>
      </c>
      <c r="AK223" s="68">
        <v>92.8</v>
      </c>
      <c r="BB223" s="270" t="s">
        <v>1</v>
      </c>
      <c r="BM223" s="64">
        <f t="shared" si="22"/>
        <v>20.75</v>
      </c>
      <c r="BN223" s="64">
        <f t="shared" si="23"/>
        <v>24.07</v>
      </c>
      <c r="BO223" s="64">
        <f t="shared" si="24"/>
        <v>2.6939655172413795E-2</v>
      </c>
      <c r="BP223" s="64">
        <f t="shared" si="25"/>
        <v>3.125E-2</v>
      </c>
    </row>
    <row r="224" spans="1:68" ht="27" customHeight="1" x14ac:dyDescent="0.25">
      <c r="A224" s="54" t="s">
        <v>367</v>
      </c>
      <c r="B224" s="54" t="s">
        <v>368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 t="s">
        <v>199</v>
      </c>
      <c r="M224" s="33" t="s">
        <v>104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56</v>
      </c>
      <c r="Y224" s="546">
        <f t="shared" si="21"/>
        <v>56</v>
      </c>
      <c r="Z224" s="36">
        <f t="shared" ref="Z224:Z229" si="26">IFERROR(IF(Y224=0,"",ROUNDUP(Y224/H224,0)*0.00902),"")</f>
        <v>0.12628</v>
      </c>
      <c r="AA224" s="56"/>
      <c r="AB224" s="57"/>
      <c r="AC224" s="271" t="s">
        <v>361</v>
      </c>
      <c r="AG224" s="64"/>
      <c r="AJ224" s="68" t="s">
        <v>106</v>
      </c>
      <c r="AK224" s="68">
        <v>48</v>
      </c>
      <c r="BB224" s="272" t="s">
        <v>1</v>
      </c>
      <c r="BM224" s="64">
        <f t="shared" si="22"/>
        <v>58.94</v>
      </c>
      <c r="BN224" s="64">
        <f t="shared" si="23"/>
        <v>58.94</v>
      </c>
      <c r="BO224" s="64">
        <f t="shared" si="24"/>
        <v>0.10606060606060606</v>
      </c>
      <c r="BP224" s="64">
        <f t="shared" si="25"/>
        <v>0.10606060606060606</v>
      </c>
    </row>
    <row r="225" spans="1:68" ht="27" customHeight="1" x14ac:dyDescent="0.25">
      <c r="A225" s="54" t="s">
        <v>367</v>
      </c>
      <c r="B225" s="54" t="s">
        <v>369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370</v>
      </c>
      <c r="B226" s="54" t="s">
        <v>371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373</v>
      </c>
      <c r="B227" s="54" t="s">
        <v>374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375</v>
      </c>
      <c r="B228" s="54" t="s">
        <v>376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 t="s">
        <v>199</v>
      </c>
      <c r="M228" s="33" t="s">
        <v>104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20</v>
      </c>
      <c r="Y228" s="546">
        <f t="shared" si="21"/>
        <v>20</v>
      </c>
      <c r="Z228" s="36">
        <f t="shared" si="26"/>
        <v>4.5100000000000001E-2</v>
      </c>
      <c r="AA228" s="56"/>
      <c r="AB228" s="57"/>
      <c r="AC228" s="279" t="s">
        <v>366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21.05</v>
      </c>
      <c r="BN228" s="64">
        <f t="shared" si="23"/>
        <v>21.05</v>
      </c>
      <c r="BO228" s="64">
        <f t="shared" si="24"/>
        <v>3.787878787878788E-2</v>
      </c>
      <c r="BP228" s="64">
        <f t="shared" si="25"/>
        <v>3.787878787878788E-2</v>
      </c>
    </row>
    <row r="229" spans="1:68" ht="27" customHeight="1" x14ac:dyDescent="0.25">
      <c r="A229" s="54" t="s">
        <v>375</v>
      </c>
      <c r="B229" s="54" t="s">
        <v>377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">
        <v>378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9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70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22.448275862068964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23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0.24729999999999999</v>
      </c>
      <c r="AA230" s="548"/>
      <c r="AB230" s="548"/>
      <c r="AC230" s="548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0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7">
        <f>IFERROR(SUM(X220:X229),"0")</f>
        <v>116</v>
      </c>
      <c r="Y231" s="547">
        <f>IFERROR(SUM(Y220:Y229),"0")</f>
        <v>122.4</v>
      </c>
      <c r="Z231" s="37"/>
      <c r="AA231" s="548"/>
      <c r="AB231" s="548"/>
      <c r="AC231" s="548"/>
    </row>
    <row r="232" spans="1:68" ht="14.25" customHeight="1" x14ac:dyDescent="0.25">
      <c r="A232" s="568" t="s">
        <v>135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1"/>
      <c r="AB232" s="541"/>
      <c r="AC232" s="541"/>
    </row>
    <row r="233" spans="1:68" ht="27" customHeight="1" x14ac:dyDescent="0.25">
      <c r="A233" s="54" t="s">
        <v>379</v>
      </c>
      <c r="B233" s="54" t="s">
        <v>380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381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9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70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0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8" t="s">
        <v>382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1"/>
      <c r="AB236" s="541"/>
      <c r="AC236" s="541"/>
    </row>
    <row r="237" spans="1:68" ht="27" customHeight="1" x14ac:dyDescent="0.25">
      <c r="A237" s="54" t="s">
        <v>383</v>
      </c>
      <c r="B237" s="54" t="s">
        <v>384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282</v>
      </c>
      <c r="L237" s="32"/>
      <c r="M237" s="33" t="s">
        <v>283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9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70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0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8" t="s">
        <v>386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1"/>
      <c r="AB240" s="541"/>
      <c r="AC240" s="541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282</v>
      </c>
      <c r="L241" s="32"/>
      <c r="M241" s="33" t="s">
        <v>283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393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394</v>
      </c>
      <c r="B244" s="54" t="s">
        <v>395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9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70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0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63" t="s">
        <v>398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0"/>
      <c r="AB248" s="540"/>
      <c r="AC248" s="540"/>
    </row>
    <row r="249" spans="1:68" ht="14.25" customHeight="1" x14ac:dyDescent="0.25">
      <c r="A249" s="568" t="s">
        <v>99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1"/>
      <c r="AB249" s="541"/>
      <c r="AC249" s="541"/>
    </row>
    <row r="250" spans="1:68" ht="27" customHeight="1" x14ac:dyDescent="0.25">
      <c r="A250" s="54" t="s">
        <v>399</v>
      </c>
      <c r="B250" s="54" t="s">
        <v>400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402</v>
      </c>
      <c r="B251" s="54" t="s">
        <v>403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408</v>
      </c>
      <c r="B253" s="54" t="s">
        <v>409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411</v>
      </c>
      <c r="B254" s="54" t="s">
        <v>412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9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70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0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3" t="s">
        <v>414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0"/>
      <c r="AB257" s="540"/>
      <c r="AC257" s="540"/>
    </row>
    <row r="258" spans="1:68" ht="14.25" customHeight="1" x14ac:dyDescent="0.25">
      <c r="A258" s="568" t="s">
        <v>99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1"/>
      <c r="AB258" s="541"/>
      <c r="AC258" s="541"/>
    </row>
    <row r="259" spans="1:68" ht="27" customHeight="1" x14ac:dyDescent="0.25">
      <c r="A259" s="54" t="s">
        <v>415</v>
      </c>
      <c r="B259" s="54" t="s">
        <v>416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417</v>
      </c>
      <c r="B260" s="54" t="s">
        <v>418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9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70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0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3" t="s">
        <v>426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0"/>
      <c r="AB265" s="540"/>
      <c r="AC265" s="540"/>
    </row>
    <row r="266" spans="1:68" ht="14.25" customHeight="1" x14ac:dyDescent="0.25">
      <c r="A266" s="568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1"/>
      <c r="AB266" s="541"/>
      <c r="AC266" s="541"/>
    </row>
    <row r="267" spans="1:68" ht="27" customHeight="1" x14ac:dyDescent="0.25">
      <c r="A267" s="54" t="s">
        <v>427</v>
      </c>
      <c r="B267" s="54" t="s">
        <v>428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429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430</v>
      </c>
      <c r="B268" s="54" t="s">
        <v>431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216</v>
      </c>
      <c r="M268" s="33" t="s">
        <v>84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433</v>
      </c>
      <c r="B269" s="54" t="s">
        <v>434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40</v>
      </c>
      <c r="Y269" s="546">
        <f>IFERROR(IF(X269="",0,CEILING((X269/$H269),1)*$H269),"")</f>
        <v>40.799999999999997</v>
      </c>
      <c r="Z269" s="36">
        <f>IFERROR(IF(Y269=0,"",ROUNDUP(Y269/H269,0)*0.00651),"")</f>
        <v>0.11067</v>
      </c>
      <c r="AA269" s="56"/>
      <c r="AB269" s="57"/>
      <c r="AC269" s="319" t="s">
        <v>435</v>
      </c>
      <c r="AG269" s="64"/>
      <c r="AJ269" s="68" t="s">
        <v>106</v>
      </c>
      <c r="AK269" s="68">
        <v>2.4</v>
      </c>
      <c r="BB269" s="320" t="s">
        <v>1</v>
      </c>
      <c r="BM269" s="64">
        <f>IFERROR(X269*I269/H269,"0")</f>
        <v>43</v>
      </c>
      <c r="BN269" s="64">
        <f>IFERROR(Y269*I269/H269,"0")</f>
        <v>43.86</v>
      </c>
      <c r="BO269" s="64">
        <f>IFERROR(1/J269*(X269/H269),"0")</f>
        <v>9.1575091575091583E-2</v>
      </c>
      <c r="BP269" s="64">
        <f>IFERROR(1/J269*(Y269/H269),"0")</f>
        <v>9.3406593406593408E-2</v>
      </c>
    </row>
    <row r="270" spans="1:68" x14ac:dyDescent="0.2">
      <c r="A270" s="569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70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7">
        <f>IFERROR(X267/H267,"0")+IFERROR(X268/H268,"0")+IFERROR(X269/H269,"0")</f>
        <v>16.666666666666668</v>
      </c>
      <c r="Y270" s="547">
        <f>IFERROR(Y267/H267,"0")+IFERROR(Y268/H268,"0")+IFERROR(Y269/H269,"0")</f>
        <v>17</v>
      </c>
      <c r="Z270" s="547">
        <f>IFERROR(IF(Z267="",0,Z267),"0")+IFERROR(IF(Z268="",0,Z268),"0")+IFERROR(IF(Z269="",0,Z269),"0")</f>
        <v>0.11067</v>
      </c>
      <c r="AA270" s="548"/>
      <c r="AB270" s="548"/>
      <c r="AC270" s="548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0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7">
        <f>IFERROR(SUM(X267:X269),"0")</f>
        <v>40</v>
      </c>
      <c r="Y271" s="547">
        <f>IFERROR(SUM(Y267:Y269),"0")</f>
        <v>40.799999999999997</v>
      </c>
      <c r="Z271" s="37"/>
      <c r="AA271" s="548"/>
      <c r="AB271" s="548"/>
      <c r="AC271" s="548"/>
    </row>
    <row r="272" spans="1:68" ht="16.5" customHeight="1" x14ac:dyDescent="0.25">
      <c r="A272" s="563" t="s">
        <v>436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0"/>
      <c r="AB272" s="540"/>
      <c r="AC272" s="540"/>
    </row>
    <row r="273" spans="1:68" ht="14.25" customHeight="1" x14ac:dyDescent="0.25">
      <c r="A273" s="568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1"/>
      <c r="AB273" s="541"/>
      <c r="AC273" s="541"/>
    </row>
    <row r="274" spans="1:68" ht="27" customHeight="1" x14ac:dyDescent="0.25">
      <c r="A274" s="54" t="s">
        <v>437</v>
      </c>
      <c r="B274" s="54" t="s">
        <v>438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439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9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70"/>
      <c r="P275" s="560" t="s">
        <v>71</v>
      </c>
      <c r="Q275" s="561"/>
      <c r="R275" s="561"/>
      <c r="S275" s="561"/>
      <c r="T275" s="561"/>
      <c r="U275" s="561"/>
      <c r="V275" s="562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0"/>
      <c r="P276" s="560" t="s">
        <v>71</v>
      </c>
      <c r="Q276" s="561"/>
      <c r="R276" s="561"/>
      <c r="S276" s="561"/>
      <c r="T276" s="561"/>
      <c r="U276" s="561"/>
      <c r="V276" s="562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68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1"/>
      <c r="AB277" s="541"/>
      <c r="AC277" s="541"/>
    </row>
    <row r="278" spans="1:68" ht="37.5" customHeight="1" x14ac:dyDescent="0.25">
      <c r="A278" s="54" t="s">
        <v>440</v>
      </c>
      <c r="B278" s="54" t="s">
        <v>441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442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9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70"/>
      <c r="P279" s="560" t="s">
        <v>71</v>
      </c>
      <c r="Q279" s="561"/>
      <c r="R279" s="561"/>
      <c r="S279" s="561"/>
      <c r="T279" s="561"/>
      <c r="U279" s="561"/>
      <c r="V279" s="562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0"/>
      <c r="P280" s="560" t="s">
        <v>71</v>
      </c>
      <c r="Q280" s="561"/>
      <c r="R280" s="561"/>
      <c r="S280" s="561"/>
      <c r="T280" s="561"/>
      <c r="U280" s="561"/>
      <c r="V280" s="562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63" t="s">
        <v>443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0"/>
      <c r="AB281" s="540"/>
      <c r="AC281" s="540"/>
    </row>
    <row r="282" spans="1:68" ht="14.25" customHeight="1" x14ac:dyDescent="0.25">
      <c r="A282" s="568" t="s">
        <v>99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1"/>
      <c r="AB282" s="541"/>
      <c r="AC282" s="541"/>
    </row>
    <row r="283" spans="1:68" ht="27" customHeight="1" x14ac:dyDescent="0.25">
      <c r="A283" s="54" t="s">
        <v>444</v>
      </c>
      <c r="B283" s="54" t="s">
        <v>445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446</v>
      </c>
      <c r="AB283" s="57"/>
      <c r="AC283" s="325" t="s">
        <v>447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9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70"/>
      <c r="P284" s="560" t="s">
        <v>71</v>
      </c>
      <c r="Q284" s="561"/>
      <c r="R284" s="561"/>
      <c r="S284" s="561"/>
      <c r="T284" s="561"/>
      <c r="U284" s="561"/>
      <c r="V284" s="562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0"/>
      <c r="P285" s="560" t="s">
        <v>71</v>
      </c>
      <c r="Q285" s="561"/>
      <c r="R285" s="561"/>
      <c r="S285" s="561"/>
      <c r="T285" s="561"/>
      <c r="U285" s="561"/>
      <c r="V285" s="562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63" t="s">
        <v>448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0"/>
      <c r="AB286" s="540"/>
      <c r="AC286" s="540"/>
    </row>
    <row r="287" spans="1:68" ht="14.25" customHeight="1" x14ac:dyDescent="0.25">
      <c r="A287" s="568" t="s">
        <v>99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1"/>
      <c r="AB287" s="541"/>
      <c r="AC287" s="541"/>
    </row>
    <row r="288" spans="1:68" ht="27" customHeight="1" x14ac:dyDescent="0.25">
      <c r="A288" s="54" t="s">
        <v>449</v>
      </c>
      <c r="B288" s="54" t="s">
        <v>450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451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452</v>
      </c>
      <c r="B289" s="54" t="s">
        <v>453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455</v>
      </c>
      <c r="B290" s="54" t="s">
        <v>456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457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458</v>
      </c>
      <c r="B291" s="54" t="s">
        <v>459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451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70"/>
      <c r="P293" s="560" t="s">
        <v>71</v>
      </c>
      <c r="Q293" s="561"/>
      <c r="R293" s="561"/>
      <c r="S293" s="561"/>
      <c r="T293" s="561"/>
      <c r="U293" s="561"/>
      <c r="V293" s="562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70"/>
      <c r="P294" s="560" t="s">
        <v>71</v>
      </c>
      <c r="Q294" s="561"/>
      <c r="R294" s="561"/>
      <c r="S294" s="561"/>
      <c r="T294" s="561"/>
      <c r="U294" s="561"/>
      <c r="V294" s="562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68" t="s">
        <v>64</v>
      </c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4"/>
      <c r="P295" s="564"/>
      <c r="Q295" s="564"/>
      <c r="R295" s="564"/>
      <c r="S295" s="564"/>
      <c r="T295" s="564"/>
      <c r="U295" s="564"/>
      <c r="V295" s="564"/>
      <c r="W295" s="564"/>
      <c r="X295" s="564"/>
      <c r="Y295" s="564"/>
      <c r="Z295" s="564"/>
      <c r="AA295" s="541"/>
      <c r="AB295" s="541"/>
      <c r="AC295" s="541"/>
    </row>
    <row r="296" spans="1:68" ht="27" customHeight="1" x14ac:dyDescent="0.25">
      <c r="A296" s="54" t="s">
        <v>463</v>
      </c>
      <c r="B296" s="54" t="s">
        <v>464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465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468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469</v>
      </c>
      <c r="B298" s="54" t="s">
        <v>470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471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472</v>
      </c>
      <c r="B299" s="54" t="s">
        <v>473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 t="s">
        <v>267</v>
      </c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468</v>
      </c>
      <c r="AG299" s="64"/>
      <c r="AJ299" s="68" t="s">
        <v>106</v>
      </c>
      <c r="AK299" s="68">
        <v>37.799999999999997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 t="s">
        <v>267</v>
      </c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70</v>
      </c>
      <c r="Y300" s="546">
        <f t="shared" si="27"/>
        <v>71.400000000000006</v>
      </c>
      <c r="Z300" s="36">
        <f>IFERROR(IF(Y300=0,"",ROUNDUP(Y300/H300,0)*0.00502),"")</f>
        <v>0.17068</v>
      </c>
      <c r="AA300" s="56"/>
      <c r="AB300" s="57"/>
      <c r="AC300" s="345" t="s">
        <v>476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73.333333333333329</v>
      </c>
      <c r="BN300" s="64">
        <f t="shared" si="29"/>
        <v>74.8</v>
      </c>
      <c r="BO300" s="64">
        <f t="shared" si="30"/>
        <v>0.14245014245014245</v>
      </c>
      <c r="BP300" s="64">
        <f t="shared" si="31"/>
        <v>0.14529914529914531</v>
      </c>
    </row>
    <row r="301" spans="1:68" ht="27" customHeight="1" x14ac:dyDescent="0.25">
      <c r="A301" s="54" t="s">
        <v>477</v>
      </c>
      <c r="B301" s="54" t="s">
        <v>478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 t="s">
        <v>216</v>
      </c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30</v>
      </c>
      <c r="Y302" s="546">
        <f t="shared" si="27"/>
        <v>30.6</v>
      </c>
      <c r="Z302" s="36">
        <f>IFERROR(IF(Y302=0,"",ROUNDUP(Y302/H302,0)*0.00651),"")</f>
        <v>0.11067</v>
      </c>
      <c r="AA302" s="56"/>
      <c r="AB302" s="57"/>
      <c r="AC302" s="349" t="s">
        <v>481</v>
      </c>
      <c r="AG302" s="64"/>
      <c r="AJ302" s="68" t="s">
        <v>106</v>
      </c>
      <c r="AK302" s="68">
        <v>25.2</v>
      </c>
      <c r="BB302" s="350" t="s">
        <v>1</v>
      </c>
      <c r="BM302" s="64">
        <f t="shared" si="28"/>
        <v>33.800000000000004</v>
      </c>
      <c r="BN302" s="64">
        <f t="shared" si="29"/>
        <v>34.475999999999999</v>
      </c>
      <c r="BO302" s="64">
        <f t="shared" si="30"/>
        <v>9.1575091575091583E-2</v>
      </c>
      <c r="BP302" s="64">
        <f t="shared" si="31"/>
        <v>9.3406593406593408E-2</v>
      </c>
    </row>
    <row r="303" spans="1:68" x14ac:dyDescent="0.2">
      <c r="A303" s="569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70"/>
      <c r="P303" s="560" t="s">
        <v>71</v>
      </c>
      <c r="Q303" s="561"/>
      <c r="R303" s="561"/>
      <c r="S303" s="561"/>
      <c r="T303" s="561"/>
      <c r="U303" s="561"/>
      <c r="V303" s="562"/>
      <c r="W303" s="37" t="s">
        <v>72</v>
      </c>
      <c r="X303" s="547">
        <f>IFERROR(X296/H296,"0")+IFERROR(X297/H297,"0")+IFERROR(X298/H298,"0")+IFERROR(X299/H299,"0")+IFERROR(X300/H300,"0")+IFERROR(X301/H301,"0")+IFERROR(X302/H302,"0")</f>
        <v>50</v>
      </c>
      <c r="Y303" s="547">
        <f>IFERROR(Y296/H296,"0")+IFERROR(Y297/H297,"0")+IFERROR(Y298/H298,"0")+IFERROR(Y299/H299,"0")+IFERROR(Y300/H300,"0")+IFERROR(Y301/H301,"0")+IFERROR(Y302/H302,"0")</f>
        <v>51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0.28134999999999999</v>
      </c>
      <c r="AA303" s="548"/>
      <c r="AB303" s="548"/>
      <c r="AC303" s="548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70"/>
      <c r="P304" s="560" t="s">
        <v>71</v>
      </c>
      <c r="Q304" s="561"/>
      <c r="R304" s="561"/>
      <c r="S304" s="561"/>
      <c r="T304" s="561"/>
      <c r="U304" s="561"/>
      <c r="V304" s="562"/>
      <c r="W304" s="37" t="s">
        <v>69</v>
      </c>
      <c r="X304" s="547">
        <f>IFERROR(SUM(X296:X302),"0")</f>
        <v>100</v>
      </c>
      <c r="Y304" s="547">
        <f>IFERROR(SUM(Y296:Y302),"0")</f>
        <v>102</v>
      </c>
      <c r="Z304" s="37"/>
      <c r="AA304" s="548"/>
      <c r="AB304" s="548"/>
      <c r="AC304" s="548"/>
    </row>
    <row r="305" spans="1:68" ht="14.25" customHeight="1" x14ac:dyDescent="0.25">
      <c r="A305" s="568" t="s">
        <v>73</v>
      </c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4"/>
      <c r="P305" s="564"/>
      <c r="Q305" s="564"/>
      <c r="R305" s="564"/>
      <c r="S305" s="564"/>
      <c r="T305" s="564"/>
      <c r="U305" s="564"/>
      <c r="V305" s="564"/>
      <c r="W305" s="564"/>
      <c r="X305" s="564"/>
      <c r="Y305" s="564"/>
      <c r="Z305" s="564"/>
      <c r="AA305" s="541"/>
      <c r="AB305" s="541"/>
      <c r="AC305" s="541"/>
    </row>
    <row r="306" spans="1:68" ht="27" customHeight="1" x14ac:dyDescent="0.25">
      <c r="A306" s="54" t="s">
        <v>482</v>
      </c>
      <c r="B306" s="54" t="s">
        <v>483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484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487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488</v>
      </c>
      <c r="B308" s="54" t="s">
        <v>489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490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491</v>
      </c>
      <c r="B309" s="54" t="s">
        <v>492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493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494</v>
      </c>
      <c r="B310" s="54" t="s">
        <v>495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496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9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70"/>
      <c r="P311" s="560" t="s">
        <v>71</v>
      </c>
      <c r="Q311" s="561"/>
      <c r="R311" s="561"/>
      <c r="S311" s="561"/>
      <c r="T311" s="561"/>
      <c r="U311" s="561"/>
      <c r="V311" s="562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70"/>
      <c r="P312" s="560" t="s">
        <v>71</v>
      </c>
      <c r="Q312" s="561"/>
      <c r="R312" s="561"/>
      <c r="S312" s="561"/>
      <c r="T312" s="561"/>
      <c r="U312" s="561"/>
      <c r="V312" s="562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68" t="s">
        <v>165</v>
      </c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4"/>
      <c r="P313" s="564"/>
      <c r="Q313" s="564"/>
      <c r="R313" s="564"/>
      <c r="S313" s="564"/>
      <c r="T313" s="564"/>
      <c r="U313" s="564"/>
      <c r="V313" s="564"/>
      <c r="W313" s="564"/>
      <c r="X313" s="564"/>
      <c r="Y313" s="564"/>
      <c r="Z313" s="564"/>
      <c r="AA313" s="541"/>
      <c r="AB313" s="541"/>
      <c r="AC313" s="541"/>
    </row>
    <row r="314" spans="1:68" ht="27" customHeight="1" x14ac:dyDescent="0.25">
      <c r="A314" s="54" t="s">
        <v>497</v>
      </c>
      <c r="B314" s="54" t="s">
        <v>498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40</v>
      </c>
      <c r="Y314" s="546">
        <f>IFERROR(IF(X314="",0,CEILING((X314/$H314),1)*$H314),"")</f>
        <v>42</v>
      </c>
      <c r="Z314" s="36">
        <f>IFERROR(IF(Y314=0,"",ROUNDUP(Y314/H314,0)*0.01898),"")</f>
        <v>9.4899999999999998E-2</v>
      </c>
      <c r="AA314" s="56"/>
      <c r="AB314" s="57"/>
      <c r="AC314" s="361" t="s">
        <v>499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42.471428571428568</v>
      </c>
      <c r="BN314" s="64">
        <f>IFERROR(Y314*I314/H314,"0")</f>
        <v>44.594999999999999</v>
      </c>
      <c r="BO314" s="64">
        <f>IFERROR(1/J314*(X314/H314),"0")</f>
        <v>7.4404761904761904E-2</v>
      </c>
      <c r="BP314" s="64">
        <f>IFERROR(1/J314*(Y314/H314),"0")</f>
        <v>7.8125E-2</v>
      </c>
    </row>
    <row r="315" spans="1:68" ht="27" customHeight="1" x14ac:dyDescent="0.25">
      <c r="A315" s="54" t="s">
        <v>500</v>
      </c>
      <c r="B315" s="54" t="s">
        <v>501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420</v>
      </c>
      <c r="Y315" s="546">
        <f>IFERROR(IF(X315="",0,CEILING((X315/$H315),1)*$H315),"")</f>
        <v>421.2</v>
      </c>
      <c r="Z315" s="36">
        <f>IFERROR(IF(Y315=0,"",ROUNDUP(Y315/H315,0)*0.01898),"")</f>
        <v>1.0249200000000001</v>
      </c>
      <c r="AA315" s="56"/>
      <c r="AB315" s="57"/>
      <c r="AC315" s="363" t="s">
        <v>502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447.94615384615389</v>
      </c>
      <c r="BN315" s="64">
        <f>IFERROR(Y315*I315/H315,"0")</f>
        <v>449.22600000000006</v>
      </c>
      <c r="BO315" s="64">
        <f>IFERROR(1/J315*(X315/H315),"0")</f>
        <v>0.84134615384615385</v>
      </c>
      <c r="BP315" s="64">
        <f>IFERROR(1/J315*(Y315/H315),"0")</f>
        <v>0.84375</v>
      </c>
    </row>
    <row r="316" spans="1:68" ht="16.5" customHeight="1" x14ac:dyDescent="0.25">
      <c r="A316" s="54" t="s">
        <v>503</v>
      </c>
      <c r="B316" s="54" t="s">
        <v>504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300</v>
      </c>
      <c r="Y316" s="546">
        <f>IFERROR(IF(X316="",0,CEILING((X316/$H316),1)*$H316),"")</f>
        <v>302.40000000000003</v>
      </c>
      <c r="Z316" s="36">
        <f>IFERROR(IF(Y316=0,"",ROUNDUP(Y316/H316,0)*0.01898),"")</f>
        <v>0.68328</v>
      </c>
      <c r="AA316" s="56"/>
      <c r="AB316" s="57"/>
      <c r="AC316" s="365" t="s">
        <v>505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318.53571428571428</v>
      </c>
      <c r="BN316" s="64">
        <f>IFERROR(Y316*I316/H316,"0")</f>
        <v>321.084</v>
      </c>
      <c r="BO316" s="64">
        <f>IFERROR(1/J316*(X316/H316),"0")</f>
        <v>0.5580357142857143</v>
      </c>
      <c r="BP316" s="64">
        <f>IFERROR(1/J316*(Y316/H316),"0")</f>
        <v>0.5625</v>
      </c>
    </row>
    <row r="317" spans="1:68" x14ac:dyDescent="0.2">
      <c r="A317" s="569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70"/>
      <c r="P317" s="560" t="s">
        <v>71</v>
      </c>
      <c r="Q317" s="561"/>
      <c r="R317" s="561"/>
      <c r="S317" s="561"/>
      <c r="T317" s="561"/>
      <c r="U317" s="561"/>
      <c r="V317" s="562"/>
      <c r="W317" s="37" t="s">
        <v>72</v>
      </c>
      <c r="X317" s="547">
        <f>IFERROR(X314/H314,"0")+IFERROR(X315/H315,"0")+IFERROR(X316/H316,"0")</f>
        <v>94.322344322344321</v>
      </c>
      <c r="Y317" s="547">
        <f>IFERROR(Y314/H314,"0")+IFERROR(Y315/H315,"0")+IFERROR(Y316/H316,"0")</f>
        <v>95</v>
      </c>
      <c r="Z317" s="547">
        <f>IFERROR(IF(Z314="",0,Z314),"0")+IFERROR(IF(Z315="",0,Z315),"0")+IFERROR(IF(Z316="",0,Z316),"0")</f>
        <v>1.8031000000000001</v>
      </c>
      <c r="AA317" s="548"/>
      <c r="AB317" s="548"/>
      <c r="AC317" s="548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70"/>
      <c r="P318" s="560" t="s">
        <v>71</v>
      </c>
      <c r="Q318" s="561"/>
      <c r="R318" s="561"/>
      <c r="S318" s="561"/>
      <c r="T318" s="561"/>
      <c r="U318" s="561"/>
      <c r="V318" s="562"/>
      <c r="W318" s="37" t="s">
        <v>69</v>
      </c>
      <c r="X318" s="547">
        <f>IFERROR(SUM(X314:X316),"0")</f>
        <v>760</v>
      </c>
      <c r="Y318" s="547">
        <f>IFERROR(SUM(Y314:Y316),"0")</f>
        <v>765.6</v>
      </c>
      <c r="Z318" s="37"/>
      <c r="AA318" s="548"/>
      <c r="AB318" s="548"/>
      <c r="AC318" s="548"/>
    </row>
    <row r="319" spans="1:68" ht="14.25" customHeight="1" x14ac:dyDescent="0.25">
      <c r="A319" s="568" t="s">
        <v>91</v>
      </c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4"/>
      <c r="P319" s="564"/>
      <c r="Q319" s="564"/>
      <c r="R319" s="564"/>
      <c r="S319" s="564"/>
      <c r="T319" s="564"/>
      <c r="U319" s="564"/>
      <c r="V319" s="564"/>
      <c r="W319" s="564"/>
      <c r="X319" s="564"/>
      <c r="Y319" s="564"/>
      <c r="Z319" s="564"/>
      <c r="AA319" s="541"/>
      <c r="AB319" s="541"/>
      <c r="AC319" s="541"/>
    </row>
    <row r="320" spans="1:68" ht="27" customHeight="1" x14ac:dyDescent="0.25">
      <c r="A320" s="54" t="s">
        <v>506</v>
      </c>
      <c r="B320" s="54" t="s">
        <v>507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">
        <v>511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216</v>
      </c>
      <c r="M322" s="33" t="s">
        <v>94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9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70"/>
      <c r="P324" s="560" t="s">
        <v>71</v>
      </c>
      <c r="Q324" s="561"/>
      <c r="R324" s="561"/>
      <c r="S324" s="561"/>
      <c r="T324" s="561"/>
      <c r="U324" s="561"/>
      <c r="V324" s="562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70"/>
      <c r="P325" s="560" t="s">
        <v>71</v>
      </c>
      <c r="Q325" s="561"/>
      <c r="R325" s="561"/>
      <c r="S325" s="561"/>
      <c r="T325" s="561"/>
      <c r="U325" s="561"/>
      <c r="V325" s="562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68" t="s">
        <v>517</v>
      </c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4"/>
      <c r="P326" s="564"/>
      <c r="Q326" s="564"/>
      <c r="R326" s="564"/>
      <c r="S326" s="564"/>
      <c r="T326" s="564"/>
      <c r="U326" s="564"/>
      <c r="V326" s="564"/>
      <c r="W326" s="564"/>
      <c r="X326" s="564"/>
      <c r="Y326" s="564"/>
      <c r="Z326" s="564"/>
      <c r="AA326" s="541"/>
      <c r="AB326" s="541"/>
      <c r="AC326" s="541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 t="s">
        <v>216</v>
      </c>
      <c r="M327" s="33" t="s">
        <v>520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 t="s">
        <v>106</v>
      </c>
      <c r="AK327" s="68">
        <v>28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 t="s">
        <v>216</v>
      </c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 t="s">
        <v>106</v>
      </c>
      <c r="AK329" s="68">
        <v>28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9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70"/>
      <c r="P330" s="560" t="s">
        <v>71</v>
      </c>
      <c r="Q330" s="561"/>
      <c r="R330" s="561"/>
      <c r="S330" s="561"/>
      <c r="T330" s="561"/>
      <c r="U330" s="561"/>
      <c r="V330" s="562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70"/>
      <c r="P331" s="560" t="s">
        <v>71</v>
      </c>
      <c r="Q331" s="561"/>
      <c r="R331" s="561"/>
      <c r="S331" s="561"/>
      <c r="T331" s="561"/>
      <c r="U331" s="561"/>
      <c r="V331" s="562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3" t="s">
        <v>526</v>
      </c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  <c r="P332" s="564"/>
      <c r="Q332" s="564"/>
      <c r="R332" s="564"/>
      <c r="S332" s="564"/>
      <c r="T332" s="564"/>
      <c r="U332" s="564"/>
      <c r="V332" s="564"/>
      <c r="W332" s="564"/>
      <c r="X332" s="564"/>
      <c r="Y332" s="564"/>
      <c r="Z332" s="564"/>
      <c r="AA332" s="540"/>
      <c r="AB332" s="540"/>
      <c r="AC332" s="540"/>
    </row>
    <row r="333" spans="1:68" ht="14.25" customHeight="1" x14ac:dyDescent="0.25">
      <c r="A333" s="568" t="s">
        <v>73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1"/>
      <c r="AB333" s="541"/>
      <c r="AC333" s="541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216</v>
      </c>
      <c r="M335" s="33" t="s">
        <v>77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595</v>
      </c>
      <c r="Y335" s="546">
        <f>IFERROR(IF(X335="",0,CEILING((X335/$H335),1)*$H335),"")</f>
        <v>596.4</v>
      </c>
      <c r="Z335" s="36">
        <f>IFERROR(IF(Y335=0,"",ROUNDUP(Y335/H335,0)*0.00651),"")</f>
        <v>1.84884</v>
      </c>
      <c r="AA335" s="56"/>
      <c r="AB335" s="57"/>
      <c r="AC335" s="383" t="s">
        <v>532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666.39999999999986</v>
      </c>
      <c r="BN335" s="64">
        <f>IFERROR(Y335*I335/H335,"0")</f>
        <v>667.96799999999985</v>
      </c>
      <c r="BO335" s="64">
        <f>IFERROR(1/J335*(X335/H335),"0")</f>
        <v>1.5567765567765568</v>
      </c>
      <c r="BP335" s="64">
        <f>IFERROR(1/J335*(Y335/H335),"0")</f>
        <v>1.5604395604395607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216</v>
      </c>
      <c r="M336" s="33" t="s">
        <v>84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315</v>
      </c>
      <c r="Y336" s="546">
        <f>IFERROR(IF(X336="",0,CEILING((X336/$H336),1)*$H336),"")</f>
        <v>315</v>
      </c>
      <c r="Z336" s="36">
        <f>IFERROR(IF(Y336=0,"",ROUNDUP(Y336/H336,0)*0.00651),"")</f>
        <v>0.97650000000000003</v>
      </c>
      <c r="AA336" s="56"/>
      <c r="AB336" s="57"/>
      <c r="AC336" s="385" t="s">
        <v>535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350.99999999999994</v>
      </c>
      <c r="BN336" s="64">
        <f>IFERROR(Y336*I336/H336,"0")</f>
        <v>350.99999999999994</v>
      </c>
      <c r="BO336" s="64">
        <f>IFERROR(1/J336*(X336/H336),"0")</f>
        <v>0.82417582417582425</v>
      </c>
      <c r="BP336" s="64">
        <f>IFERROR(1/J336*(Y336/H336),"0")</f>
        <v>0.82417582417582425</v>
      </c>
    </row>
    <row r="337" spans="1:68" x14ac:dyDescent="0.2">
      <c r="A337" s="569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70"/>
      <c r="P337" s="560" t="s">
        <v>71</v>
      </c>
      <c r="Q337" s="561"/>
      <c r="R337" s="561"/>
      <c r="S337" s="561"/>
      <c r="T337" s="561"/>
      <c r="U337" s="561"/>
      <c r="V337" s="562"/>
      <c r="W337" s="37" t="s">
        <v>72</v>
      </c>
      <c r="X337" s="547">
        <f>IFERROR(X334/H334,"0")+IFERROR(X335/H335,"0")+IFERROR(X336/H336,"0")</f>
        <v>433.33333333333331</v>
      </c>
      <c r="Y337" s="547">
        <f>IFERROR(Y334/H334,"0")+IFERROR(Y335/H335,"0")+IFERROR(Y336/H336,"0")</f>
        <v>434</v>
      </c>
      <c r="Z337" s="547">
        <f>IFERROR(IF(Z334="",0,Z334),"0")+IFERROR(IF(Z335="",0,Z335),"0")+IFERROR(IF(Z336="",0,Z336),"0")</f>
        <v>2.8253400000000002</v>
      </c>
      <c r="AA337" s="548"/>
      <c r="AB337" s="548"/>
      <c r="AC337" s="548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70"/>
      <c r="P338" s="560" t="s">
        <v>71</v>
      </c>
      <c r="Q338" s="561"/>
      <c r="R338" s="561"/>
      <c r="S338" s="561"/>
      <c r="T338" s="561"/>
      <c r="U338" s="561"/>
      <c r="V338" s="562"/>
      <c r="W338" s="37" t="s">
        <v>69</v>
      </c>
      <c r="X338" s="547">
        <f>IFERROR(SUM(X334:X336),"0")</f>
        <v>910</v>
      </c>
      <c r="Y338" s="547">
        <f>IFERROR(SUM(Y334:Y336),"0")</f>
        <v>911.4</v>
      </c>
      <c r="Z338" s="37"/>
      <c r="AA338" s="548"/>
      <c r="AB338" s="548"/>
      <c r="AC338" s="548"/>
    </row>
    <row r="339" spans="1:68" ht="27.75" customHeight="1" x14ac:dyDescent="0.2">
      <c r="A339" s="602" t="s">
        <v>536</v>
      </c>
      <c r="B339" s="603"/>
      <c r="C339" s="603"/>
      <c r="D339" s="603"/>
      <c r="E339" s="603"/>
      <c r="F339" s="603"/>
      <c r="G339" s="603"/>
      <c r="H339" s="603"/>
      <c r="I339" s="603"/>
      <c r="J339" s="603"/>
      <c r="K339" s="603"/>
      <c r="L339" s="603"/>
      <c r="M339" s="603"/>
      <c r="N339" s="603"/>
      <c r="O339" s="603"/>
      <c r="P339" s="603"/>
      <c r="Q339" s="603"/>
      <c r="R339" s="603"/>
      <c r="S339" s="603"/>
      <c r="T339" s="603"/>
      <c r="U339" s="603"/>
      <c r="V339" s="603"/>
      <c r="W339" s="603"/>
      <c r="X339" s="603"/>
      <c r="Y339" s="603"/>
      <c r="Z339" s="603"/>
      <c r="AA339" s="48"/>
      <c r="AB339" s="48"/>
      <c r="AC339" s="48"/>
    </row>
    <row r="340" spans="1:68" ht="16.5" customHeight="1" x14ac:dyDescent="0.25">
      <c r="A340" s="563" t="s">
        <v>537</v>
      </c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4"/>
      <c r="P340" s="564"/>
      <c r="Q340" s="564"/>
      <c r="R340" s="564"/>
      <c r="S340" s="564"/>
      <c r="T340" s="564"/>
      <c r="U340" s="564"/>
      <c r="V340" s="564"/>
      <c r="W340" s="564"/>
      <c r="X340" s="564"/>
      <c r="Y340" s="564"/>
      <c r="Z340" s="564"/>
      <c r="AA340" s="540"/>
      <c r="AB340" s="540"/>
      <c r="AC340" s="540"/>
    </row>
    <row r="341" spans="1:68" ht="14.25" customHeight="1" x14ac:dyDescent="0.25">
      <c r="A341" s="568" t="s">
        <v>99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1"/>
      <c r="AB341" s="541"/>
      <c r="AC341" s="541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/>
      <c r="M342" s="33" t="s">
        <v>68</v>
      </c>
      <c r="N342" s="33"/>
      <c r="O342" s="32">
        <v>60</v>
      </c>
      <c r="P342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1600</v>
      </c>
      <c r="Y342" s="546">
        <f t="shared" ref="Y342:Y348" si="32">IFERROR(IF(X342="",0,CEILING((X342/$H342),1)*$H342),"")</f>
        <v>1605</v>
      </c>
      <c r="Z342" s="36">
        <f>IFERROR(IF(Y342=0,"",ROUNDUP(Y342/H342,0)*0.02175),"")</f>
        <v>2.3272499999999998</v>
      </c>
      <c r="AA342" s="56"/>
      <c r="AB342" s="57"/>
      <c r="AC342" s="387" t="s">
        <v>540</v>
      </c>
      <c r="AG342" s="64"/>
      <c r="AJ342" s="68" t="s">
        <v>106</v>
      </c>
      <c r="AK342" s="68">
        <v>15</v>
      </c>
      <c r="BB342" s="388" t="s">
        <v>1</v>
      </c>
      <c r="BM342" s="64">
        <f t="shared" ref="BM342:BM348" si="33">IFERROR(X342*I342/H342,"0")</f>
        <v>1651.2</v>
      </c>
      <c r="BN342" s="64">
        <f t="shared" ref="BN342:BN348" si="34">IFERROR(Y342*I342/H342,"0")</f>
        <v>1656.3600000000001</v>
      </c>
      <c r="BO342" s="64">
        <f t="shared" ref="BO342:BO348" si="35">IFERROR(1/J342*(X342/H342),"0")</f>
        <v>2.2222222222222223</v>
      </c>
      <c r="BP342" s="64">
        <f t="shared" ref="BP342:BP348" si="36">IFERROR(1/J342*(Y342/H342),"0")</f>
        <v>2.2291666666666665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1300</v>
      </c>
      <c r="Y343" s="546">
        <f t="shared" si="32"/>
        <v>1305</v>
      </c>
      <c r="Z343" s="36">
        <f>IFERROR(IF(Y343=0,"",ROUNDUP(Y343/H343,0)*0.02175),"")</f>
        <v>1.8922499999999998</v>
      </c>
      <c r="AA343" s="56"/>
      <c r="AB343" s="57"/>
      <c r="AC343" s="389" t="s">
        <v>543</v>
      </c>
      <c r="AG343" s="64"/>
      <c r="AJ343" s="68" t="s">
        <v>106</v>
      </c>
      <c r="AK343" s="68">
        <v>15</v>
      </c>
      <c r="BB343" s="390" t="s">
        <v>1</v>
      </c>
      <c r="BM343" s="64">
        <f t="shared" si="33"/>
        <v>1341.6</v>
      </c>
      <c r="BN343" s="64">
        <f t="shared" si="34"/>
        <v>1346.76</v>
      </c>
      <c r="BO343" s="64">
        <f t="shared" si="35"/>
        <v>1.8055555555555556</v>
      </c>
      <c r="BP343" s="64">
        <f t="shared" si="36"/>
        <v>1.8125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49">
        <v>4607091383997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84</v>
      </c>
      <c r="N344" s="33"/>
      <c r="O344" s="32">
        <v>60</v>
      </c>
      <c r="P344" s="8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720</v>
      </c>
      <c r="Y344" s="546">
        <f t="shared" si="32"/>
        <v>720</v>
      </c>
      <c r="Z344" s="36">
        <f>IFERROR(IF(Y344=0,"",ROUNDUP(Y344/H344,0)*0.02175),"")</f>
        <v>1.044</v>
      </c>
      <c r="AA344" s="56"/>
      <c r="AB344" s="57"/>
      <c r="AC344" s="391" t="s">
        <v>546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743.04000000000008</v>
      </c>
      <c r="BN344" s="64">
        <f t="shared" si="34"/>
        <v>743.04000000000008</v>
      </c>
      <c r="BO344" s="64">
        <f t="shared" si="35"/>
        <v>1</v>
      </c>
      <c r="BP344" s="64">
        <f t="shared" si="36"/>
        <v>1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49">
        <v>4680115884830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/>
      <c r="M345" s="33" t="s">
        <v>68</v>
      </c>
      <c r="N345" s="33"/>
      <c r="O345" s="32">
        <v>60</v>
      </c>
      <c r="P345" s="7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1000</v>
      </c>
      <c r="Y345" s="546">
        <f t="shared" si="32"/>
        <v>1005</v>
      </c>
      <c r="Z345" s="36">
        <f>IFERROR(IF(Y345=0,"",ROUNDUP(Y345/H345,0)*0.02175),"")</f>
        <v>1.4572499999999999</v>
      </c>
      <c r="AA345" s="56"/>
      <c r="AB345" s="57"/>
      <c r="AC345" s="393" t="s">
        <v>549</v>
      </c>
      <c r="AG345" s="64"/>
      <c r="AJ345" s="68" t="s">
        <v>106</v>
      </c>
      <c r="AK345" s="68">
        <v>15</v>
      </c>
      <c r="BB345" s="394" t="s">
        <v>1</v>
      </c>
      <c r="BM345" s="64">
        <f t="shared" si="33"/>
        <v>1032</v>
      </c>
      <c r="BN345" s="64">
        <f t="shared" si="34"/>
        <v>1037.1600000000001</v>
      </c>
      <c r="BO345" s="64">
        <f t="shared" si="35"/>
        <v>1.3888888888888888</v>
      </c>
      <c r="BP345" s="64">
        <f t="shared" si="36"/>
        <v>1.3958333333333333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69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70"/>
      <c r="P349" s="560" t="s">
        <v>71</v>
      </c>
      <c r="Q349" s="561"/>
      <c r="R349" s="561"/>
      <c r="S349" s="561"/>
      <c r="T349" s="561"/>
      <c r="U349" s="561"/>
      <c r="V349" s="562"/>
      <c r="W349" s="37" t="s">
        <v>72</v>
      </c>
      <c r="X349" s="547">
        <f>IFERROR(X342/H342,"0")+IFERROR(X343/H343,"0")+IFERROR(X344/H344,"0")+IFERROR(X345/H345,"0")+IFERROR(X346/H346,"0")+IFERROR(X347/H347,"0")+IFERROR(X348/H348,"0")</f>
        <v>308</v>
      </c>
      <c r="Y349" s="547">
        <f>IFERROR(Y342/H342,"0")+IFERROR(Y343/H343,"0")+IFERROR(Y344/H344,"0")+IFERROR(Y345/H345,"0")+IFERROR(Y346/H346,"0")+IFERROR(Y347/H347,"0")+IFERROR(Y348/H348,"0")</f>
        <v>309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6.7207500000000007</v>
      </c>
      <c r="AA349" s="548"/>
      <c r="AB349" s="548"/>
      <c r="AC349" s="548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70"/>
      <c r="P350" s="560" t="s">
        <v>71</v>
      </c>
      <c r="Q350" s="561"/>
      <c r="R350" s="561"/>
      <c r="S350" s="561"/>
      <c r="T350" s="561"/>
      <c r="U350" s="561"/>
      <c r="V350" s="562"/>
      <c r="W350" s="37" t="s">
        <v>69</v>
      </c>
      <c r="X350" s="547">
        <f>IFERROR(SUM(X342:X348),"0")</f>
        <v>4620</v>
      </c>
      <c r="Y350" s="547">
        <f>IFERROR(SUM(Y342:Y348),"0")</f>
        <v>4635</v>
      </c>
      <c r="Z350" s="37"/>
      <c r="AA350" s="548"/>
      <c r="AB350" s="548"/>
      <c r="AC350" s="548"/>
    </row>
    <row r="351" spans="1:68" ht="14.25" customHeight="1" x14ac:dyDescent="0.25">
      <c r="A351" s="568" t="s">
        <v>135</v>
      </c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4"/>
      <c r="P351" s="564"/>
      <c r="Q351" s="564"/>
      <c r="R351" s="564"/>
      <c r="S351" s="564"/>
      <c r="T351" s="564"/>
      <c r="U351" s="564"/>
      <c r="V351" s="564"/>
      <c r="W351" s="564"/>
      <c r="X351" s="564"/>
      <c r="Y351" s="564"/>
      <c r="Z351" s="564"/>
      <c r="AA351" s="541"/>
      <c r="AB351" s="541"/>
      <c r="AC351" s="541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/>
      <c r="M352" s="33" t="s">
        <v>104</v>
      </c>
      <c r="N352" s="33"/>
      <c r="O352" s="32">
        <v>50</v>
      </c>
      <c r="P35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1250</v>
      </c>
      <c r="Y352" s="546">
        <f>IFERROR(IF(X352="",0,CEILING((X352/$H352),1)*$H352),"")</f>
        <v>1260</v>
      </c>
      <c r="Z352" s="36">
        <f>IFERROR(IF(Y352=0,"",ROUNDUP(Y352/H352,0)*0.02175),"")</f>
        <v>1.827</v>
      </c>
      <c r="AA352" s="56"/>
      <c r="AB352" s="57"/>
      <c r="AC352" s="401" t="s">
        <v>559</v>
      </c>
      <c r="AG352" s="64"/>
      <c r="AJ352" s="68" t="s">
        <v>106</v>
      </c>
      <c r="AK352" s="68">
        <v>15</v>
      </c>
      <c r="BB352" s="402" t="s">
        <v>1</v>
      </c>
      <c r="BM352" s="64">
        <f>IFERROR(X352*I352/H352,"0")</f>
        <v>1290</v>
      </c>
      <c r="BN352" s="64">
        <f>IFERROR(Y352*I352/H352,"0")</f>
        <v>1300.32</v>
      </c>
      <c r="BO352" s="64">
        <f>IFERROR(1/J352*(X352/H352),"0")</f>
        <v>1.7361111111111109</v>
      </c>
      <c r="BP352" s="64">
        <f>IFERROR(1/J352*(Y352/H352),"0")</f>
        <v>1.75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70"/>
      <c r="P354" s="560" t="s">
        <v>71</v>
      </c>
      <c r="Q354" s="561"/>
      <c r="R354" s="561"/>
      <c r="S354" s="561"/>
      <c r="T354" s="561"/>
      <c r="U354" s="561"/>
      <c r="V354" s="562"/>
      <c r="W354" s="37" t="s">
        <v>72</v>
      </c>
      <c r="X354" s="547">
        <f>IFERROR(X352/H352,"0")+IFERROR(X353/H353,"0")</f>
        <v>83.333333333333329</v>
      </c>
      <c r="Y354" s="547">
        <f>IFERROR(Y352/H352,"0")+IFERROR(Y353/H353,"0")</f>
        <v>84</v>
      </c>
      <c r="Z354" s="547">
        <f>IFERROR(IF(Z352="",0,Z352),"0")+IFERROR(IF(Z353="",0,Z353),"0")</f>
        <v>1.827</v>
      </c>
      <c r="AA354" s="548"/>
      <c r="AB354" s="548"/>
      <c r="AC354" s="548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70"/>
      <c r="P355" s="560" t="s">
        <v>71</v>
      </c>
      <c r="Q355" s="561"/>
      <c r="R355" s="561"/>
      <c r="S355" s="561"/>
      <c r="T355" s="561"/>
      <c r="U355" s="561"/>
      <c r="V355" s="562"/>
      <c r="W355" s="37" t="s">
        <v>69</v>
      </c>
      <c r="X355" s="547">
        <f>IFERROR(SUM(X352:X353),"0")</f>
        <v>1250</v>
      </c>
      <c r="Y355" s="547">
        <f>IFERROR(SUM(Y352:Y353),"0")</f>
        <v>1260</v>
      </c>
      <c r="Z355" s="37"/>
      <c r="AA355" s="548"/>
      <c r="AB355" s="548"/>
      <c r="AC355" s="548"/>
    </row>
    <row r="356" spans="1:68" ht="14.25" customHeight="1" x14ac:dyDescent="0.25">
      <c r="A356" s="568" t="s">
        <v>73</v>
      </c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4"/>
      <c r="P356" s="564"/>
      <c r="Q356" s="564"/>
      <c r="R356" s="564"/>
      <c r="S356" s="564"/>
      <c r="T356" s="564"/>
      <c r="U356" s="564"/>
      <c r="V356" s="564"/>
      <c r="W356" s="564"/>
      <c r="X356" s="564"/>
      <c r="Y356" s="564"/>
      <c r="Z356" s="564"/>
      <c r="AA356" s="541"/>
      <c r="AB356" s="541"/>
      <c r="AC356" s="541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4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 t="s">
        <v>103</v>
      </c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 t="s">
        <v>106</v>
      </c>
      <c r="AK358" s="68">
        <v>72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9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70"/>
      <c r="P359" s="560" t="s">
        <v>71</v>
      </c>
      <c r="Q359" s="561"/>
      <c r="R359" s="561"/>
      <c r="S359" s="561"/>
      <c r="T359" s="561"/>
      <c r="U359" s="561"/>
      <c r="V359" s="562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70"/>
      <c r="P360" s="560" t="s">
        <v>71</v>
      </c>
      <c r="Q360" s="561"/>
      <c r="R360" s="561"/>
      <c r="S360" s="561"/>
      <c r="T360" s="561"/>
      <c r="U360" s="561"/>
      <c r="V360" s="562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customHeight="1" x14ac:dyDescent="0.25">
      <c r="A361" s="568" t="s">
        <v>165</v>
      </c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4"/>
      <c r="P361" s="564"/>
      <c r="Q361" s="564"/>
      <c r="R361" s="564"/>
      <c r="S361" s="564"/>
      <c r="T361" s="564"/>
      <c r="U361" s="564"/>
      <c r="V361" s="564"/>
      <c r="W361" s="564"/>
      <c r="X361" s="564"/>
      <c r="Y361" s="564"/>
      <c r="Z361" s="564"/>
      <c r="AA361" s="541"/>
      <c r="AB361" s="541"/>
      <c r="AC361" s="541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2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70</v>
      </c>
      <c r="Y362" s="546">
        <f>IFERROR(IF(X362="",0,CEILING((X362/$H362),1)*$H362),"")</f>
        <v>72</v>
      </c>
      <c r="Z362" s="36">
        <f>IFERROR(IF(Y362=0,"",ROUNDUP(Y362/H362,0)*0.01898),"")</f>
        <v>0.15184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74.036666666666676</v>
      </c>
      <c r="BN362" s="64">
        <f>IFERROR(Y362*I362/H362,"0")</f>
        <v>76.152000000000001</v>
      </c>
      <c r="BO362" s="64">
        <f>IFERROR(1/J362*(X362/H362),"0")</f>
        <v>0.12152777777777778</v>
      </c>
      <c r="BP362" s="64">
        <f>IFERROR(1/J362*(Y362/H362),"0")</f>
        <v>0.125</v>
      </c>
    </row>
    <row r="363" spans="1:68" x14ac:dyDescent="0.2">
      <c r="A363" s="569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0"/>
      <c r="P363" s="560" t="s">
        <v>71</v>
      </c>
      <c r="Q363" s="561"/>
      <c r="R363" s="561"/>
      <c r="S363" s="561"/>
      <c r="T363" s="561"/>
      <c r="U363" s="561"/>
      <c r="V363" s="562"/>
      <c r="W363" s="37" t="s">
        <v>72</v>
      </c>
      <c r="X363" s="547">
        <f>IFERROR(X362/H362,"0")</f>
        <v>7.7777777777777777</v>
      </c>
      <c r="Y363" s="547">
        <f>IFERROR(Y362/H362,"0")</f>
        <v>8</v>
      </c>
      <c r="Z363" s="547">
        <f>IFERROR(IF(Z362="",0,Z362),"0")</f>
        <v>0.15184</v>
      </c>
      <c r="AA363" s="548"/>
      <c r="AB363" s="548"/>
      <c r="AC363" s="548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70"/>
      <c r="P364" s="560" t="s">
        <v>71</v>
      </c>
      <c r="Q364" s="561"/>
      <c r="R364" s="561"/>
      <c r="S364" s="561"/>
      <c r="T364" s="561"/>
      <c r="U364" s="561"/>
      <c r="V364" s="562"/>
      <c r="W364" s="37" t="s">
        <v>69</v>
      </c>
      <c r="X364" s="547">
        <f>IFERROR(SUM(X362:X362),"0")</f>
        <v>70</v>
      </c>
      <c r="Y364" s="547">
        <f>IFERROR(SUM(Y362:Y362),"0")</f>
        <v>72</v>
      </c>
      <c r="Z364" s="37"/>
      <c r="AA364" s="548"/>
      <c r="AB364" s="548"/>
      <c r="AC364" s="548"/>
    </row>
    <row r="365" spans="1:68" ht="16.5" customHeight="1" x14ac:dyDescent="0.25">
      <c r="A365" s="563" t="s">
        <v>571</v>
      </c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4"/>
      <c r="P365" s="564"/>
      <c r="Q365" s="564"/>
      <c r="R365" s="564"/>
      <c r="S365" s="564"/>
      <c r="T365" s="564"/>
      <c r="U365" s="564"/>
      <c r="V365" s="564"/>
      <c r="W365" s="564"/>
      <c r="X365" s="564"/>
      <c r="Y365" s="564"/>
      <c r="Z365" s="564"/>
      <c r="AA365" s="540"/>
      <c r="AB365" s="540"/>
      <c r="AC365" s="540"/>
    </row>
    <row r="366" spans="1:68" ht="14.25" customHeight="1" x14ac:dyDescent="0.25">
      <c r="A366" s="568" t="s">
        <v>99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1"/>
      <c r="AB366" s="541"/>
      <c r="AC366" s="541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60</v>
      </c>
      <c r="Y368" s="546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577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62.175000000000004</v>
      </c>
      <c r="BN368" s="64">
        <f>IFERROR(Y368*I368/H368,"0")</f>
        <v>62.175000000000004</v>
      </c>
      <c r="BO368" s="64">
        <f>IFERROR(1/J368*(X368/H368),"0")</f>
        <v>7.8125E-2</v>
      </c>
      <c r="BP368" s="64">
        <f>IFERROR(1/J368*(Y368/H368),"0")</f>
        <v>7.8125E-2</v>
      </c>
    </row>
    <row r="369" spans="1:68" ht="37.5" customHeight="1" x14ac:dyDescent="0.25">
      <c r="A369" s="54" t="s">
        <v>578</v>
      </c>
      <c r="B369" s="54" t="s">
        <v>579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70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7">
        <f>IFERROR(X367/H367,"0")+IFERROR(X368/H368,"0")+IFERROR(X369/H369,"0")</f>
        <v>5</v>
      </c>
      <c r="Y370" s="547">
        <f>IFERROR(Y367/H367,"0")+IFERROR(Y368/H368,"0")+IFERROR(Y369/H369,"0")</f>
        <v>5</v>
      </c>
      <c r="Z370" s="547">
        <f>IFERROR(IF(Z367="",0,Z367),"0")+IFERROR(IF(Z368="",0,Z368),"0")+IFERROR(IF(Z369="",0,Z369),"0")</f>
        <v>9.4899999999999998E-2</v>
      </c>
      <c r="AA370" s="548"/>
      <c r="AB370" s="548"/>
      <c r="AC370" s="548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70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7">
        <f>IFERROR(SUM(X367:X369),"0")</f>
        <v>60</v>
      </c>
      <c r="Y371" s="547">
        <f>IFERROR(SUM(Y367:Y369),"0")</f>
        <v>60</v>
      </c>
      <c r="Z371" s="37"/>
      <c r="AA371" s="548"/>
      <c r="AB371" s="548"/>
      <c r="AC371" s="548"/>
    </row>
    <row r="372" spans="1:68" ht="14.25" customHeight="1" x14ac:dyDescent="0.25">
      <c r="A372" s="568" t="s">
        <v>64</v>
      </c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4"/>
      <c r="P372" s="564"/>
      <c r="Q372" s="564"/>
      <c r="R372" s="564"/>
      <c r="S372" s="564"/>
      <c r="T372" s="564"/>
      <c r="U372" s="564"/>
      <c r="V372" s="564"/>
      <c r="W372" s="564"/>
      <c r="X372" s="564"/>
      <c r="Y372" s="564"/>
      <c r="Z372" s="564"/>
      <c r="AA372" s="541"/>
      <c r="AB372" s="541"/>
      <c r="AC372" s="541"/>
    </row>
    <row r="373" spans="1:68" ht="27" customHeight="1" x14ac:dyDescent="0.25">
      <c r="A373" s="54" t="s">
        <v>580</v>
      </c>
      <c r="B373" s="54" t="s">
        <v>581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580</v>
      </c>
      <c r="B374" s="54" t="s">
        <v>583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">
        <v>584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582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9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70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70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customHeight="1" x14ac:dyDescent="0.25">
      <c r="A377" s="568" t="s">
        <v>73</v>
      </c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4"/>
      <c r="P377" s="564"/>
      <c r="Q377" s="564"/>
      <c r="R377" s="564"/>
      <c r="S377" s="564"/>
      <c r="T377" s="564"/>
      <c r="U377" s="564"/>
      <c r="V377" s="564"/>
      <c r="W377" s="564"/>
      <c r="X377" s="564"/>
      <c r="Y377" s="564"/>
      <c r="Z377" s="564"/>
      <c r="AA377" s="541"/>
      <c r="AB377" s="541"/>
      <c r="AC377" s="541"/>
    </row>
    <row r="378" spans="1:68" ht="27" customHeight="1" x14ac:dyDescent="0.25">
      <c r="A378" s="54" t="s">
        <v>585</v>
      </c>
      <c r="B378" s="54" t="s">
        <v>586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587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588</v>
      </c>
      <c r="B379" s="54" t="s">
        <v>589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587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70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70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customHeight="1" x14ac:dyDescent="0.25">
      <c r="A382" s="568" t="s">
        <v>165</v>
      </c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4"/>
      <c r="P382" s="564"/>
      <c r="Q382" s="564"/>
      <c r="R382" s="564"/>
      <c r="S382" s="564"/>
      <c r="T382" s="564"/>
      <c r="U382" s="564"/>
      <c r="V382" s="564"/>
      <c r="W382" s="564"/>
      <c r="X382" s="564"/>
      <c r="Y382" s="564"/>
      <c r="Z382" s="564"/>
      <c r="AA382" s="541"/>
      <c r="AB382" s="541"/>
      <c r="AC382" s="541"/>
    </row>
    <row r="383" spans="1:68" ht="27" customHeight="1" x14ac:dyDescent="0.25">
      <c r="A383" s="54" t="s">
        <v>590</v>
      </c>
      <c r="B383" s="54" t="s">
        <v>591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592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9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70"/>
      <c r="P384" s="560" t="s">
        <v>71</v>
      </c>
      <c r="Q384" s="561"/>
      <c r="R384" s="561"/>
      <c r="S384" s="561"/>
      <c r="T384" s="561"/>
      <c r="U384" s="561"/>
      <c r="V384" s="562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70"/>
      <c r="P385" s="560" t="s">
        <v>71</v>
      </c>
      <c r="Q385" s="561"/>
      <c r="R385" s="561"/>
      <c r="S385" s="561"/>
      <c r="T385" s="561"/>
      <c r="U385" s="561"/>
      <c r="V385" s="562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2" t="s">
        <v>593</v>
      </c>
      <c r="B386" s="603"/>
      <c r="C386" s="603"/>
      <c r="D386" s="603"/>
      <c r="E386" s="603"/>
      <c r="F386" s="603"/>
      <c r="G386" s="603"/>
      <c r="H386" s="603"/>
      <c r="I386" s="603"/>
      <c r="J386" s="603"/>
      <c r="K386" s="603"/>
      <c r="L386" s="603"/>
      <c r="M386" s="603"/>
      <c r="N386" s="603"/>
      <c r="O386" s="603"/>
      <c r="P386" s="603"/>
      <c r="Q386" s="603"/>
      <c r="R386" s="603"/>
      <c r="S386" s="603"/>
      <c r="T386" s="603"/>
      <c r="U386" s="603"/>
      <c r="V386" s="603"/>
      <c r="W386" s="603"/>
      <c r="X386" s="603"/>
      <c r="Y386" s="603"/>
      <c r="Z386" s="603"/>
      <c r="AA386" s="48"/>
      <c r="AB386" s="48"/>
      <c r="AC386" s="48"/>
    </row>
    <row r="387" spans="1:68" ht="16.5" customHeight="1" x14ac:dyDescent="0.25">
      <c r="A387" s="563" t="s">
        <v>594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540"/>
      <c r="AB387" s="540"/>
      <c r="AC387" s="540"/>
    </row>
    <row r="388" spans="1:68" ht="14.25" customHeight="1" x14ac:dyDescent="0.25">
      <c r="A388" s="568" t="s">
        <v>64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1"/>
      <c r="AB388" s="541"/>
      <c r="AC388" s="541"/>
    </row>
    <row r="389" spans="1:68" ht="27" customHeight="1" x14ac:dyDescent="0.25">
      <c r="A389" s="54" t="s">
        <v>595</v>
      </c>
      <c r="B389" s="54" t="s">
        <v>596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customHeight="1" x14ac:dyDescent="0.25">
      <c r="A390" s="54" t="s">
        <v>598</v>
      </c>
      <c r="B390" s="54" t="s">
        <v>599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598</v>
      </c>
      <c r="B391" s="54" t="s">
        <v>601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600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597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 t="s">
        <v>267</v>
      </c>
      <c r="M394" s="33" t="s">
        <v>68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10.5</v>
      </c>
      <c r="Y394" s="546">
        <f t="shared" si="37"/>
        <v>10.5</v>
      </c>
      <c r="Z394" s="36">
        <f t="shared" si="42"/>
        <v>2.5100000000000001E-2</v>
      </c>
      <c r="AA394" s="56"/>
      <c r="AB394" s="57"/>
      <c r="AC394" s="437" t="s">
        <v>597</v>
      </c>
      <c r="AG394" s="64"/>
      <c r="AJ394" s="68" t="s">
        <v>106</v>
      </c>
      <c r="AK394" s="68">
        <v>37.799999999999997</v>
      </c>
      <c r="BB394" s="438" t="s">
        <v>1</v>
      </c>
      <c r="BM394" s="64">
        <f t="shared" si="38"/>
        <v>11.149999999999999</v>
      </c>
      <c r="BN394" s="64">
        <f t="shared" si="39"/>
        <v>11.149999999999999</v>
      </c>
      <c r="BO394" s="64">
        <f t="shared" si="40"/>
        <v>2.1367521367521368E-2</v>
      </c>
      <c r="BP394" s="64">
        <f t="shared" si="41"/>
        <v>2.1367521367521368E-2</v>
      </c>
    </row>
    <row r="395" spans="1:68" ht="37.5" customHeight="1" x14ac:dyDescent="0.25">
      <c r="A395" s="54" t="s">
        <v>609</v>
      </c>
      <c r="B395" s="54" t="s">
        <v>610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 t="s">
        <v>267</v>
      </c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 t="s">
        <v>106</v>
      </c>
      <c r="AK395" s="68">
        <v>37.799999999999997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customHeight="1" x14ac:dyDescent="0.25">
      <c r="A396" s="54" t="s">
        <v>612</v>
      </c>
      <c r="B396" s="54" t="s">
        <v>613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615</v>
      </c>
      <c r="B397" s="54" t="s">
        <v>616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 t="s">
        <v>267</v>
      </c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52.5</v>
      </c>
      <c r="Y397" s="546">
        <f t="shared" si="37"/>
        <v>52.5</v>
      </c>
      <c r="Z397" s="36">
        <f t="shared" si="42"/>
        <v>0.1255</v>
      </c>
      <c r="AA397" s="56"/>
      <c r="AB397" s="57"/>
      <c r="AC397" s="443" t="s">
        <v>617</v>
      </c>
      <c r="AG397" s="64"/>
      <c r="AJ397" s="68" t="s">
        <v>106</v>
      </c>
      <c r="AK397" s="68">
        <v>37.799999999999997</v>
      </c>
      <c r="BB397" s="444" t="s">
        <v>1</v>
      </c>
      <c r="BM397" s="64">
        <f t="shared" si="38"/>
        <v>55.75</v>
      </c>
      <c r="BN397" s="64">
        <f t="shared" si="39"/>
        <v>55.75</v>
      </c>
      <c r="BO397" s="64">
        <f t="shared" si="40"/>
        <v>0.10683760683760685</v>
      </c>
      <c r="BP397" s="64">
        <f t="shared" si="41"/>
        <v>0.10683760683760685</v>
      </c>
    </row>
    <row r="398" spans="1:68" ht="37.5" customHeight="1" x14ac:dyDescent="0.25">
      <c r="A398" s="54" t="s">
        <v>618</v>
      </c>
      <c r="B398" s="54" t="s">
        <v>619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69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70"/>
      <c r="P399" s="560" t="s">
        <v>71</v>
      </c>
      <c r="Q399" s="561"/>
      <c r="R399" s="561"/>
      <c r="S399" s="561"/>
      <c r="T399" s="561"/>
      <c r="U399" s="561"/>
      <c r="V399" s="562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30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30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0.15060000000000001</v>
      </c>
      <c r="AA399" s="548"/>
      <c r="AB399" s="548"/>
      <c r="AC399" s="548"/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70"/>
      <c r="P400" s="560" t="s">
        <v>71</v>
      </c>
      <c r="Q400" s="561"/>
      <c r="R400" s="561"/>
      <c r="S400" s="561"/>
      <c r="T400" s="561"/>
      <c r="U400" s="561"/>
      <c r="V400" s="562"/>
      <c r="W400" s="37" t="s">
        <v>69</v>
      </c>
      <c r="X400" s="547">
        <f>IFERROR(SUM(X389:X398),"0")</f>
        <v>63</v>
      </c>
      <c r="Y400" s="547">
        <f>IFERROR(SUM(Y389:Y398),"0")</f>
        <v>63</v>
      </c>
      <c r="Z400" s="37"/>
      <c r="AA400" s="548"/>
      <c r="AB400" s="548"/>
      <c r="AC400" s="548"/>
    </row>
    <row r="401" spans="1:68" ht="14.25" customHeight="1" x14ac:dyDescent="0.25">
      <c r="A401" s="568" t="s">
        <v>73</v>
      </c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4"/>
      <c r="P401" s="564"/>
      <c r="Q401" s="564"/>
      <c r="R401" s="564"/>
      <c r="S401" s="564"/>
      <c r="T401" s="564"/>
      <c r="U401" s="564"/>
      <c r="V401" s="564"/>
      <c r="W401" s="564"/>
      <c r="X401" s="564"/>
      <c r="Y401" s="564"/>
      <c r="Z401" s="564"/>
      <c r="AA401" s="541"/>
      <c r="AB401" s="541"/>
      <c r="AC401" s="541"/>
    </row>
    <row r="402" spans="1:68" ht="27" customHeight="1" x14ac:dyDescent="0.25">
      <c r="A402" s="54" t="s">
        <v>620</v>
      </c>
      <c r="B402" s="54" t="s">
        <v>621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623</v>
      </c>
      <c r="B403" s="54" t="s">
        <v>624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9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70"/>
      <c r="P404" s="560" t="s">
        <v>71</v>
      </c>
      <c r="Q404" s="561"/>
      <c r="R404" s="561"/>
      <c r="S404" s="561"/>
      <c r="T404" s="561"/>
      <c r="U404" s="561"/>
      <c r="V404" s="562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70"/>
      <c r="P405" s="560" t="s">
        <v>71</v>
      </c>
      <c r="Q405" s="561"/>
      <c r="R405" s="561"/>
      <c r="S405" s="561"/>
      <c r="T405" s="561"/>
      <c r="U405" s="561"/>
      <c r="V405" s="562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63" t="s">
        <v>626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540"/>
      <c r="AB406" s="540"/>
      <c r="AC406" s="540"/>
    </row>
    <row r="407" spans="1:68" ht="14.25" customHeight="1" x14ac:dyDescent="0.25">
      <c r="A407" s="568" t="s">
        <v>135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1"/>
      <c r="AB407" s="541"/>
      <c r="AC407" s="541"/>
    </row>
    <row r="408" spans="1:68" ht="27" customHeight="1" x14ac:dyDescent="0.25">
      <c r="A408" s="54" t="s">
        <v>627</v>
      </c>
      <c r="B408" s="54" t="s">
        <v>628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629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9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70"/>
      <c r="P409" s="560" t="s">
        <v>71</v>
      </c>
      <c r="Q409" s="561"/>
      <c r="R409" s="561"/>
      <c r="S409" s="561"/>
      <c r="T409" s="561"/>
      <c r="U409" s="561"/>
      <c r="V409" s="562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64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70"/>
      <c r="P410" s="560" t="s">
        <v>71</v>
      </c>
      <c r="Q410" s="561"/>
      <c r="R410" s="561"/>
      <c r="S410" s="561"/>
      <c r="T410" s="561"/>
      <c r="U410" s="561"/>
      <c r="V410" s="562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68" t="s">
        <v>64</v>
      </c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4"/>
      <c r="P411" s="564"/>
      <c r="Q411" s="564"/>
      <c r="R411" s="564"/>
      <c r="S411" s="564"/>
      <c r="T411" s="564"/>
      <c r="U411" s="564"/>
      <c r="V411" s="564"/>
      <c r="W411" s="564"/>
      <c r="X411" s="564"/>
      <c r="Y411" s="564"/>
      <c r="Z411" s="564"/>
      <c r="AA411" s="541"/>
      <c r="AB411" s="541"/>
      <c r="AC411" s="541"/>
    </row>
    <row r="412" spans="1:68" ht="27" customHeight="1" x14ac:dyDescent="0.25">
      <c r="A412" s="54" t="s">
        <v>630</v>
      </c>
      <c r="B412" s="54" t="s">
        <v>631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7</v>
      </c>
      <c r="Y415" s="546">
        <f>IFERROR(IF(X415="",0,CEILING((X415/$H415),1)*$H415),"")</f>
        <v>8.4</v>
      </c>
      <c r="Z415" s="36">
        <f>IFERROR(IF(Y415=0,"",ROUNDUP(Y415/H415,0)*0.00502),"")</f>
        <v>2.0080000000000001E-2</v>
      </c>
      <c r="AA415" s="56"/>
      <c r="AB415" s="57"/>
      <c r="AC415" s="459" t="s">
        <v>638</v>
      </c>
      <c r="AG415" s="64"/>
      <c r="AJ415" s="68"/>
      <c r="AK415" s="68">
        <v>0</v>
      </c>
      <c r="BB415" s="460" t="s">
        <v>1</v>
      </c>
      <c r="BM415" s="64">
        <f>IFERROR(X415*I415/H415,"0")</f>
        <v>7.4333333333333327</v>
      </c>
      <c r="BN415" s="64">
        <f>IFERROR(Y415*I415/H415,"0")</f>
        <v>8.92</v>
      </c>
      <c r="BO415" s="64">
        <f>IFERROR(1/J415*(X415/H415),"0")</f>
        <v>1.4245014245014245E-2</v>
      </c>
      <c r="BP415" s="64">
        <f>IFERROR(1/J415*(Y415/H415),"0")</f>
        <v>1.7094017094017096E-2</v>
      </c>
    </row>
    <row r="416" spans="1:68" x14ac:dyDescent="0.2">
      <c r="A416" s="569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70"/>
      <c r="P416" s="560" t="s">
        <v>71</v>
      </c>
      <c r="Q416" s="561"/>
      <c r="R416" s="561"/>
      <c r="S416" s="561"/>
      <c r="T416" s="561"/>
      <c r="U416" s="561"/>
      <c r="V416" s="562"/>
      <c r="W416" s="37" t="s">
        <v>72</v>
      </c>
      <c r="X416" s="547">
        <f>IFERROR(X412/H412,"0")+IFERROR(X413/H413,"0")+IFERROR(X414/H414,"0")+IFERROR(X415/H415,"0")</f>
        <v>3.333333333333333</v>
      </c>
      <c r="Y416" s="547">
        <f>IFERROR(Y412/H412,"0")+IFERROR(Y413/H413,"0")+IFERROR(Y414/H414,"0")+IFERROR(Y415/H415,"0")</f>
        <v>4</v>
      </c>
      <c r="Z416" s="547">
        <f>IFERROR(IF(Z412="",0,Z412),"0")+IFERROR(IF(Z413="",0,Z413),"0")+IFERROR(IF(Z414="",0,Z414),"0")+IFERROR(IF(Z415="",0,Z415),"0")</f>
        <v>2.0080000000000001E-2</v>
      </c>
      <c r="AA416" s="548"/>
      <c r="AB416" s="548"/>
      <c r="AC416" s="548"/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70"/>
      <c r="P417" s="560" t="s">
        <v>71</v>
      </c>
      <c r="Q417" s="561"/>
      <c r="R417" s="561"/>
      <c r="S417" s="561"/>
      <c r="T417" s="561"/>
      <c r="U417" s="561"/>
      <c r="V417" s="562"/>
      <c r="W417" s="37" t="s">
        <v>69</v>
      </c>
      <c r="X417" s="547">
        <f>IFERROR(SUM(X412:X415),"0")</f>
        <v>7</v>
      </c>
      <c r="Y417" s="547">
        <f>IFERROR(SUM(Y412:Y415),"0")</f>
        <v>8.4</v>
      </c>
      <c r="Z417" s="37"/>
      <c r="AA417" s="548"/>
      <c r="AB417" s="548"/>
      <c r="AC417" s="548"/>
    </row>
    <row r="418" spans="1:68" ht="16.5" customHeight="1" x14ac:dyDescent="0.25">
      <c r="A418" s="563" t="s">
        <v>641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540"/>
      <c r="AB418" s="540"/>
      <c r="AC418" s="540"/>
    </row>
    <row r="419" spans="1:68" ht="14.25" customHeight="1" x14ac:dyDescent="0.25">
      <c r="A419" s="568" t="s">
        <v>64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1"/>
      <c r="AB419" s="541"/>
      <c r="AC419" s="541"/>
    </row>
    <row r="420" spans="1:68" ht="27" customHeight="1" x14ac:dyDescent="0.25">
      <c r="A420" s="54" t="s">
        <v>642</v>
      </c>
      <c r="B420" s="54" t="s">
        <v>643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 t="s">
        <v>216</v>
      </c>
      <c r="M420" s="33" t="s">
        <v>68</v>
      </c>
      <c r="N420" s="33"/>
      <c r="O420" s="32">
        <v>50</v>
      </c>
      <c r="P420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30</v>
      </c>
      <c r="Y420" s="546">
        <f>IFERROR(IF(X420="",0,CEILING((X420/$H420),1)*$H420),"")</f>
        <v>30</v>
      </c>
      <c r="Z420" s="36">
        <f>IFERROR(IF(Y420=0,"",ROUNDUP(Y420/H420,0)*0.00651),"")</f>
        <v>0.16275000000000001</v>
      </c>
      <c r="AA420" s="56"/>
      <c r="AB420" s="57"/>
      <c r="AC420" s="461" t="s">
        <v>644</v>
      </c>
      <c r="AG420" s="64"/>
      <c r="AJ420" s="68" t="s">
        <v>106</v>
      </c>
      <c r="AK420" s="68">
        <v>16.8</v>
      </c>
      <c r="BB420" s="462" t="s">
        <v>1</v>
      </c>
      <c r="BM420" s="64">
        <f>IFERROR(X420*I420/H420,"0")</f>
        <v>52.5</v>
      </c>
      <c r="BN420" s="64">
        <f>IFERROR(Y420*I420/H420,"0")</f>
        <v>52.5</v>
      </c>
      <c r="BO420" s="64">
        <f>IFERROR(1/J420*(X420/H420),"0")</f>
        <v>0.13736263736263737</v>
      </c>
      <c r="BP420" s="64">
        <f>IFERROR(1/J420*(Y420/H420),"0")</f>
        <v>0.13736263736263737</v>
      </c>
    </row>
    <row r="421" spans="1:68" x14ac:dyDescent="0.2">
      <c r="A421" s="569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70"/>
      <c r="P421" s="560" t="s">
        <v>71</v>
      </c>
      <c r="Q421" s="561"/>
      <c r="R421" s="561"/>
      <c r="S421" s="561"/>
      <c r="T421" s="561"/>
      <c r="U421" s="561"/>
      <c r="V421" s="562"/>
      <c r="W421" s="37" t="s">
        <v>72</v>
      </c>
      <c r="X421" s="547">
        <f>IFERROR(X420/H420,"0")</f>
        <v>25</v>
      </c>
      <c r="Y421" s="547">
        <f>IFERROR(Y420/H420,"0")</f>
        <v>25</v>
      </c>
      <c r="Z421" s="547">
        <f>IFERROR(IF(Z420="",0,Z420),"0")</f>
        <v>0.16275000000000001</v>
      </c>
      <c r="AA421" s="548"/>
      <c r="AB421" s="548"/>
      <c r="AC421" s="548"/>
    </row>
    <row r="422" spans="1:68" x14ac:dyDescent="0.2">
      <c r="A422" s="564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70"/>
      <c r="P422" s="560" t="s">
        <v>71</v>
      </c>
      <c r="Q422" s="561"/>
      <c r="R422" s="561"/>
      <c r="S422" s="561"/>
      <c r="T422" s="561"/>
      <c r="U422" s="561"/>
      <c r="V422" s="562"/>
      <c r="W422" s="37" t="s">
        <v>69</v>
      </c>
      <c r="X422" s="547">
        <f>IFERROR(SUM(X420:X420),"0")</f>
        <v>30</v>
      </c>
      <c r="Y422" s="547">
        <f>IFERROR(SUM(Y420:Y420),"0")</f>
        <v>30</v>
      </c>
      <c r="Z422" s="37"/>
      <c r="AA422" s="548"/>
      <c r="AB422" s="548"/>
      <c r="AC422" s="548"/>
    </row>
    <row r="423" spans="1:68" ht="27.75" customHeight="1" x14ac:dyDescent="0.2">
      <c r="A423" s="602" t="s">
        <v>645</v>
      </c>
      <c r="B423" s="603"/>
      <c r="C423" s="603"/>
      <c r="D423" s="603"/>
      <c r="E423" s="603"/>
      <c r="F423" s="603"/>
      <c r="G423" s="603"/>
      <c r="H423" s="603"/>
      <c r="I423" s="603"/>
      <c r="J423" s="603"/>
      <c r="K423" s="603"/>
      <c r="L423" s="603"/>
      <c r="M423" s="603"/>
      <c r="N423" s="603"/>
      <c r="O423" s="603"/>
      <c r="P423" s="603"/>
      <c r="Q423" s="603"/>
      <c r="R423" s="603"/>
      <c r="S423" s="603"/>
      <c r="T423" s="603"/>
      <c r="U423" s="603"/>
      <c r="V423" s="603"/>
      <c r="W423" s="603"/>
      <c r="X423" s="603"/>
      <c r="Y423" s="603"/>
      <c r="Z423" s="603"/>
      <c r="AA423" s="48"/>
      <c r="AB423" s="48"/>
      <c r="AC423" s="48"/>
    </row>
    <row r="424" spans="1:68" ht="16.5" customHeight="1" x14ac:dyDescent="0.25">
      <c r="A424" s="563" t="s">
        <v>645</v>
      </c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4"/>
      <c r="P424" s="564"/>
      <c r="Q424" s="564"/>
      <c r="R424" s="564"/>
      <c r="S424" s="564"/>
      <c r="T424" s="564"/>
      <c r="U424" s="564"/>
      <c r="V424" s="564"/>
      <c r="W424" s="564"/>
      <c r="X424" s="564"/>
      <c r="Y424" s="564"/>
      <c r="Z424" s="564"/>
      <c r="AA424" s="540"/>
      <c r="AB424" s="540"/>
      <c r="AC424" s="540"/>
    </row>
    <row r="425" spans="1:68" ht="14.25" customHeight="1" x14ac:dyDescent="0.25">
      <c r="A425" s="568" t="s">
        <v>99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1"/>
      <c r="AB425" s="541"/>
      <c r="AC425" s="541"/>
    </row>
    <row r="426" spans="1:68" ht="27" customHeight="1" x14ac:dyDescent="0.25">
      <c r="A426" s="54" t="s">
        <v>646</v>
      </c>
      <c r="B426" s="54" t="s">
        <v>647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130</v>
      </c>
      <c r="Y426" s="546">
        <f t="shared" ref="Y426:Y437" si="43">IFERROR(IF(X426="",0,CEILING((X426/$H426),1)*$H426),"")</f>
        <v>132</v>
      </c>
      <c r="Z426" s="36">
        <f t="shared" ref="Z426:Z432" si="44">IFERROR(IF(Y426=0,"",ROUNDUP(Y426/H426,0)*0.01196),"")</f>
        <v>0.29899999999999999</v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138.86363636363635</v>
      </c>
      <c r="BN426" s="64">
        <f t="shared" ref="BN426:BN437" si="46">IFERROR(Y426*I426/H426,"0")</f>
        <v>140.99999999999997</v>
      </c>
      <c r="BO426" s="64">
        <f t="shared" ref="BO426:BO437" si="47">IFERROR(1/J426*(X426/H426),"0")</f>
        <v>0.23674242424242425</v>
      </c>
      <c r="BP426" s="64">
        <f t="shared" ref="BP426:BP437" si="48">IFERROR(1/J426*(Y426/H426),"0")</f>
        <v>0.24038461538461539</v>
      </c>
    </row>
    <row r="427" spans="1:68" ht="27" customHeight="1" x14ac:dyDescent="0.25">
      <c r="A427" s="54" t="s">
        <v>648</v>
      </c>
      <c r="B427" s="54" t="s">
        <v>649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/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650</v>
      </c>
      <c r="AG427" s="64"/>
      <c r="AJ427" s="68"/>
      <c r="AK427" s="68">
        <v>0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651</v>
      </c>
      <c r="B428" s="54" t="s">
        <v>652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190</v>
      </c>
      <c r="Y428" s="546">
        <f t="shared" si="43"/>
        <v>190.08</v>
      </c>
      <c r="Z428" s="36">
        <f t="shared" si="44"/>
        <v>0.43056</v>
      </c>
      <c r="AA428" s="56"/>
      <c r="AB428" s="57"/>
      <c r="AC428" s="467" t="s">
        <v>653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202.95454545454544</v>
      </c>
      <c r="BN428" s="64">
        <f t="shared" si="46"/>
        <v>203.04000000000002</v>
      </c>
      <c r="BO428" s="64">
        <f t="shared" si="47"/>
        <v>0.34600815850815853</v>
      </c>
      <c r="BP428" s="64">
        <f t="shared" si="48"/>
        <v>0.34615384615384615</v>
      </c>
    </row>
    <row r="429" spans="1:68" ht="27" customHeight="1" x14ac:dyDescent="0.25">
      <c r="A429" s="54" t="s">
        <v>654</v>
      </c>
      <c r="B429" s="54" t="s">
        <v>655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656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customHeight="1" x14ac:dyDescent="0.25">
      <c r="A430" s="54" t="s">
        <v>657</v>
      </c>
      <c r="B430" s="54" t="s">
        <v>658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659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660</v>
      </c>
      <c r="B431" s="54" t="s">
        <v>661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160</v>
      </c>
      <c r="Y431" s="546">
        <f t="shared" si="43"/>
        <v>163.68</v>
      </c>
      <c r="Z431" s="36">
        <f t="shared" si="44"/>
        <v>0.37075999999999998</v>
      </c>
      <c r="AA431" s="56"/>
      <c r="AB431" s="57"/>
      <c r="AC431" s="473" t="s">
        <v>662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170.90909090909091</v>
      </c>
      <c r="BN431" s="64">
        <f t="shared" si="46"/>
        <v>174.84</v>
      </c>
      <c r="BO431" s="64">
        <f t="shared" si="47"/>
        <v>0.29137529137529139</v>
      </c>
      <c r="BP431" s="64">
        <f t="shared" si="48"/>
        <v>0.29807692307692307</v>
      </c>
    </row>
    <row r="432" spans="1:68" ht="16.5" customHeight="1" x14ac:dyDescent="0.25">
      <c r="A432" s="54" t="s">
        <v>663</v>
      </c>
      <c r="B432" s="54" t="s">
        <v>664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665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666</v>
      </c>
      <c r="B433" s="54" t="s">
        <v>667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180</v>
      </c>
      <c r="Y434" s="546">
        <f t="shared" si="43"/>
        <v>182.4</v>
      </c>
      <c r="Z434" s="36">
        <f>IFERROR(IF(Y434=0,"",ROUNDUP(Y434/H434,0)*0.00902),"")</f>
        <v>0.34276000000000001</v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259.875</v>
      </c>
      <c r="BN434" s="64">
        <f t="shared" si="46"/>
        <v>263.33999999999997</v>
      </c>
      <c r="BO434" s="64">
        <f t="shared" si="47"/>
        <v>0.28409090909090912</v>
      </c>
      <c r="BP434" s="64">
        <f t="shared" si="48"/>
        <v>0.2878787878787879</v>
      </c>
    </row>
    <row r="435" spans="1:68" ht="27" customHeight="1" x14ac:dyDescent="0.25">
      <c r="A435" s="54" t="s">
        <v>670</v>
      </c>
      <c r="B435" s="54" t="s">
        <v>671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650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662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210</v>
      </c>
      <c r="Y437" s="546">
        <f t="shared" si="43"/>
        <v>211.2</v>
      </c>
      <c r="Z437" s="36">
        <f>IFERROR(IF(Y437=0,"",ROUNDUP(Y437/H437,0)*0.00937),"")</f>
        <v>0.41227999999999998</v>
      </c>
      <c r="AA437" s="56"/>
      <c r="AB437" s="57"/>
      <c r="AC437" s="485" t="s">
        <v>662</v>
      </c>
      <c r="AG437" s="64"/>
      <c r="AJ437" s="68"/>
      <c r="AK437" s="68">
        <v>0</v>
      </c>
      <c r="BB437" s="486" t="s">
        <v>1</v>
      </c>
      <c r="BM437" s="64">
        <f t="shared" si="45"/>
        <v>304.5</v>
      </c>
      <c r="BN437" s="64">
        <f t="shared" si="46"/>
        <v>306.24</v>
      </c>
      <c r="BO437" s="64">
        <f t="shared" si="47"/>
        <v>0.36458333333333331</v>
      </c>
      <c r="BP437" s="64">
        <f t="shared" si="48"/>
        <v>0.36666666666666664</v>
      </c>
    </row>
    <row r="438" spans="1:68" x14ac:dyDescent="0.2">
      <c r="A438" s="569"/>
      <c r="B438" s="564"/>
      <c r="C438" s="564"/>
      <c r="D438" s="564"/>
      <c r="E438" s="564"/>
      <c r="F438" s="564"/>
      <c r="G438" s="564"/>
      <c r="H438" s="564"/>
      <c r="I438" s="564"/>
      <c r="J438" s="564"/>
      <c r="K438" s="564"/>
      <c r="L438" s="564"/>
      <c r="M438" s="564"/>
      <c r="N438" s="564"/>
      <c r="O438" s="570"/>
      <c r="P438" s="560" t="s">
        <v>71</v>
      </c>
      <c r="Q438" s="561"/>
      <c r="R438" s="561"/>
      <c r="S438" s="561"/>
      <c r="T438" s="561"/>
      <c r="U438" s="561"/>
      <c r="V438" s="562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172.15909090909091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174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1.8553599999999999</v>
      </c>
      <c r="AA438" s="548"/>
      <c r="AB438" s="548"/>
      <c r="AC438" s="548"/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70"/>
      <c r="P439" s="560" t="s">
        <v>71</v>
      </c>
      <c r="Q439" s="561"/>
      <c r="R439" s="561"/>
      <c r="S439" s="561"/>
      <c r="T439" s="561"/>
      <c r="U439" s="561"/>
      <c r="V439" s="562"/>
      <c r="W439" s="37" t="s">
        <v>69</v>
      </c>
      <c r="X439" s="547">
        <f>IFERROR(SUM(X426:X437),"0")</f>
        <v>870</v>
      </c>
      <c r="Y439" s="547">
        <f>IFERROR(SUM(Y426:Y437),"0")</f>
        <v>879.36000000000013</v>
      </c>
      <c r="Z439" s="37"/>
      <c r="AA439" s="548"/>
      <c r="AB439" s="548"/>
      <c r="AC439" s="548"/>
    </row>
    <row r="440" spans="1:68" ht="14.25" customHeight="1" x14ac:dyDescent="0.25">
      <c r="A440" s="568" t="s">
        <v>135</v>
      </c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4"/>
      <c r="P440" s="564"/>
      <c r="Q440" s="564"/>
      <c r="R440" s="564"/>
      <c r="S440" s="564"/>
      <c r="T440" s="564"/>
      <c r="U440" s="564"/>
      <c r="V440" s="564"/>
      <c r="W440" s="564"/>
      <c r="X440" s="564"/>
      <c r="Y440" s="564"/>
      <c r="Z440" s="564"/>
      <c r="AA440" s="541"/>
      <c r="AB440" s="541"/>
      <c r="AC440" s="541"/>
    </row>
    <row r="441" spans="1:68" ht="16.5" customHeight="1" x14ac:dyDescent="0.25">
      <c r="A441" s="54" t="s">
        <v>676</v>
      </c>
      <c r="B441" s="54" t="s">
        <v>677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100</v>
      </c>
      <c r="Y441" s="546">
        <f>IFERROR(IF(X441="",0,CEILING((X441/$H441),1)*$H441),"")</f>
        <v>100.32000000000001</v>
      </c>
      <c r="Z441" s="36">
        <f>IFERROR(IF(Y441=0,"",ROUNDUP(Y441/H441,0)*0.01196),"")</f>
        <v>0.22724</v>
      </c>
      <c r="AA441" s="56"/>
      <c r="AB441" s="57"/>
      <c r="AC441" s="487" t="s">
        <v>678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106.81818181818181</v>
      </c>
      <c r="BN441" s="64">
        <f>IFERROR(Y441*I441/H441,"0")</f>
        <v>107.16</v>
      </c>
      <c r="BO441" s="64">
        <f>IFERROR(1/J441*(X441/H441),"0")</f>
        <v>0.18210955710955709</v>
      </c>
      <c r="BP441" s="64">
        <f>IFERROR(1/J441*(Y441/H441),"0")</f>
        <v>0.18269230769230771</v>
      </c>
    </row>
    <row r="442" spans="1:68" ht="16.5" customHeight="1" x14ac:dyDescent="0.25">
      <c r="A442" s="54" t="s">
        <v>679</v>
      </c>
      <c r="B442" s="54" t="s">
        <v>680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6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678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681</v>
      </c>
      <c r="B443" s="54" t="s">
        <v>682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/>
      <c r="M443" s="33" t="s">
        <v>104</v>
      </c>
      <c r="N443" s="33"/>
      <c r="O443" s="32">
        <v>70</v>
      </c>
      <c r="P443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678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69"/>
      <c r="B444" s="564"/>
      <c r="C444" s="564"/>
      <c r="D444" s="564"/>
      <c r="E444" s="564"/>
      <c r="F444" s="564"/>
      <c r="G444" s="564"/>
      <c r="H444" s="564"/>
      <c r="I444" s="564"/>
      <c r="J444" s="564"/>
      <c r="K444" s="564"/>
      <c r="L444" s="564"/>
      <c r="M444" s="564"/>
      <c r="N444" s="564"/>
      <c r="O444" s="570"/>
      <c r="P444" s="560" t="s">
        <v>71</v>
      </c>
      <c r="Q444" s="561"/>
      <c r="R444" s="561"/>
      <c r="S444" s="561"/>
      <c r="T444" s="561"/>
      <c r="U444" s="561"/>
      <c r="V444" s="562"/>
      <c r="W444" s="37" t="s">
        <v>72</v>
      </c>
      <c r="X444" s="547">
        <f>IFERROR(X441/H441,"0")+IFERROR(X442/H442,"0")+IFERROR(X443/H443,"0")</f>
        <v>18.939393939393938</v>
      </c>
      <c r="Y444" s="547">
        <f>IFERROR(Y441/H441,"0")+IFERROR(Y442/H442,"0")+IFERROR(Y443/H443,"0")</f>
        <v>19</v>
      </c>
      <c r="Z444" s="547">
        <f>IFERROR(IF(Z441="",0,Z441),"0")+IFERROR(IF(Z442="",0,Z442),"0")+IFERROR(IF(Z443="",0,Z443),"0")</f>
        <v>0.22724</v>
      </c>
      <c r="AA444" s="548"/>
      <c r="AB444" s="548"/>
      <c r="AC444" s="548"/>
    </row>
    <row r="445" spans="1:68" x14ac:dyDescent="0.2">
      <c r="A445" s="564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70"/>
      <c r="P445" s="560" t="s">
        <v>71</v>
      </c>
      <c r="Q445" s="561"/>
      <c r="R445" s="561"/>
      <c r="S445" s="561"/>
      <c r="T445" s="561"/>
      <c r="U445" s="561"/>
      <c r="V445" s="562"/>
      <c r="W445" s="37" t="s">
        <v>69</v>
      </c>
      <c r="X445" s="547">
        <f>IFERROR(SUM(X441:X443),"0")</f>
        <v>100</v>
      </c>
      <c r="Y445" s="547">
        <f>IFERROR(SUM(Y441:Y443),"0")</f>
        <v>100.32000000000001</v>
      </c>
      <c r="Z445" s="37"/>
      <c r="AA445" s="548"/>
      <c r="AB445" s="548"/>
      <c r="AC445" s="548"/>
    </row>
    <row r="446" spans="1:68" ht="14.25" customHeight="1" x14ac:dyDescent="0.25">
      <c r="A446" s="568" t="s">
        <v>64</v>
      </c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4"/>
      <c r="P446" s="564"/>
      <c r="Q446" s="564"/>
      <c r="R446" s="564"/>
      <c r="S446" s="564"/>
      <c r="T446" s="564"/>
      <c r="U446" s="564"/>
      <c r="V446" s="564"/>
      <c r="W446" s="564"/>
      <c r="X446" s="564"/>
      <c r="Y446" s="564"/>
      <c r="Z446" s="564"/>
      <c r="AA446" s="541"/>
      <c r="AB446" s="541"/>
      <c r="AC446" s="541"/>
    </row>
    <row r="447" spans="1:68" ht="27" customHeight="1" x14ac:dyDescent="0.25">
      <c r="A447" s="54" t="s">
        <v>683</v>
      </c>
      <c r="B447" s="54" t="s">
        <v>684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20</v>
      </c>
      <c r="Y447" s="546">
        <f t="shared" ref="Y447:Y452" si="49">IFERROR(IF(X447="",0,CEILING((X447/$H447),1)*$H447),"")</f>
        <v>21.12</v>
      </c>
      <c r="Z447" s="36">
        <f>IFERROR(IF(Y447=0,"",ROUNDUP(Y447/H447,0)*0.01196),"")</f>
        <v>4.7840000000000001E-2</v>
      </c>
      <c r="AA447" s="56"/>
      <c r="AB447" s="57"/>
      <c r="AC447" s="493" t="s">
        <v>685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21.363636363636363</v>
      </c>
      <c r="BN447" s="64">
        <f t="shared" ref="BN447:BN452" si="51">IFERROR(Y447*I447/H447,"0")</f>
        <v>22.56</v>
      </c>
      <c r="BO447" s="64">
        <f t="shared" ref="BO447:BO452" si="52">IFERROR(1/J447*(X447/H447),"0")</f>
        <v>3.6421911421911424E-2</v>
      </c>
      <c r="BP447" s="64">
        <f t="shared" ref="BP447:BP452" si="53">IFERROR(1/J447*(Y447/H447),"0")</f>
        <v>3.8461538461538464E-2</v>
      </c>
    </row>
    <row r="448" spans="1:68" ht="27" customHeight="1" x14ac:dyDescent="0.25">
      <c r="A448" s="54" t="s">
        <v>686</v>
      </c>
      <c r="B448" s="54" t="s">
        <v>687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30</v>
      </c>
      <c r="Y448" s="546">
        <f t="shared" si="49"/>
        <v>31.68</v>
      </c>
      <c r="Z448" s="36">
        <f>IFERROR(IF(Y448=0,"",ROUNDUP(Y448/H448,0)*0.01196),"")</f>
        <v>7.1760000000000004E-2</v>
      </c>
      <c r="AA448" s="56"/>
      <c r="AB448" s="57"/>
      <c r="AC448" s="495" t="s">
        <v>688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32.04545454545454</v>
      </c>
      <c r="BN448" s="64">
        <f t="shared" si="51"/>
        <v>33.839999999999996</v>
      </c>
      <c r="BO448" s="64">
        <f t="shared" si="52"/>
        <v>5.4632867132867136E-2</v>
      </c>
      <c r="BP448" s="64">
        <f t="shared" si="53"/>
        <v>5.7692307692307696E-2</v>
      </c>
    </row>
    <row r="449" spans="1:68" ht="27" customHeight="1" x14ac:dyDescent="0.25">
      <c r="A449" s="54" t="s">
        <v>689</v>
      </c>
      <c r="B449" s="54" t="s">
        <v>690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110</v>
      </c>
      <c r="Y449" s="546">
        <f t="shared" si="49"/>
        <v>110.88000000000001</v>
      </c>
      <c r="Z449" s="36">
        <f>IFERROR(IF(Y449=0,"",ROUNDUP(Y449/H449,0)*0.01196),"")</f>
        <v>0.25115999999999999</v>
      </c>
      <c r="AA449" s="56"/>
      <c r="AB449" s="57"/>
      <c r="AC449" s="497" t="s">
        <v>691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117.49999999999999</v>
      </c>
      <c r="BN449" s="64">
        <f t="shared" si="51"/>
        <v>118.44</v>
      </c>
      <c r="BO449" s="64">
        <f t="shared" si="52"/>
        <v>0.20032051282051283</v>
      </c>
      <c r="BP449" s="64">
        <f t="shared" si="53"/>
        <v>0.20192307692307693</v>
      </c>
    </row>
    <row r="450" spans="1:68" ht="27" customHeight="1" x14ac:dyDescent="0.25">
      <c r="A450" s="54" t="s">
        <v>692</v>
      </c>
      <c r="B450" s="54" t="s">
        <v>693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 t="s">
        <v>199</v>
      </c>
      <c r="M450" s="33" t="s">
        <v>104</v>
      </c>
      <c r="N450" s="33"/>
      <c r="O450" s="32">
        <v>70</v>
      </c>
      <c r="P450" s="6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60</v>
      </c>
      <c r="Y450" s="546">
        <f t="shared" si="49"/>
        <v>62.4</v>
      </c>
      <c r="Z450" s="36">
        <f>IFERROR(IF(Y450=0,"",ROUNDUP(Y450/H450,0)*0.00902),"")</f>
        <v>0.11726</v>
      </c>
      <c r="AA450" s="56"/>
      <c r="AB450" s="57"/>
      <c r="AC450" s="499" t="s">
        <v>685</v>
      </c>
      <c r="AG450" s="64"/>
      <c r="AJ450" s="68" t="s">
        <v>106</v>
      </c>
      <c r="AK450" s="68">
        <v>57.6</v>
      </c>
      <c r="BB450" s="500" t="s">
        <v>1</v>
      </c>
      <c r="BM450" s="64">
        <f t="shared" si="50"/>
        <v>86.625</v>
      </c>
      <c r="BN450" s="64">
        <f t="shared" si="51"/>
        <v>90.089999999999989</v>
      </c>
      <c r="BO450" s="64">
        <f t="shared" si="52"/>
        <v>9.4696969696969696E-2</v>
      </c>
      <c r="BP450" s="64">
        <f t="shared" si="53"/>
        <v>9.8484848484848481E-2</v>
      </c>
    </row>
    <row r="451" spans="1:68" ht="27" customHeight="1" x14ac:dyDescent="0.25">
      <c r="A451" s="54" t="s">
        <v>694</v>
      </c>
      <c r="B451" s="54" t="s">
        <v>695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 t="s">
        <v>199</v>
      </c>
      <c r="M451" s="33" t="s">
        <v>68</v>
      </c>
      <c r="N451" s="33"/>
      <c r="O451" s="32">
        <v>70</v>
      </c>
      <c r="P451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36</v>
      </c>
      <c r="Y451" s="546">
        <f t="shared" si="49"/>
        <v>38.4</v>
      </c>
      <c r="Z451" s="36">
        <f>IFERROR(IF(Y451=0,"",ROUNDUP(Y451/H451,0)*0.00902),"")</f>
        <v>7.2160000000000002E-2</v>
      </c>
      <c r="AA451" s="56"/>
      <c r="AB451" s="57"/>
      <c r="AC451" s="501" t="s">
        <v>688</v>
      </c>
      <c r="AG451" s="64"/>
      <c r="AJ451" s="68" t="s">
        <v>106</v>
      </c>
      <c r="AK451" s="68">
        <v>57.6</v>
      </c>
      <c r="BB451" s="502" t="s">
        <v>1</v>
      </c>
      <c r="BM451" s="64">
        <f t="shared" si="50"/>
        <v>50.175000000000004</v>
      </c>
      <c r="BN451" s="64">
        <f t="shared" si="51"/>
        <v>53.52</v>
      </c>
      <c r="BO451" s="64">
        <f t="shared" si="52"/>
        <v>5.6818181818181823E-2</v>
      </c>
      <c r="BP451" s="64">
        <f t="shared" si="53"/>
        <v>6.0606060606060608E-2</v>
      </c>
    </row>
    <row r="452" spans="1:68" ht="27" customHeight="1" x14ac:dyDescent="0.25">
      <c r="A452" s="54" t="s">
        <v>696</v>
      </c>
      <c r="B452" s="54" t="s">
        <v>697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 t="s">
        <v>199</v>
      </c>
      <c r="M452" s="33" t="s">
        <v>68</v>
      </c>
      <c r="N452" s="33"/>
      <c r="O452" s="32">
        <v>70</v>
      </c>
      <c r="P452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66</v>
      </c>
      <c r="Y452" s="546">
        <f t="shared" si="49"/>
        <v>67.2</v>
      </c>
      <c r="Z452" s="36">
        <f>IFERROR(IF(Y452=0,"",ROUNDUP(Y452/H452,0)*0.00902),"")</f>
        <v>0.12628</v>
      </c>
      <c r="AA452" s="56"/>
      <c r="AB452" s="57"/>
      <c r="AC452" s="503" t="s">
        <v>691</v>
      </c>
      <c r="AG452" s="64"/>
      <c r="AJ452" s="68" t="s">
        <v>106</v>
      </c>
      <c r="AK452" s="68">
        <v>57.6</v>
      </c>
      <c r="BB452" s="504" t="s">
        <v>1</v>
      </c>
      <c r="BM452" s="64">
        <f t="shared" si="50"/>
        <v>91.987500000000011</v>
      </c>
      <c r="BN452" s="64">
        <f t="shared" si="51"/>
        <v>93.660000000000011</v>
      </c>
      <c r="BO452" s="64">
        <f t="shared" si="52"/>
        <v>0.10416666666666667</v>
      </c>
      <c r="BP452" s="64">
        <f t="shared" si="53"/>
        <v>0.10606060606060608</v>
      </c>
    </row>
    <row r="453" spans="1:68" x14ac:dyDescent="0.2">
      <c r="A453" s="56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0"/>
      <c r="P453" s="560" t="s">
        <v>71</v>
      </c>
      <c r="Q453" s="561"/>
      <c r="R453" s="561"/>
      <c r="S453" s="561"/>
      <c r="T453" s="561"/>
      <c r="U453" s="561"/>
      <c r="V453" s="562"/>
      <c r="W453" s="37" t="s">
        <v>72</v>
      </c>
      <c r="X453" s="547">
        <f>IFERROR(X447/H447,"0")+IFERROR(X448/H448,"0")+IFERROR(X449/H449,"0")+IFERROR(X450/H450,"0")+IFERROR(X451/H451,"0")+IFERROR(X452/H452,"0")</f>
        <v>64.053030303030297</v>
      </c>
      <c r="Y453" s="547">
        <f>IFERROR(Y447/H447,"0")+IFERROR(Y448/H448,"0")+IFERROR(Y449/H449,"0")+IFERROR(Y450/H450,"0")+IFERROR(Y451/H451,"0")+IFERROR(Y452/H452,"0")</f>
        <v>66</v>
      </c>
      <c r="Z453" s="547">
        <f>IFERROR(IF(Z447="",0,Z447),"0")+IFERROR(IF(Z448="",0,Z448),"0")+IFERROR(IF(Z449="",0,Z449),"0")+IFERROR(IF(Z450="",0,Z450),"0")+IFERROR(IF(Z451="",0,Z451),"0")+IFERROR(IF(Z452="",0,Z452),"0")</f>
        <v>0.68646000000000007</v>
      </c>
      <c r="AA453" s="548"/>
      <c r="AB453" s="548"/>
      <c r="AC453" s="548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0"/>
      <c r="P454" s="560" t="s">
        <v>71</v>
      </c>
      <c r="Q454" s="561"/>
      <c r="R454" s="561"/>
      <c r="S454" s="561"/>
      <c r="T454" s="561"/>
      <c r="U454" s="561"/>
      <c r="V454" s="562"/>
      <c r="W454" s="37" t="s">
        <v>69</v>
      </c>
      <c r="X454" s="547">
        <f>IFERROR(SUM(X447:X452),"0")</f>
        <v>322</v>
      </c>
      <c r="Y454" s="547">
        <f>IFERROR(SUM(Y447:Y452),"0")</f>
        <v>331.68</v>
      </c>
      <c r="Z454" s="37"/>
      <c r="AA454" s="548"/>
      <c r="AB454" s="548"/>
      <c r="AC454" s="548"/>
    </row>
    <row r="455" spans="1:68" ht="14.25" customHeight="1" x14ac:dyDescent="0.25">
      <c r="A455" s="568" t="s">
        <v>73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41"/>
      <c r="AB455" s="541"/>
      <c r="AC455" s="541"/>
    </row>
    <row r="456" spans="1:68" ht="16.5" customHeight="1" x14ac:dyDescent="0.25">
      <c r="A456" s="54" t="s">
        <v>698</v>
      </c>
      <c r="B456" s="54" t="s">
        <v>699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700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704</v>
      </c>
      <c r="B458" s="54" t="s">
        <v>705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69"/>
      <c r="B459" s="564"/>
      <c r="C459" s="564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64"/>
      <c r="O459" s="570"/>
      <c r="P459" s="560" t="s">
        <v>71</v>
      </c>
      <c r="Q459" s="561"/>
      <c r="R459" s="561"/>
      <c r="S459" s="561"/>
      <c r="T459" s="561"/>
      <c r="U459" s="561"/>
      <c r="V459" s="562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64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70"/>
      <c r="P460" s="560" t="s">
        <v>71</v>
      </c>
      <c r="Q460" s="561"/>
      <c r="R460" s="561"/>
      <c r="S460" s="561"/>
      <c r="T460" s="561"/>
      <c r="U460" s="561"/>
      <c r="V460" s="562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602" t="s">
        <v>707</v>
      </c>
      <c r="B461" s="603"/>
      <c r="C461" s="603"/>
      <c r="D461" s="603"/>
      <c r="E461" s="603"/>
      <c r="F461" s="603"/>
      <c r="G461" s="603"/>
      <c r="H461" s="603"/>
      <c r="I461" s="603"/>
      <c r="J461" s="603"/>
      <c r="K461" s="603"/>
      <c r="L461" s="603"/>
      <c r="M461" s="603"/>
      <c r="N461" s="603"/>
      <c r="O461" s="603"/>
      <c r="P461" s="603"/>
      <c r="Q461" s="603"/>
      <c r="R461" s="603"/>
      <c r="S461" s="603"/>
      <c r="T461" s="603"/>
      <c r="U461" s="603"/>
      <c r="V461" s="603"/>
      <c r="W461" s="603"/>
      <c r="X461" s="603"/>
      <c r="Y461" s="603"/>
      <c r="Z461" s="603"/>
      <c r="AA461" s="48"/>
      <c r="AB461" s="48"/>
      <c r="AC461" s="48"/>
    </row>
    <row r="462" spans="1:68" ht="16.5" customHeight="1" x14ac:dyDescent="0.25">
      <c r="A462" s="563" t="s">
        <v>707</v>
      </c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4"/>
      <c r="P462" s="564"/>
      <c r="Q462" s="564"/>
      <c r="R462" s="564"/>
      <c r="S462" s="564"/>
      <c r="T462" s="564"/>
      <c r="U462" s="564"/>
      <c r="V462" s="564"/>
      <c r="W462" s="564"/>
      <c r="X462" s="564"/>
      <c r="Y462" s="564"/>
      <c r="Z462" s="564"/>
      <c r="AA462" s="540"/>
      <c r="AB462" s="540"/>
      <c r="AC462" s="540"/>
    </row>
    <row r="463" spans="1:68" ht="14.25" customHeight="1" x14ac:dyDescent="0.25">
      <c r="A463" s="568" t="s">
        <v>99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1"/>
      <c r="AB463" s="541"/>
      <c r="AC463" s="541"/>
    </row>
    <row r="464" spans="1:68" ht="27" customHeight="1" x14ac:dyDescent="0.25">
      <c r="A464" s="54" t="s">
        <v>708</v>
      </c>
      <c r="B464" s="54" t="s">
        <v>709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710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711</v>
      </c>
      <c r="B465" s="54" t="s">
        <v>712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713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714</v>
      </c>
      <c r="B466" s="54" t="s">
        <v>715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716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68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710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9"/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70"/>
      <c r="P468" s="560" t="s">
        <v>71</v>
      </c>
      <c r="Q468" s="561"/>
      <c r="R468" s="561"/>
      <c r="S468" s="561"/>
      <c r="T468" s="561"/>
      <c r="U468" s="561"/>
      <c r="V468" s="562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0"/>
      <c r="P469" s="560" t="s">
        <v>71</v>
      </c>
      <c r="Q469" s="561"/>
      <c r="R469" s="561"/>
      <c r="S469" s="561"/>
      <c r="T469" s="561"/>
      <c r="U469" s="561"/>
      <c r="V469" s="562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customHeight="1" x14ac:dyDescent="0.25">
      <c r="A470" s="568" t="s">
        <v>135</v>
      </c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4"/>
      <c r="P470" s="564"/>
      <c r="Q470" s="564"/>
      <c r="R470" s="564"/>
      <c r="S470" s="564"/>
      <c r="T470" s="564"/>
      <c r="U470" s="564"/>
      <c r="V470" s="564"/>
      <c r="W470" s="564"/>
      <c r="X470" s="564"/>
      <c r="Y470" s="564"/>
      <c r="Z470" s="564"/>
      <c r="AA470" s="541"/>
      <c r="AB470" s="541"/>
      <c r="AC470" s="541"/>
    </row>
    <row r="471" spans="1:68" ht="27" customHeight="1" x14ac:dyDescent="0.25">
      <c r="A471" s="54" t="s">
        <v>719</v>
      </c>
      <c r="B471" s="54" t="s">
        <v>720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721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722</v>
      </c>
      <c r="B472" s="54" t="s">
        <v>723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755" t="s">
        <v>724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725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726</v>
      </c>
      <c r="B473" s="54" t="s">
        <v>727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6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728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70"/>
      <c r="P474" s="560" t="s">
        <v>71</v>
      </c>
      <c r="Q474" s="561"/>
      <c r="R474" s="561"/>
      <c r="S474" s="561"/>
      <c r="T474" s="561"/>
      <c r="U474" s="561"/>
      <c r="V474" s="562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70"/>
      <c r="P475" s="560" t="s">
        <v>71</v>
      </c>
      <c r="Q475" s="561"/>
      <c r="R475" s="561"/>
      <c r="S475" s="561"/>
      <c r="T475" s="561"/>
      <c r="U475" s="561"/>
      <c r="V475" s="562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68" t="s">
        <v>64</v>
      </c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4"/>
      <c r="P476" s="564"/>
      <c r="Q476" s="564"/>
      <c r="R476" s="564"/>
      <c r="S476" s="564"/>
      <c r="T476" s="564"/>
      <c r="U476" s="564"/>
      <c r="V476" s="564"/>
      <c r="W476" s="564"/>
      <c r="X476" s="564"/>
      <c r="Y476" s="564"/>
      <c r="Z476" s="564"/>
      <c r="AA476" s="541"/>
      <c r="AB476" s="541"/>
      <c r="AC476" s="541"/>
    </row>
    <row r="477" spans="1:68" ht="27" customHeight="1" x14ac:dyDescent="0.25">
      <c r="A477" s="54" t="s">
        <v>729</v>
      </c>
      <c r="B477" s="54" t="s">
        <v>730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731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732</v>
      </c>
      <c r="B478" s="54" t="s">
        <v>733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0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734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9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0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x14ac:dyDescent="0.2">
      <c r="A480" s="564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70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customHeight="1" x14ac:dyDescent="0.25">
      <c r="A481" s="568" t="s">
        <v>73</v>
      </c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4"/>
      <c r="P481" s="564"/>
      <c r="Q481" s="564"/>
      <c r="R481" s="564"/>
      <c r="S481" s="564"/>
      <c r="T481" s="564"/>
      <c r="U481" s="564"/>
      <c r="V481" s="564"/>
      <c r="W481" s="564"/>
      <c r="X481" s="564"/>
      <c r="Y481" s="564"/>
      <c r="Z481" s="564"/>
      <c r="AA481" s="541"/>
      <c r="AB481" s="541"/>
      <c r="AC481" s="541"/>
    </row>
    <row r="482" spans="1:68" ht="27" customHeight="1" x14ac:dyDescent="0.25">
      <c r="A482" s="54" t="s">
        <v>735</v>
      </c>
      <c r="B482" s="54" t="s">
        <v>736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1800</v>
      </c>
      <c r="Y482" s="546">
        <f>IFERROR(IF(X482="",0,CEILING((X482/$H482),1)*$H482),"")</f>
        <v>1800</v>
      </c>
      <c r="Z482" s="36">
        <f>IFERROR(IF(Y482=0,"",ROUNDUP(Y482/H482,0)*0.01898),"")</f>
        <v>3.7960000000000003</v>
      </c>
      <c r="AA482" s="56"/>
      <c r="AB482" s="57"/>
      <c r="AC482" s="529" t="s">
        <v>737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1903.8000000000002</v>
      </c>
      <c r="BN482" s="64">
        <f>IFERROR(Y482*I482/H482,"0")</f>
        <v>1903.8000000000002</v>
      </c>
      <c r="BO482" s="64">
        <f>IFERROR(1/J482*(X482/H482),"0")</f>
        <v>3.125</v>
      </c>
      <c r="BP482" s="64">
        <f>IFERROR(1/J482*(Y482/H482),"0")</f>
        <v>3.125</v>
      </c>
    </row>
    <row r="483" spans="1:68" x14ac:dyDescent="0.2">
      <c r="A483" s="569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70"/>
      <c r="P483" s="560" t="s">
        <v>71</v>
      </c>
      <c r="Q483" s="561"/>
      <c r="R483" s="561"/>
      <c r="S483" s="561"/>
      <c r="T483" s="561"/>
      <c r="U483" s="561"/>
      <c r="V483" s="562"/>
      <c r="W483" s="37" t="s">
        <v>72</v>
      </c>
      <c r="X483" s="547">
        <f>IFERROR(X482/H482,"0")</f>
        <v>200</v>
      </c>
      <c r="Y483" s="547">
        <f>IFERROR(Y482/H482,"0")</f>
        <v>200</v>
      </c>
      <c r="Z483" s="547">
        <f>IFERROR(IF(Z482="",0,Z482),"0")</f>
        <v>3.7960000000000003</v>
      </c>
      <c r="AA483" s="548"/>
      <c r="AB483" s="548"/>
      <c r="AC483" s="548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0"/>
      <c r="P484" s="560" t="s">
        <v>71</v>
      </c>
      <c r="Q484" s="561"/>
      <c r="R484" s="561"/>
      <c r="S484" s="561"/>
      <c r="T484" s="561"/>
      <c r="U484" s="561"/>
      <c r="V484" s="562"/>
      <c r="W484" s="37" t="s">
        <v>69</v>
      </c>
      <c r="X484" s="547">
        <f>IFERROR(SUM(X482:X482),"0")</f>
        <v>1800</v>
      </c>
      <c r="Y484" s="547">
        <f>IFERROR(SUM(Y482:Y482),"0")</f>
        <v>1800</v>
      </c>
      <c r="Z484" s="37"/>
      <c r="AA484" s="548"/>
      <c r="AB484" s="548"/>
      <c r="AC484" s="548"/>
    </row>
    <row r="485" spans="1:68" ht="14.25" customHeight="1" x14ac:dyDescent="0.25">
      <c r="A485" s="568" t="s">
        <v>165</v>
      </c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4"/>
      <c r="P485" s="564"/>
      <c r="Q485" s="564"/>
      <c r="R485" s="564"/>
      <c r="S485" s="564"/>
      <c r="T485" s="564"/>
      <c r="U485" s="564"/>
      <c r="V485" s="564"/>
      <c r="W485" s="564"/>
      <c r="X485" s="564"/>
      <c r="Y485" s="564"/>
      <c r="Z485" s="564"/>
      <c r="AA485" s="541"/>
      <c r="AB485" s="541"/>
      <c r="AC485" s="541"/>
    </row>
    <row r="486" spans="1:68" ht="27" customHeight="1" x14ac:dyDescent="0.25">
      <c r="A486" s="54" t="s">
        <v>738</v>
      </c>
      <c r="B486" s="54" t="s">
        <v>739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740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741</v>
      </c>
      <c r="B487" s="54" t="s">
        <v>742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743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9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70"/>
      <c r="P488" s="560" t="s">
        <v>71</v>
      </c>
      <c r="Q488" s="561"/>
      <c r="R488" s="561"/>
      <c r="S488" s="561"/>
      <c r="T488" s="561"/>
      <c r="U488" s="561"/>
      <c r="V488" s="562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0"/>
      <c r="P489" s="560" t="s">
        <v>71</v>
      </c>
      <c r="Q489" s="561"/>
      <c r="R489" s="561"/>
      <c r="S489" s="561"/>
      <c r="T489" s="561"/>
      <c r="U489" s="561"/>
      <c r="V489" s="562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63" t="s">
        <v>744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540"/>
      <c r="AB490" s="540"/>
      <c r="AC490" s="540"/>
    </row>
    <row r="491" spans="1:68" ht="14.25" customHeight="1" x14ac:dyDescent="0.25">
      <c r="A491" s="568" t="s">
        <v>135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1"/>
      <c r="AB491" s="541"/>
      <c r="AC491" s="541"/>
    </row>
    <row r="492" spans="1:68" ht="27" customHeight="1" x14ac:dyDescent="0.25">
      <c r="A492" s="54" t="s">
        <v>745</v>
      </c>
      <c r="B492" s="54" t="s">
        <v>746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747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9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70"/>
      <c r="P493" s="560" t="s">
        <v>71</v>
      </c>
      <c r="Q493" s="561"/>
      <c r="R493" s="561"/>
      <c r="S493" s="561"/>
      <c r="T493" s="561"/>
      <c r="U493" s="561"/>
      <c r="V493" s="562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0"/>
      <c r="P494" s="560" t="s">
        <v>71</v>
      </c>
      <c r="Q494" s="561"/>
      <c r="R494" s="561"/>
      <c r="S494" s="561"/>
      <c r="T494" s="561"/>
      <c r="U494" s="561"/>
      <c r="V494" s="562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0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709"/>
      <c r="P495" s="702" t="s">
        <v>748</v>
      </c>
      <c r="Q495" s="671"/>
      <c r="R495" s="671"/>
      <c r="S495" s="671"/>
      <c r="T495" s="671"/>
      <c r="U495" s="671"/>
      <c r="V495" s="672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17521.7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17670.72</v>
      </c>
      <c r="Z495" s="37"/>
      <c r="AA495" s="548"/>
      <c r="AB495" s="548"/>
      <c r="AC495" s="548"/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709"/>
      <c r="P496" s="702" t="s">
        <v>749</v>
      </c>
      <c r="Q496" s="671"/>
      <c r="R496" s="671"/>
      <c r="S496" s="671"/>
      <c r="T496" s="671"/>
      <c r="U496" s="671"/>
      <c r="V496" s="672"/>
      <c r="W496" s="37" t="s">
        <v>69</v>
      </c>
      <c r="X496" s="547">
        <f>IFERROR(SUM(BM22:BM492),"0")</f>
        <v>18720.62652554661</v>
      </c>
      <c r="Y496" s="547">
        <f>IFERROR(SUM(BN22:BN492),"0")</f>
        <v>18881.107</v>
      </c>
      <c r="Z496" s="37"/>
      <c r="AA496" s="548"/>
      <c r="AB496" s="548"/>
      <c r="AC496" s="548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709"/>
      <c r="P497" s="702" t="s">
        <v>750</v>
      </c>
      <c r="Q497" s="671"/>
      <c r="R497" s="671"/>
      <c r="S497" s="671"/>
      <c r="T497" s="671"/>
      <c r="U497" s="671"/>
      <c r="V497" s="672"/>
      <c r="W497" s="37" t="s">
        <v>751</v>
      </c>
      <c r="X497" s="38">
        <f>ROUNDUP(SUM(BO22:BO492),0)</f>
        <v>31</v>
      </c>
      <c r="Y497" s="38">
        <f>ROUNDUP(SUM(BP22:BP492),0)</f>
        <v>31</v>
      </c>
      <c r="Z497" s="37"/>
      <c r="AA497" s="548"/>
      <c r="AB497" s="548"/>
      <c r="AC497" s="548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709"/>
      <c r="P498" s="702" t="s">
        <v>752</v>
      </c>
      <c r="Q498" s="671"/>
      <c r="R498" s="671"/>
      <c r="S498" s="671"/>
      <c r="T498" s="671"/>
      <c r="U498" s="671"/>
      <c r="V498" s="672"/>
      <c r="W498" s="37" t="s">
        <v>69</v>
      </c>
      <c r="X498" s="547">
        <f>GrossWeightTotal+PalletQtyTotal*25</f>
        <v>19495.62652554661</v>
      </c>
      <c r="Y498" s="547">
        <f>GrossWeightTotalR+PalletQtyTotalR*25</f>
        <v>19656.107</v>
      </c>
      <c r="Z498" s="37"/>
      <c r="AA498" s="548"/>
      <c r="AB498" s="548"/>
      <c r="AC498" s="548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709"/>
      <c r="P499" s="702" t="s">
        <v>753</v>
      </c>
      <c r="Q499" s="671"/>
      <c r="R499" s="671"/>
      <c r="S499" s="671"/>
      <c r="T499" s="671"/>
      <c r="U499" s="671"/>
      <c r="V499" s="672"/>
      <c r="W499" s="37" t="s">
        <v>751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3191.0829227179811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3216</v>
      </c>
      <c r="Z499" s="37"/>
      <c r="AA499" s="548"/>
      <c r="AB499" s="548"/>
      <c r="AC499" s="548"/>
    </row>
    <row r="500" spans="1:32" ht="14.25" customHeight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709"/>
      <c r="P500" s="702" t="s">
        <v>754</v>
      </c>
      <c r="Q500" s="671"/>
      <c r="R500" s="671"/>
      <c r="S500" s="671"/>
      <c r="T500" s="671"/>
      <c r="U500" s="671"/>
      <c r="V500" s="672"/>
      <c r="W500" s="39" t="s">
        <v>755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35.365389999999998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756</v>
      </c>
      <c r="B502" s="542" t="s">
        <v>63</v>
      </c>
      <c r="C502" s="588" t="s">
        <v>97</v>
      </c>
      <c r="D502" s="621"/>
      <c r="E502" s="621"/>
      <c r="F502" s="621"/>
      <c r="G502" s="621"/>
      <c r="H502" s="622"/>
      <c r="I502" s="588" t="s">
        <v>251</v>
      </c>
      <c r="J502" s="621"/>
      <c r="K502" s="621"/>
      <c r="L502" s="621"/>
      <c r="M502" s="621"/>
      <c r="N502" s="621"/>
      <c r="O502" s="621"/>
      <c r="P502" s="621"/>
      <c r="Q502" s="621"/>
      <c r="R502" s="621"/>
      <c r="S502" s="622"/>
      <c r="T502" s="588" t="s">
        <v>536</v>
      </c>
      <c r="U502" s="622"/>
      <c r="V502" s="588" t="s">
        <v>593</v>
      </c>
      <c r="W502" s="621"/>
      <c r="X502" s="622"/>
      <c r="Y502" s="542" t="s">
        <v>645</v>
      </c>
      <c r="Z502" s="588" t="s">
        <v>707</v>
      </c>
      <c r="AA502" s="622"/>
      <c r="AB502" s="52"/>
      <c r="AC502" s="52"/>
      <c r="AF502" s="543"/>
    </row>
    <row r="503" spans="1:32" ht="14.25" customHeight="1" thickTop="1" x14ac:dyDescent="0.2">
      <c r="A503" s="594" t="s">
        <v>757</v>
      </c>
      <c r="B503" s="588" t="s">
        <v>63</v>
      </c>
      <c r="C503" s="588" t="s">
        <v>98</v>
      </c>
      <c r="D503" s="588" t="s">
        <v>116</v>
      </c>
      <c r="E503" s="588" t="s">
        <v>172</v>
      </c>
      <c r="F503" s="588" t="s">
        <v>191</v>
      </c>
      <c r="G503" s="588" t="s">
        <v>223</v>
      </c>
      <c r="H503" s="588" t="s">
        <v>97</v>
      </c>
      <c r="I503" s="588" t="s">
        <v>252</v>
      </c>
      <c r="J503" s="588" t="s">
        <v>293</v>
      </c>
      <c r="K503" s="588" t="s">
        <v>353</v>
      </c>
      <c r="L503" s="588" t="s">
        <v>398</v>
      </c>
      <c r="M503" s="588" t="s">
        <v>414</v>
      </c>
      <c r="N503" s="543"/>
      <c r="O503" s="588" t="s">
        <v>426</v>
      </c>
      <c r="P503" s="588" t="s">
        <v>436</v>
      </c>
      <c r="Q503" s="588" t="s">
        <v>443</v>
      </c>
      <c r="R503" s="588" t="s">
        <v>448</v>
      </c>
      <c r="S503" s="588" t="s">
        <v>526</v>
      </c>
      <c r="T503" s="588" t="s">
        <v>537</v>
      </c>
      <c r="U503" s="588" t="s">
        <v>571</v>
      </c>
      <c r="V503" s="588" t="s">
        <v>594</v>
      </c>
      <c r="W503" s="588" t="s">
        <v>626</v>
      </c>
      <c r="X503" s="588" t="s">
        <v>641</v>
      </c>
      <c r="Y503" s="588" t="s">
        <v>645</v>
      </c>
      <c r="Z503" s="588" t="s">
        <v>707</v>
      </c>
      <c r="AA503" s="588" t="s">
        <v>744</v>
      </c>
      <c r="AB503" s="52"/>
      <c r="AC503" s="52"/>
      <c r="AF503" s="543"/>
    </row>
    <row r="504" spans="1:32" ht="13.5" customHeight="1" thickBot="1" x14ac:dyDescent="0.25">
      <c r="A504" s="595"/>
      <c r="B504" s="589"/>
      <c r="C504" s="589"/>
      <c r="D504" s="589"/>
      <c r="E504" s="589"/>
      <c r="F504" s="589"/>
      <c r="G504" s="589"/>
      <c r="H504" s="589"/>
      <c r="I504" s="589"/>
      <c r="J504" s="589"/>
      <c r="K504" s="589"/>
      <c r="L504" s="589"/>
      <c r="M504" s="589"/>
      <c r="N504" s="543"/>
      <c r="O504" s="589"/>
      <c r="P504" s="589"/>
      <c r="Q504" s="589"/>
      <c r="R504" s="589"/>
      <c r="S504" s="589"/>
      <c r="T504" s="589"/>
      <c r="U504" s="589"/>
      <c r="V504" s="589"/>
      <c r="W504" s="589"/>
      <c r="X504" s="589"/>
      <c r="Y504" s="589"/>
      <c r="Z504" s="589"/>
      <c r="AA504" s="589"/>
      <c r="AB504" s="52"/>
      <c r="AC504" s="52"/>
      <c r="AF504" s="543"/>
    </row>
    <row r="505" spans="1:32" ht="18" customHeight="1" thickTop="1" thickBot="1" x14ac:dyDescent="0.25">
      <c r="A505" s="40" t="s">
        <v>758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348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985.5</v>
      </c>
      <c r="E505" s="46">
        <f>IFERROR(Y86*1,"0")+IFERROR(Y87*1,"0")+IFERROR(Y88*1,"0")+IFERROR(Y92*1,"0")+IFERROR(Y93*1,"0")+IFERROR(Y94*1,"0")+IFERROR(Y95*1,"0")</f>
        <v>1063.8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1714.8600000000001</v>
      </c>
      <c r="G505" s="46">
        <f>IFERROR(Y125*1,"0")+IFERROR(Y126*1,"0")+IFERROR(Y130*1,"0")+IFERROR(Y131*1,"0")+IFERROR(Y135*1,"0")+IFERROR(Y136*1,"0")</f>
        <v>176.4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455.69999999999993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1744.4999999999998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122.4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40.799999999999997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867.60000000000014</v>
      </c>
      <c r="S505" s="46">
        <f>IFERROR(Y334*1,"0")+IFERROR(Y335*1,"0")+IFERROR(Y336*1,"0")</f>
        <v>911.4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5967</v>
      </c>
      <c r="U505" s="46">
        <f>IFERROR(Y367*1,"0")+IFERROR(Y368*1,"0")+IFERROR(Y369*1,"0")+IFERROR(Y373*1,"0")+IFERROR(Y374*1,"0")+IFERROR(Y378*1,"0")+IFERROR(Y379*1,"0")+IFERROR(Y383*1,"0")</f>
        <v>60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63</v>
      </c>
      <c r="W505" s="46">
        <f>IFERROR(Y408*1,"0")+IFERROR(Y412*1,"0")+IFERROR(Y413*1,"0")+IFERROR(Y414*1,"0")+IFERROR(Y415*1,"0")</f>
        <v>8.4</v>
      </c>
      <c r="X505" s="46">
        <f>IFERROR(Y420*1,"0")</f>
        <v>30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1311.3600000000006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1800</v>
      </c>
      <c r="AA505" s="46">
        <f>IFERROR(Y492*1,"0")</f>
        <v>0</v>
      </c>
      <c r="AB505" s="52"/>
      <c r="AC505" s="52"/>
      <c r="AF505" s="543"/>
    </row>
  </sheetData>
  <sheetProtection algorithmName="SHA-512" hashValue="LGbJdKG26KLWeH+rDDX2lYIA0EaHnLXR1F+51sL9FeWducKWEZizYArDsbXJlEOONWbqPYhMJ0B1uq1j+XokkA==" saltValue="VKLjeO9Y/zsFtbLNjxYW0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D433:E433"/>
    <mergeCell ref="D262:E262"/>
    <mergeCell ref="P368:T368"/>
    <mergeCell ref="P122:V122"/>
    <mergeCell ref="D237:E237"/>
    <mergeCell ref="P43:V43"/>
    <mergeCell ref="P285:V285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Q6:R6"/>
    <mergeCell ref="P243:T243"/>
    <mergeCell ref="D29:E29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75:T75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P357:T357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F5:G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V11:W11"/>
    <mergeCell ref="A370:O371"/>
    <mergeCell ref="D457:E457"/>
    <mergeCell ref="P367:T367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A9:C9"/>
    <mergeCell ref="D373:E373"/>
    <mergeCell ref="D202:E202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32:V32"/>
    <mergeCell ref="P474:V474"/>
    <mergeCell ref="Q13:R13"/>
    <mergeCell ref="P97:V97"/>
    <mergeCell ref="D389:E389"/>
    <mergeCell ref="P47:V47"/>
    <mergeCell ref="P176:T176"/>
    <mergeCell ref="P114:T114"/>
    <mergeCell ref="P241:T241"/>
    <mergeCell ref="P41:T41"/>
    <mergeCell ref="A157:Z157"/>
    <mergeCell ref="A35:O36"/>
    <mergeCell ref="A481:Z481"/>
    <mergeCell ref="A399:O400"/>
    <mergeCell ref="P61:T61"/>
    <mergeCell ref="A273:Z273"/>
    <mergeCell ref="D436:E436"/>
    <mergeCell ref="D292:E292"/>
    <mergeCell ref="P346:T346"/>
    <mergeCell ref="D227:E227"/>
    <mergeCell ref="P321:T321"/>
    <mergeCell ref="P125:T125"/>
    <mergeCell ref="A455:Z455"/>
    <mergeCell ref="D320:E320"/>
    <mergeCell ref="D447:E447"/>
    <mergeCell ref="A127:O128"/>
    <mergeCell ref="P301:T301"/>
    <mergeCell ref="P255:V255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A461:Z461"/>
    <mergeCell ref="D288:E288"/>
    <mergeCell ref="P130:T130"/>
    <mergeCell ref="P421:V421"/>
    <mergeCell ref="D136:E136"/>
    <mergeCell ref="D434:E434"/>
    <mergeCell ref="P46:T46"/>
    <mergeCell ref="D154:E154"/>
    <mergeCell ref="D225:E225"/>
    <mergeCell ref="D22:E22"/>
    <mergeCell ref="M17:M18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D383:E383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D415:E415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A12:M12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A483:O484"/>
    <mergeCell ref="P353:T353"/>
    <mergeCell ref="P82:V82"/>
    <mergeCell ref="A134:Z134"/>
    <mergeCell ref="A265:Z26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H503:H504"/>
    <mergeCell ref="P442:T442"/>
    <mergeCell ref="P467:T467"/>
    <mergeCell ref="P489:V489"/>
    <mergeCell ref="D448:E448"/>
    <mergeCell ref="P354:V354"/>
    <mergeCell ref="P183:V183"/>
    <mergeCell ref="A43:O44"/>
    <mergeCell ref="P133:V133"/>
    <mergeCell ref="D390:E390"/>
    <mergeCell ref="A123:Z123"/>
    <mergeCell ref="P127:V127"/>
    <mergeCell ref="Y503:Y504"/>
    <mergeCell ref="D492:E492"/>
    <mergeCell ref="Z503:Z504"/>
    <mergeCell ref="A132:O133"/>
    <mergeCell ref="P439:V439"/>
    <mergeCell ref="A438:O439"/>
    <mergeCell ref="P427:T427"/>
    <mergeCell ref="P497:V497"/>
    <mergeCell ref="P484:V484"/>
    <mergeCell ref="E503:E504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P417:V417"/>
    <mergeCell ref="Q12:R12"/>
    <mergeCell ref="I17:I18"/>
    <mergeCell ref="D141:E141"/>
    <mergeCell ref="D306:E306"/>
    <mergeCell ref="D135:E135"/>
    <mergeCell ref="P456:T456"/>
    <mergeCell ref="A246:O247"/>
    <mergeCell ref="P414:T414"/>
    <mergeCell ref="P352:T352"/>
    <mergeCell ref="D72:E72"/>
    <mergeCell ref="A326:Z326"/>
    <mergeCell ref="P178:V178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P245:T245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8:M8"/>
    <mergeCell ref="D300:E300"/>
    <mergeCell ref="P279:V279"/>
    <mergeCell ref="P237:T237"/>
    <mergeCell ref="P329:T329"/>
    <mergeCell ref="P158:T15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H9:I9"/>
    <mergeCell ref="P24:V24"/>
    <mergeCell ref="A49:Z49"/>
    <mergeCell ref="P211:V211"/>
    <mergeCell ref="P89:V89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P56:T56"/>
    <mergeCell ref="D66:E66"/>
    <mergeCell ref="D53:E53"/>
    <mergeCell ref="A50:Z50"/>
    <mergeCell ref="W17:W18"/>
    <mergeCell ref="D92:E92"/>
    <mergeCell ref="D55:E55"/>
    <mergeCell ref="D30:E30"/>
    <mergeCell ref="D67:E67"/>
    <mergeCell ref="A140:Z140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58:X162 X164 X191:X198 X204:X205 X207 X209:X210 X214:X215 X221 X223:X224 X228 X268:X269 X299:X300 X302 X314:X316 X322:X323 X327 X329 X335:X336 X342:X345 X352 X358 X368 X378 X394:X395 X397 X420 X426 X428 X431 X441 X447:X452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759</v>
      </c>
      <c r="H1" s="52"/>
    </row>
    <row r="3" spans="2:8" x14ac:dyDescent="0.2">
      <c r="B3" s="47" t="s">
        <v>760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761</v>
      </c>
      <c r="D6" s="47" t="s">
        <v>762</v>
      </c>
      <c r="E6" s="47"/>
    </row>
    <row r="8" spans="2:8" x14ac:dyDescent="0.2">
      <c r="B8" s="47" t="s">
        <v>19</v>
      </c>
      <c r="C8" s="47" t="s">
        <v>761</v>
      </c>
      <c r="D8" s="47"/>
      <c r="E8" s="47"/>
    </row>
    <row r="10" spans="2:8" x14ac:dyDescent="0.2">
      <c r="B10" s="47" t="s">
        <v>763</v>
      </c>
      <c r="C10" s="47"/>
      <c r="D10" s="47"/>
      <c r="E10" s="47"/>
    </row>
    <row r="11" spans="2:8" x14ac:dyDescent="0.2">
      <c r="B11" s="47" t="s">
        <v>764</v>
      </c>
      <c r="C11" s="47"/>
      <c r="D11" s="47"/>
      <c r="E11" s="47"/>
    </row>
    <row r="12" spans="2:8" x14ac:dyDescent="0.2">
      <c r="B12" s="47" t="s">
        <v>765</v>
      </c>
      <c r="C12" s="47"/>
      <c r="D12" s="47"/>
      <c r="E12" s="47"/>
    </row>
    <row r="13" spans="2:8" x14ac:dyDescent="0.2">
      <c r="B13" s="47" t="s">
        <v>766</v>
      </c>
      <c r="C13" s="47"/>
      <c r="D13" s="47"/>
      <c r="E13" s="47"/>
    </row>
    <row r="14" spans="2:8" x14ac:dyDescent="0.2">
      <c r="B14" s="47" t="s">
        <v>767</v>
      </c>
      <c r="C14" s="47"/>
      <c r="D14" s="47"/>
      <c r="E14" s="47"/>
    </row>
    <row r="15" spans="2:8" x14ac:dyDescent="0.2">
      <c r="B15" s="47" t="s">
        <v>768</v>
      </c>
      <c r="C15" s="47"/>
      <c r="D15" s="47"/>
      <c r="E15" s="47"/>
    </row>
    <row r="16" spans="2:8" x14ac:dyDescent="0.2">
      <c r="B16" s="47" t="s">
        <v>769</v>
      </c>
      <c r="C16" s="47"/>
      <c r="D16" s="47"/>
      <c r="E16" s="47"/>
    </row>
    <row r="17" spans="2:5" x14ac:dyDescent="0.2">
      <c r="B17" s="47" t="s">
        <v>770</v>
      </c>
      <c r="C17" s="47"/>
      <c r="D17" s="47"/>
      <c r="E17" s="47"/>
    </row>
    <row r="18" spans="2:5" x14ac:dyDescent="0.2">
      <c r="B18" s="47" t="s">
        <v>771</v>
      </c>
      <c r="C18" s="47"/>
      <c r="D18" s="47"/>
      <c r="E18" s="47"/>
    </row>
    <row r="19" spans="2:5" x14ac:dyDescent="0.2">
      <c r="B19" s="47" t="s">
        <v>772</v>
      </c>
      <c r="C19" s="47"/>
      <c r="D19" s="47"/>
      <c r="E19" s="47"/>
    </row>
    <row r="20" spans="2:5" x14ac:dyDescent="0.2">
      <c r="B20" s="47" t="s">
        <v>773</v>
      </c>
      <c r="C20" s="47"/>
      <c r="D20" s="47"/>
      <c r="E20" s="47"/>
    </row>
  </sheetData>
  <sheetProtection algorithmName="SHA-512" hashValue="LA5Q6s/CBYwuZXUEFEEK3ddi2FSW/tfOsa+g4HZ0LFtC3hURzNmX6edkeeHFo7qlfFbnQwesCgntnz2FU8SitQ==" saltValue="9oMCrjGBPtTZB7/ykasp7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2025-10-17T08:43:19Z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