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031AAD-FFB8-4CA9-A596-6B11135457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Y262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Y247" i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Y221" i="1" s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BP162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1" i="1" s="1"/>
  <c r="BO22" i="1"/>
  <c r="BM22" i="1"/>
  <c r="X278" i="1" s="1"/>
  <c r="Z22" i="1"/>
  <c r="Z23" i="1" s="1"/>
  <c r="Y22" i="1"/>
  <c r="Y23" i="1" s="1"/>
  <c r="P22" i="1"/>
  <c r="H10" i="1"/>
  <c r="A9" i="1"/>
  <c r="F10" i="1" s="1"/>
  <c r="D7" i="1"/>
  <c r="Q6" i="1"/>
  <c r="P2" i="1"/>
  <c r="X277" i="1" l="1"/>
  <c r="Y31" i="1"/>
  <c r="BN29" i="1"/>
  <c r="Y38" i="1"/>
  <c r="Z45" i="1"/>
  <c r="BN41" i="1"/>
  <c r="BN43" i="1"/>
  <c r="Y87" i="1"/>
  <c r="BN85" i="1"/>
  <c r="Y96" i="1"/>
  <c r="Y103" i="1"/>
  <c r="BN101" i="1"/>
  <c r="Y112" i="1"/>
  <c r="Y215" i="1"/>
  <c r="X279" i="1"/>
  <c r="Z30" i="1"/>
  <c r="Z37" i="1"/>
  <c r="BN34" i="1"/>
  <c r="BP34" i="1"/>
  <c r="BN36" i="1"/>
  <c r="Y45" i="1"/>
  <c r="Y64" i="1"/>
  <c r="BN62" i="1"/>
  <c r="Y70" i="1"/>
  <c r="Z75" i="1"/>
  <c r="BN73" i="1"/>
  <c r="BP73" i="1"/>
  <c r="Z86" i="1"/>
  <c r="Z96" i="1"/>
  <c r="BN90" i="1"/>
  <c r="BP90" i="1"/>
  <c r="BN92" i="1"/>
  <c r="BN94" i="1"/>
  <c r="Z102" i="1"/>
  <c r="Z111" i="1"/>
  <c r="BN106" i="1"/>
  <c r="BP106" i="1"/>
  <c r="BN108" i="1"/>
  <c r="BN110" i="1"/>
  <c r="Y125" i="1"/>
  <c r="Y132" i="1"/>
  <c r="BN130" i="1"/>
  <c r="Y137" i="1"/>
  <c r="Z164" i="1"/>
  <c r="BN162" i="1"/>
  <c r="BN175" i="1"/>
  <c r="BP175" i="1"/>
  <c r="Y176" i="1"/>
  <c r="BN202" i="1"/>
  <c r="BP202" i="1"/>
  <c r="Y203" i="1"/>
  <c r="BN207" i="1"/>
  <c r="BP207" i="1"/>
  <c r="Y208" i="1"/>
  <c r="Z214" i="1"/>
  <c r="BN211" i="1"/>
  <c r="BP211" i="1"/>
  <c r="BN213" i="1"/>
  <c r="Z250" i="1"/>
  <c r="BN248" i="1"/>
  <c r="Z255" i="1"/>
  <c r="Z261" i="1"/>
  <c r="BN258" i="1"/>
  <c r="BP258" i="1"/>
  <c r="BN260" i="1"/>
  <c r="Y276" i="1"/>
  <c r="X280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Y138" i="1"/>
  <c r="Y143" i="1"/>
  <c r="Y148" i="1"/>
  <c r="Y153" i="1"/>
  <c r="Y158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73" i="1"/>
  <c r="Y182" i="1"/>
  <c r="BP181" i="1"/>
  <c r="BN181" i="1"/>
  <c r="Z189" i="1"/>
  <c r="Y199" i="1"/>
  <c r="BP212" i="1"/>
  <c r="BN212" i="1"/>
  <c r="Y214" i="1"/>
  <c r="Y220" i="1"/>
  <c r="BP218" i="1"/>
  <c r="BN218" i="1"/>
  <c r="BP219" i="1"/>
  <c r="BN219" i="1"/>
  <c r="Y227" i="1"/>
  <c r="Y232" i="1"/>
  <c r="BP231" i="1"/>
  <c r="BN231" i="1"/>
  <c r="Y239" i="1"/>
  <c r="Y242" i="1"/>
  <c r="BP241" i="1"/>
  <c r="BN241" i="1"/>
  <c r="Y25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Z282" i="1" l="1"/>
  <c r="Y281" i="1"/>
  <c r="Y279" i="1"/>
  <c r="Y277" i="1"/>
  <c r="C290" i="1" s="1"/>
  <c r="Y278" i="1"/>
  <c r="Y280" i="1" s="1"/>
  <c r="B290" i="1" l="1"/>
  <c r="A290" i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<sst xmlns="http://schemas.openxmlformats.org/spreadsheetml/2006/main" count="1246" uniqueCount="408">
  <si>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</si>
  <si>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</si>
  <si>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</si>
  <si>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</si>
  <si>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</si>
  <si>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</si>
  <si>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</si>
  <si>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</si>
  <si>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</si>
  <si>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</si>
  <si>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</si>
  <si>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</si>
  <si>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</si>
  <si>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</si>
  <si>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</si>
  <si>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</si>
  <si>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</si>
  <si>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</si>
  <si>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</si>
  <si>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</si>
  <si>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</si>
  <si>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</si>
  <si>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</si>
  <si>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</si>
  <si>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</si>
  <si>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</si>
  <si>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</si>
  <si>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</si>
  <si>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</si>
  <si>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</si>
  <si>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</si>
  <si>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</si>
  <si>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</si>
  <si>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</si>
  <si>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</si>
  <si>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</si>
  <si>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</si>
  <si>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</si>
  <si>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</si>
  <si>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</si>
  <si>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</si>
  <si>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</si>
  <si>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</si>
  <si>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</si>
  <si>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</si>
  <si>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</si>
  <si>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</si>
  <si>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</si>
  <si>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</si>
  <si>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</si>
  <si>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</si>
  <si>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</si>
  <si>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</si>
  <si>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</si>
  <si>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</si>
  <si>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</si>
  <si>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</si>
  <si>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</si>
  <si>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</si>
  <si>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</si>
  <si>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</si>
  <si>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</si>
  <si>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</si>
  <si>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</si>
  <si>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</si>
  <si>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</si>
  <si>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</si>
  <si>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</si>
  <si>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</si>
  <si>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</si>
  <si>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</si>
  <si>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</si>
  <si>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</si>
  <si>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</si>
  <si>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</si>
  <si>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</si>
  <si>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</si>
  <si>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</si>
  <si>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</si>
  <si>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</si>
  <si>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</si>
  <si>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</si>
  <si>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</si>
  <si>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</si>
  <si>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</si>
  <si>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</si>
  <si>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</si>
  <si>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</si>
  <si>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</si>
  <si>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</si>
  <si>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</si>
  <si>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</si>
  <si>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</si>
  <si>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</si>
  <si>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</si>
  <si>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</si>
  <si>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</si>
  <si>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</si>
  <si>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</si>
  <si>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</si>
  <si>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</si>
  <si>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</si>
  <si>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</si>
  <si>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</si>
  <si>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</si>
  <si>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</si>
  <si>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</si>
  <si>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</si>
  <si>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</si>
  <si>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</si>
  <si>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</si>
  <si>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</si>
  <si>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</si>
  <si>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</si>
  <si>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</si>
  <si>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</si>
  <si>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</si>
  <si>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</si>
  <si>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</si>
  <si>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</si>
  <si>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</si>
  <si>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</si>
  <si>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</si>
  <si>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</si>
  <si>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</si>
  <si>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</si>
  <si>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</si>
  <si>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</si>
  <si>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</si>
  <si>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</si>
  <si>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</si>
  <si>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</si>
  <si>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</si>
  <si>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</si>
  <si>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</si>
  <si>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</si>
  <si>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</si>
  <si>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</si>
  <si>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</si>
  <si>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</si>
  <si>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</si>
  <si>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</si>
  <si>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</si>
  <si>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</si>
  <si>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</si>
  <si>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</si>
  <si>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</si>
  <si>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</si>
  <si>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</si>
  <si>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</si>
  <si>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</si>
  <si>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</si>
  <si>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</si>
  <si>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</si>
  <si>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</si>
  <si>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</si>
  <si>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</si>
  <si>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</si>
  <si>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</si>
  <si>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</si>
  <si>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</si>
  <si>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</si>
  <si>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</si>
  <si>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</si>
  <si>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</si>
  <si>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</si>
  <si>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</si>
  <si>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</si>
  <si>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</si>
  <si>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</si>
  <si>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</si>
  <si>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</si>
  <si>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</si>
  <si>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</si>
  <si>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</si>
  <si>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</si>
  <si>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</si>
  <si>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</si>
  <si>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</si>
  <si>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</si>
  <si>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</si>
  <si>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</si>
  <si>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</si>
  <si>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</si>
  <si>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</si>
  <si>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</si>
  <si>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</si>
  <si>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</si>
  <si>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</si>
  <si>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</si>
  <si>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</si>
  <si>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</si>
  <si>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</si>
  <si>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</si>
  <si>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</si>
  <si>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</si>
  <si>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</si>
  <si>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</si>
  <si>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</si>
  <si>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</si>
  <si>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</si>
  <si>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</si>
  <si>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</si>
  <si>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</si>
  <si>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</si>
  <si>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</si>
  <si>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</si>
  <si>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</si>
  <si>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</si>
  <si>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</si>
  <si>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</si>
  <si>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</si>
  <si>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</si>
  <si>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</si>
  <si>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</si>
  <si>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</si>
  <si>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</si>
  <si>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</si>
  <si>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</si>
  <si>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</si>
  <si>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</si>
  <si>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</si>
  <si>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</si>
  <si>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</si>
  <si>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</si>
  <si>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</si>
  <si>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</si>
  <si>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</si>
  <si>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</si>
  <si>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</si>
  <si>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</si>
  <si>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</si>
  <si>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</si>
  <si>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</si>
  <si>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</si>
  <si>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</si>
  <si>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</si>
  <si>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</si>
  <si>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</si>
  <si>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</si>
  <si>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</si>
  <si>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</si>
  <si>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</si>
  <si>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</si>
  <si>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</si>
  <si>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</si>
  <si>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</si>
  <si>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</si>
  <si>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</si>
  <si>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</si>
  <si>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</si>
  <si>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</si>
  <si>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</si>
  <si>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</si>
  <si>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</si>
  <si>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</si>
  <si>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</si>
  <si>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</si>
  <si>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</si>
  <si>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</si>
  <si>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</si>
  <si>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</si>
  <si>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</si>
  <si>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</si>
  <si>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</si>
  <si>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</si>
  <si>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</si>
  <si>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</si>
  <si>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</si>
  <si>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</si>
  <si>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</si>
  <si>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</si>
  <si>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</si>
  <si>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</si>
  <si>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</si>
  <si>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</si>
  <si>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</si>
  <si>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</si>
  <si>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</si>
  <si>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</si>
  <si>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</si>
  <si>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</si>
  <si>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</si>
  <si>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</si>
  <si>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</si>
  <si>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</si>
  <si>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</si>
  <si>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</si>
  <si>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</si>
  <si>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</si>
  <si>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</si>
  <si>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</si>
  <si>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</si>
  <si>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</si>
  <si>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</si>
  <si>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</si>
  <si>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</si>
  <si>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</si>
  <si>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</si>
  <si>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</si>
  <si>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</si>
  <si>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</si>
  <si>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</si>
  <si>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</si>
  <si>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</si>
  <si>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</si>
  <si>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</si>
  <si>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</si>
  <si>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</si>
  <si>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</si>
  <si>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</si>
  <si>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</si>
  <si>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</si>
  <si>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</si>
  <si>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</si>
  <si>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</si>
  <si>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</si>
  <si>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</si>
  <si>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</si>
  <si>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</si>
  <si>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</si>
  <si>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</si>
  <si>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</si>
  <si>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</si>
  <si>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</si>
  <si>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</si>
  <si>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</si>
  <si>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</si>
  <si>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</si>
  <si>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</si>
  <si>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</si>
  <si>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</si>
  <si>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</si>
  <si>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</si>
  <si>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</si>
  <si>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</si>
  <si>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</si>
  <si>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</si>
  <si>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</si>
  <si>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</si>
  <si>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</si>
  <si>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</si>
  <si>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</si>
  <si>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</si>
  <si>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</si>
  <si>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</si>
  <si>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</si>
  <si>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</si>
  <si>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</si>
  <si>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</si>
  <si>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</si>
  <si>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</si>
  <si>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</si>
  <si>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</si>
  <si>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</si>
  <si>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</si>
  <si>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</si>
  <si>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</si>
  <si>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</si>
  <si>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</si>
  <si>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</si>
  <si>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</si>
  <si>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</si>
  <si>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</si>
  <si>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</si>
  <si>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</si>
  <si>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</si>
  <si>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</si>
  <si>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</si>
  <si>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</si>
  <si>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</si>
  <si>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</si>
  <si>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</si>
  <si>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</si>
  <si>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</si>
  <si>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</si>
  <si>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</si>
  <si>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</si>
  <si>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</si>
  <si>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</si>
  <si>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</si>
  <si>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</si>
  <si>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</si>
  <si>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</si>
  <si>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</si>
  <si>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</si>
  <si>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</si>
  <si>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</si>
  <si>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</si>
  <si>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</si>
  <si>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</si>
  <si>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</si>
  <si>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</si>
  <si>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</si>
  <si>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</si>
  <si>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</si>
  <si>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</si>
  <si>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</si>
  <si>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</si>
  <si>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</si>
  <si>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</si>
  <si>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</si>
  <si>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</si>
  <si>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</si>
  <si>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</si>
  <si>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</si>
  <si>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</si>
  <si>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29 европалет,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</si>
</sst>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7" t="s">
        <v>0</v>
      </c>
      <c r="E1" s="293"/>
      <c r="F1" s="293"/>
      <c r="G1" s="12" t="s">
        <v>1</v>
      </c>
      <c r="H1" s="327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0" t="s">
        <v>8</v>
      </c>
      <c r="B5" s="287"/>
      <c r="C5" s="288"/>
      <c r="D5" s="329"/>
      <c r="E5" s="330"/>
      <c r="F5" s="438" t="s">
        <v>9</v>
      </c>
      <c r="G5" s="288"/>
      <c r="H5" s="329" t="s">
        <v>407</v>
      </c>
      <c r="I5" s="405"/>
      <c r="J5" s="405"/>
      <c r="K5" s="405"/>
      <c r="L5" s="405"/>
      <c r="M5" s="330"/>
      <c r="N5" s="61"/>
      <c r="P5" s="24" t="s">
        <v>10</v>
      </c>
      <c r="Q5" s="444">
        <v>45950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50" t="s">
        <v>13</v>
      </c>
      <c r="B6" s="287"/>
      <c r="C6" s="288"/>
      <c r="D6" s="407" t="s">
        <v>14</v>
      </c>
      <c r="E6" s="408"/>
      <c r="F6" s="408"/>
      <c r="G6" s="408"/>
      <c r="H6" s="408"/>
      <c r="I6" s="408"/>
      <c r="J6" s="408"/>
      <c r="K6" s="408"/>
      <c r="L6" s="408"/>
      <c r="M6" s="346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1" t="s">
        <v>16</v>
      </c>
      <c r="U6" s="368"/>
      <c r="V6" s="384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78"/>
      <c r="U7" s="368"/>
      <c r="V7" s="385"/>
      <c r="W7" s="386"/>
      <c r="AB7" s="51"/>
      <c r="AC7" s="51"/>
      <c r="AD7" s="51"/>
      <c r="AE7" s="51"/>
    </row>
    <row r="8" spans="1:32" s="262" customFormat="1" ht="25.5" customHeight="1" x14ac:dyDescent="0.2">
      <c r="A8" s="448" t="s">
        <v>18</v>
      </c>
      <c r="B8" s="275"/>
      <c r="C8" s="276"/>
      <c r="D8" s="319" t="s">
        <v>19</v>
      </c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20</v>
      </c>
      <c r="Q8" s="352">
        <v>0.5</v>
      </c>
      <c r="R8" s="312"/>
      <c r="T8" s="278"/>
      <c r="U8" s="368"/>
      <c r="V8" s="385"/>
      <c r="W8" s="386"/>
      <c r="AB8" s="51"/>
      <c r="AC8" s="51"/>
      <c r="AD8" s="51"/>
      <c r="AE8" s="51"/>
    </row>
    <row r="9" spans="1:32" s="262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60"/>
      <c r="E9" s="273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272" t="str">
        <f>IF(AND($A$9="Тип доверенности/получателя при получении в адресе перегруза:",$D$9="Разовая доверенность"),"Введите ФИО","")</f>
        <v/>
      </c>
      <c r="I9" s="273"/>
      <c r="J9" s="2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3"/>
      <c r="L9" s="273"/>
      <c r="M9" s="273"/>
      <c r="N9" s="260"/>
      <c r="P9" s="26" t="s">
        <v>21</v>
      </c>
      <c r="Q9" s="343"/>
      <c r="R9" s="344"/>
      <c r="T9" s="278"/>
      <c r="U9" s="368"/>
      <c r="V9" s="387"/>
      <c r="W9" s="388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60"/>
      <c r="E10" s="273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96" t="str">
        <f>IFERROR(VLOOKUP($D$10,Proxy,2,FALSE),"")</f>
        <v/>
      </c>
      <c r="I10" s="278"/>
      <c r="J10" s="278"/>
      <c r="K10" s="278"/>
      <c r="L10" s="278"/>
      <c r="M10" s="278"/>
      <c r="N10" s="261"/>
      <c r="P10" s="26" t="s">
        <v>22</v>
      </c>
      <c r="Q10" s="372"/>
      <c r="R10" s="373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374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286" t="s">
        <v>29</v>
      </c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65"/>
      <c r="P12" s="24" t="s">
        <v>30</v>
      </c>
      <c r="Q12" s="352"/>
      <c r="R12" s="312"/>
      <c r="S12" s="23"/>
      <c r="U12" s="24"/>
      <c r="V12" s="293"/>
      <c r="W12" s="278"/>
      <c r="AB12" s="51"/>
      <c r="AC12" s="51"/>
      <c r="AD12" s="51"/>
      <c r="AE12" s="51"/>
    </row>
    <row r="13" spans="1:32" s="262" customFormat="1" ht="23.25" customHeight="1" x14ac:dyDescent="0.2">
      <c r="A13" s="286" t="s">
        <v>31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65"/>
      <c r="O13" s="26"/>
      <c r="P13" s="26" t="s">
        <v>32</v>
      </c>
      <c r="Q13" s="374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286" t="s">
        <v>33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90" t="s">
        <v>34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66"/>
      <c r="P15" s="365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5" t="s">
        <v>36</v>
      </c>
      <c r="B17" s="295" t="s">
        <v>37</v>
      </c>
      <c r="C17" s="358" t="s">
        <v>38</v>
      </c>
      <c r="D17" s="295" t="s">
        <v>39</v>
      </c>
      <c r="E17" s="335"/>
      <c r="F17" s="295" t="s">
        <v>40</v>
      </c>
      <c r="G17" s="295" t="s">
        <v>41</v>
      </c>
      <c r="H17" s="295" t="s">
        <v>42</v>
      </c>
      <c r="I17" s="295" t="s">
        <v>43</v>
      </c>
      <c r="J17" s="295" t="s">
        <v>44</v>
      </c>
      <c r="K17" s="295" t="s">
        <v>45</v>
      </c>
      <c r="L17" s="295" t="s">
        <v>46</v>
      </c>
      <c r="M17" s="295" t="s">
        <v>47</v>
      </c>
      <c r="N17" s="295" t="s">
        <v>48</v>
      </c>
      <c r="O17" s="295" t="s">
        <v>49</v>
      </c>
      <c r="P17" s="295" t="s">
        <v>50</v>
      </c>
      <c r="Q17" s="334"/>
      <c r="R17" s="334"/>
      <c r="S17" s="334"/>
      <c r="T17" s="335"/>
      <c r="U17" s="377" t="s">
        <v>51</v>
      </c>
      <c r="V17" s="288"/>
      <c r="W17" s="295" t="s">
        <v>52</v>
      </c>
      <c r="X17" s="295" t="s">
        <v>53</v>
      </c>
      <c r="Y17" s="378" t="s">
        <v>54</v>
      </c>
      <c r="Z17" s="403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33"/>
      <c r="AF17" s="434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336"/>
      <c r="E18" s="338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6"/>
      <c r="X18" s="296"/>
      <c r="Y18" s="379"/>
      <c r="Z18" s="404"/>
      <c r="AA18" s="395"/>
      <c r="AB18" s="395"/>
      <c r="AC18" s="395"/>
      <c r="AD18" s="435"/>
      <c r="AE18" s="436"/>
      <c r="AF18" s="437"/>
      <c r="AG18" s="69"/>
      <c r="BD18" s="68"/>
    </row>
    <row r="19" spans="1:68" ht="27.75" hidden="1" customHeight="1" x14ac:dyDescent="0.2">
      <c r="A19" s="284" t="s">
        <v>63</v>
      </c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48"/>
      <c r="AB19" s="48"/>
      <c r="AC19" s="48"/>
    </row>
    <row r="20" spans="1:68" ht="16.5" hidden="1" customHeight="1" x14ac:dyDescent="0.25">
      <c r="A20" s="279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3"/>
      <c r="AB20" s="263"/>
      <c r="AC20" s="263"/>
    </row>
    <row r="21" spans="1:68" ht="14.25" hidden="1" customHeight="1" x14ac:dyDescent="0.25">
      <c r="A21" s="277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81"/>
      <c r="P23" s="274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81"/>
      <c r="P24" s="274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84" t="s">
        <v>75</v>
      </c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48"/>
      <c r="AB25" s="48"/>
      <c r="AC25" s="48"/>
    </row>
    <row r="26" spans="1:68" ht="16.5" hidden="1" customHeight="1" x14ac:dyDescent="0.25">
      <c r="A26" s="279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3"/>
      <c r="AB26" s="263"/>
      <c r="AC26" s="263"/>
    </row>
    <row r="27" spans="1:68" ht="14.25" hidden="1" customHeight="1" x14ac:dyDescent="0.25">
      <c r="A27" s="277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68">
        <v>112</v>
      </c>
      <c r="Y28" s="26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0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81"/>
      <c r="P30" s="274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0">
        <f>IFERROR(SUM(X28:X29),"0")</f>
        <v>126</v>
      </c>
      <c r="Y30" s="270">
        <f>IFERROR(SUM(Y28:Y29),"0")</f>
        <v>126</v>
      </c>
      <c r="Z30" s="270">
        <f>IFERROR(IF(Z28="",0,Z28),"0")+IFERROR(IF(Z29="",0,Z29),"0")</f>
        <v>1.1856599999999999</v>
      </c>
      <c r="AA30" s="271"/>
      <c r="AB30" s="271"/>
      <c r="AC30" s="271"/>
    </row>
    <row r="31" spans="1:68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81"/>
      <c r="P31" s="274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0">
        <f>IFERROR(SUMPRODUCT(X28:X29*H28:H29),"0")</f>
        <v>189</v>
      </c>
      <c r="Y31" s="270">
        <f>IFERROR(SUMPRODUCT(Y28:Y29*H28:H29),"0")</f>
        <v>189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3"/>
      <c r="AB32" s="263"/>
      <c r="AC32" s="263"/>
    </row>
    <row r="33" spans="1:68" ht="14.25" hidden="1" customHeight="1" x14ac:dyDescent="0.25">
      <c r="A33" s="277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7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0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81"/>
      <c r="P37" s="274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81"/>
      <c r="P38" s="274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3"/>
      <c r="AB39" s="263"/>
      <c r="AC39" s="263"/>
    </row>
    <row r="40" spans="1:68" ht="14.25" hidden="1" customHeight="1" x14ac:dyDescent="0.25">
      <c r="A40" s="277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7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68">
        <v>84</v>
      </c>
      <c r="Y41" s="269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68">
        <v>60</v>
      </c>
      <c r="Y42" s="269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0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81"/>
      <c r="P45" s="274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0">
        <f>IFERROR(SUM(X41:X44),"0")</f>
        <v>144</v>
      </c>
      <c r="Y45" s="270">
        <f>IFERROR(SUM(Y41:Y44),"0")</f>
        <v>144</v>
      </c>
      <c r="Z45" s="270">
        <f>IFERROR(IF(Z41="",0,Z41),"0")+IFERROR(IF(Z42="",0,Z42),"0")+IFERROR(IF(Z43="",0,Z43),"0")+IFERROR(IF(Z44="",0,Z44),"0")</f>
        <v>2.2320000000000002</v>
      </c>
      <c r="AA45" s="271"/>
      <c r="AB45" s="271"/>
      <c r="AC45" s="271"/>
    </row>
    <row r="46" spans="1:68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81"/>
      <c r="P46" s="274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0">
        <f>IFERROR(SUMPRODUCT(X41:X44*H41:H44),"0")</f>
        <v>1008</v>
      </c>
      <c r="Y46" s="270">
        <f>IFERROR(SUMPRODUCT(Y41:Y44*H41:H44),"0")</f>
        <v>1008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3"/>
      <c r="AB47" s="263"/>
      <c r="AC47" s="263"/>
    </row>
    <row r="48" spans="1:68" ht="14.25" hidden="1" customHeight="1" x14ac:dyDescent="0.25">
      <c r="A48" s="277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81"/>
      <c r="P50" s="274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81"/>
      <c r="P51" s="274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7" t="s">
        <v>112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81"/>
      <c r="P54" s="274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81"/>
      <c r="P55" s="274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7" t="s">
        <v>77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4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81"/>
      <c r="P58" s="274" t="s">
        <v>73</v>
      </c>
      <c r="Q58" s="275"/>
      <c r="R58" s="275"/>
      <c r="S58" s="275"/>
      <c r="T58" s="275"/>
      <c r="U58" s="275"/>
      <c r="V58" s="276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8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81"/>
      <c r="P59" s="274" t="s">
        <v>73</v>
      </c>
      <c r="Q59" s="275"/>
      <c r="R59" s="275"/>
      <c r="S59" s="275"/>
      <c r="T59" s="275"/>
      <c r="U59" s="275"/>
      <c r="V59" s="276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7" t="s">
        <v>119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81"/>
      <c r="P63" s="274" t="s">
        <v>73</v>
      </c>
      <c r="Q63" s="275"/>
      <c r="R63" s="275"/>
      <c r="S63" s="275"/>
      <c r="T63" s="275"/>
      <c r="U63" s="275"/>
      <c r="V63" s="276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8"/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81"/>
      <c r="P64" s="274" t="s">
        <v>73</v>
      </c>
      <c r="Q64" s="275"/>
      <c r="R64" s="275"/>
      <c r="S64" s="275"/>
      <c r="T64" s="275"/>
      <c r="U64" s="275"/>
      <c r="V64" s="276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7" t="s">
        <v>125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82">
        <v>4607111039729</v>
      </c>
      <c r="E67" s="28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82">
        <v>4620207490228</v>
      </c>
      <c r="E68" s="28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0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81"/>
      <c r="P69" s="274" t="s">
        <v>73</v>
      </c>
      <c r="Q69" s="275"/>
      <c r="R69" s="275"/>
      <c r="S69" s="275"/>
      <c r="T69" s="275"/>
      <c r="U69" s="275"/>
      <c r="V69" s="276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8"/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81"/>
      <c r="P70" s="274" t="s">
        <v>73</v>
      </c>
      <c r="Q70" s="275"/>
      <c r="R70" s="275"/>
      <c r="S70" s="275"/>
      <c r="T70" s="275"/>
      <c r="U70" s="275"/>
      <c r="V70" s="276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79" t="s">
        <v>135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63"/>
      <c r="AB71" s="263"/>
      <c r="AC71" s="263"/>
    </row>
    <row r="72" spans="1:68" ht="14.25" hidden="1" customHeight="1" x14ac:dyDescent="0.25">
      <c r="A72" s="277" t="s">
        <v>64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64"/>
      <c r="AB72" s="264"/>
      <c r="AC72" s="26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2">
        <v>4607111037411</v>
      </c>
      <c r="E73" s="28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2">
        <v>4607111036728</v>
      </c>
      <c r="E74" s="28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68">
        <v>36</v>
      </c>
      <c r="Y74" s="269">
        <f>IFERROR(IF(X74="","",X74),"")</f>
        <v>36</v>
      </c>
      <c r="Z74" s="36">
        <f>IFERROR(IF(X74="","",X74*0.00866),"")</f>
        <v>0.31175999999999998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187.67519999999999</v>
      </c>
      <c r="BN74" s="67">
        <f>IFERROR(Y74*I74,"0")</f>
        <v>187.67519999999999</v>
      </c>
      <c r="BO74" s="67">
        <f>IFERROR(X74/J74,"0")</f>
        <v>0.25</v>
      </c>
      <c r="BP74" s="67">
        <f>IFERROR(Y74/J74,"0")</f>
        <v>0.25</v>
      </c>
    </row>
    <row r="75" spans="1:68" x14ac:dyDescent="0.2">
      <c r="A75" s="280"/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81"/>
      <c r="P75" s="274" t="s">
        <v>73</v>
      </c>
      <c r="Q75" s="275"/>
      <c r="R75" s="275"/>
      <c r="S75" s="275"/>
      <c r="T75" s="275"/>
      <c r="U75" s="275"/>
      <c r="V75" s="276"/>
      <c r="W75" s="37" t="s">
        <v>70</v>
      </c>
      <c r="X75" s="270">
        <f>IFERROR(SUM(X73:X74),"0")</f>
        <v>36</v>
      </c>
      <c r="Y75" s="270">
        <f>IFERROR(SUM(Y73:Y74),"0")</f>
        <v>36</v>
      </c>
      <c r="Z75" s="270">
        <f>IFERROR(IF(Z73="",0,Z73),"0")+IFERROR(IF(Z74="",0,Z74),"0")</f>
        <v>0.31175999999999998</v>
      </c>
      <c r="AA75" s="271"/>
      <c r="AB75" s="271"/>
      <c r="AC75" s="271"/>
    </row>
    <row r="76" spans="1:68" x14ac:dyDescent="0.2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81"/>
      <c r="P76" s="274" t="s">
        <v>73</v>
      </c>
      <c r="Q76" s="275"/>
      <c r="R76" s="275"/>
      <c r="S76" s="275"/>
      <c r="T76" s="275"/>
      <c r="U76" s="275"/>
      <c r="V76" s="276"/>
      <c r="W76" s="37" t="s">
        <v>74</v>
      </c>
      <c r="X76" s="270">
        <f>IFERROR(SUMPRODUCT(X73:X74*H73:H74),"0")</f>
        <v>180</v>
      </c>
      <c r="Y76" s="270">
        <f>IFERROR(SUMPRODUCT(Y73:Y74*H73:H74),"0")</f>
        <v>180</v>
      </c>
      <c r="Z76" s="37"/>
      <c r="AA76" s="271"/>
      <c r="AB76" s="271"/>
      <c r="AC76" s="271"/>
    </row>
    <row r="77" spans="1:68" ht="16.5" hidden="1" customHeight="1" x14ac:dyDescent="0.25">
      <c r="A77" s="279" t="s">
        <v>142</v>
      </c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63"/>
      <c r="AB77" s="263"/>
      <c r="AC77" s="263"/>
    </row>
    <row r="78" spans="1:68" ht="14.25" hidden="1" customHeight="1" x14ac:dyDescent="0.25">
      <c r="A78" s="277" t="s">
        <v>125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4"/>
      <c r="AB78" s="264"/>
      <c r="AC78" s="26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2">
        <v>4607111033659</v>
      </c>
      <c r="E79" s="28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81"/>
      <c r="P80" s="274" t="s">
        <v>73</v>
      </c>
      <c r="Q80" s="275"/>
      <c r="R80" s="275"/>
      <c r="S80" s="275"/>
      <c r="T80" s="275"/>
      <c r="U80" s="275"/>
      <c r="V80" s="276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81"/>
      <c r="P81" s="274" t="s">
        <v>73</v>
      </c>
      <c r="Q81" s="275"/>
      <c r="R81" s="275"/>
      <c r="S81" s="275"/>
      <c r="T81" s="275"/>
      <c r="U81" s="275"/>
      <c r="V81" s="276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hidden="1" customHeight="1" x14ac:dyDescent="0.25">
      <c r="A82" s="279" t="s">
        <v>146</v>
      </c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63"/>
      <c r="AB82" s="263"/>
      <c r="AC82" s="263"/>
    </row>
    <row r="83" spans="1:68" ht="14.25" hidden="1" customHeight="1" x14ac:dyDescent="0.25">
      <c r="A83" s="277" t="s">
        <v>147</v>
      </c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64"/>
      <c r="AB83" s="264"/>
      <c r="AC83" s="26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2">
        <v>4607111034120</v>
      </c>
      <c r="E84" s="28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68">
        <v>56</v>
      </c>
      <c r="Y84" s="269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2">
        <v>4607111034137</v>
      </c>
      <c r="E85" s="28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68">
        <v>42</v>
      </c>
      <c r="Y85" s="26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80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81"/>
      <c r="P86" s="274" t="s">
        <v>73</v>
      </c>
      <c r="Q86" s="275"/>
      <c r="R86" s="275"/>
      <c r="S86" s="275"/>
      <c r="T86" s="275"/>
      <c r="U86" s="275"/>
      <c r="V86" s="276"/>
      <c r="W86" s="37" t="s">
        <v>70</v>
      </c>
      <c r="X86" s="270">
        <f>IFERROR(SUM(X84:X85),"0")</f>
        <v>98</v>
      </c>
      <c r="Y86" s="270">
        <f>IFERROR(SUM(Y84:Y85),"0")</f>
        <v>98</v>
      </c>
      <c r="Z86" s="270">
        <f>IFERROR(IF(Z84="",0,Z84),"0")+IFERROR(IF(Z85="",0,Z85),"0")</f>
        <v>1.75224</v>
      </c>
      <c r="AA86" s="271"/>
      <c r="AB86" s="271"/>
      <c r="AC86" s="271"/>
    </row>
    <row r="87" spans="1:68" x14ac:dyDescent="0.2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81"/>
      <c r="P87" s="274" t="s">
        <v>73</v>
      </c>
      <c r="Q87" s="275"/>
      <c r="R87" s="275"/>
      <c r="S87" s="275"/>
      <c r="T87" s="275"/>
      <c r="U87" s="275"/>
      <c r="V87" s="276"/>
      <c r="W87" s="37" t="s">
        <v>74</v>
      </c>
      <c r="X87" s="270">
        <f>IFERROR(SUMPRODUCT(X84:X85*H84:H85),"0")</f>
        <v>352.8</v>
      </c>
      <c r="Y87" s="270">
        <f>IFERROR(SUMPRODUCT(Y84:Y85*H84:H85),"0")</f>
        <v>352.8</v>
      </c>
      <c r="Z87" s="37"/>
      <c r="AA87" s="271"/>
      <c r="AB87" s="271"/>
      <c r="AC87" s="271"/>
    </row>
    <row r="88" spans="1:68" ht="16.5" hidden="1" customHeight="1" x14ac:dyDescent="0.25">
      <c r="A88" s="279" t="s">
        <v>154</v>
      </c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63"/>
      <c r="AB88" s="263"/>
      <c r="AC88" s="263"/>
    </row>
    <row r="89" spans="1:68" ht="14.25" hidden="1" customHeight="1" x14ac:dyDescent="0.25">
      <c r="A89" s="277" t="s">
        <v>125</v>
      </c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64"/>
      <c r="AB89" s="264"/>
      <c r="AC89" s="26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2">
        <v>4620207491027</v>
      </c>
      <c r="E90" s="28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68">
        <v>14</v>
      </c>
      <c r="Y90" s="26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2">
        <v>4620207491003</v>
      </c>
      <c r="E91" s="28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68">
        <v>112</v>
      </c>
      <c r="Y91" s="269">
        <f t="shared" si="0"/>
        <v>112</v>
      </c>
      <c r="Z91" s="36">
        <f t="shared" si="1"/>
        <v>2.0025599999999999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401.36320000000001</v>
      </c>
      <c r="BN91" s="67">
        <f t="shared" si="3"/>
        <v>401.36320000000001</v>
      </c>
      <c r="BO91" s="67">
        <f t="shared" si="4"/>
        <v>1.6</v>
      </c>
      <c r="BP91" s="67">
        <f t="shared" si="5"/>
        <v>1.6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2">
        <v>4620207491034</v>
      </c>
      <c r="E92" s="28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2">
        <v>4620207491010</v>
      </c>
      <c r="E93" s="28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68">
        <v>56</v>
      </c>
      <c r="Y93" s="269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2">
        <v>4607111035028</v>
      </c>
      <c r="E94" s="28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68">
        <v>28</v>
      </c>
      <c r="Y94" s="269">
        <f t="shared" si="0"/>
        <v>28</v>
      </c>
      <c r="Z94" s="36">
        <f t="shared" si="1"/>
        <v>0.50063999999999997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124.56640000000002</v>
      </c>
      <c r="BN94" s="67">
        <f t="shared" si="3"/>
        <v>124.56640000000002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2">
        <v>4607111036407</v>
      </c>
      <c r="E95" s="28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68">
        <v>14</v>
      </c>
      <c r="Y95" s="269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81"/>
      <c r="P96" s="274" t="s">
        <v>73</v>
      </c>
      <c r="Q96" s="275"/>
      <c r="R96" s="275"/>
      <c r="S96" s="275"/>
      <c r="T96" s="275"/>
      <c r="U96" s="275"/>
      <c r="V96" s="276"/>
      <c r="W96" s="37" t="s">
        <v>70</v>
      </c>
      <c r="X96" s="270">
        <f>IFERROR(SUM(X90:X95),"0")</f>
        <v>252</v>
      </c>
      <c r="Y96" s="270">
        <f>IFERROR(SUM(Y90:Y95),"0")</f>
        <v>252</v>
      </c>
      <c r="Z96" s="270">
        <f>IFERROR(IF(Z90="",0,Z90),"0")+IFERROR(IF(Z91="",0,Z91),"0")+IFERROR(IF(Z92="",0,Z92),"0")+IFERROR(IF(Z93="",0,Z93),"0")+IFERROR(IF(Z94="",0,Z94),"0")+IFERROR(IF(Z95="",0,Z95),"0")</f>
        <v>4.5057600000000004</v>
      </c>
      <c r="AA96" s="271"/>
      <c r="AB96" s="271"/>
      <c r="AC96" s="271"/>
    </row>
    <row r="97" spans="1:68" x14ac:dyDescent="0.2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81"/>
      <c r="P97" s="274" t="s">
        <v>73</v>
      </c>
      <c r="Q97" s="275"/>
      <c r="R97" s="275"/>
      <c r="S97" s="275"/>
      <c r="T97" s="275"/>
      <c r="U97" s="275"/>
      <c r="V97" s="276"/>
      <c r="W97" s="37" t="s">
        <v>74</v>
      </c>
      <c r="X97" s="270">
        <f>IFERROR(SUMPRODUCT(X90:X95*H90:H95),"0")</f>
        <v>771.11999999999989</v>
      </c>
      <c r="Y97" s="270">
        <f>IFERROR(SUMPRODUCT(Y90:Y95*H90:H95),"0")</f>
        <v>771.11999999999989</v>
      </c>
      <c r="Z97" s="37"/>
      <c r="AA97" s="271"/>
      <c r="AB97" s="271"/>
      <c r="AC97" s="271"/>
    </row>
    <row r="98" spans="1:68" ht="16.5" hidden="1" customHeight="1" x14ac:dyDescent="0.25">
      <c r="A98" s="279" t="s">
        <v>169</v>
      </c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63"/>
      <c r="AB98" s="263"/>
      <c r="AC98" s="263"/>
    </row>
    <row r="99" spans="1:68" ht="14.25" hidden="1" customHeight="1" x14ac:dyDescent="0.25">
      <c r="A99" s="277" t="s">
        <v>119</v>
      </c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64"/>
      <c r="AB99" s="264"/>
      <c r="AC99" s="264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2">
        <v>4607025784012</v>
      </c>
      <c r="E100" s="28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2">
        <v>4607025784319</v>
      </c>
      <c r="E101" s="28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68">
        <v>56</v>
      </c>
      <c r="Y101" s="269">
        <f>IFERROR(IF(X101="","",X101),"")</f>
        <v>56</v>
      </c>
      <c r="Z101" s="36">
        <f>IFERROR(IF(X101="","",X101*0.01788),"")</f>
        <v>1.0012799999999999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237.66399999999999</v>
      </c>
      <c r="BN101" s="67">
        <f>IFERROR(Y101*I101,"0")</f>
        <v>237.66399999999999</v>
      </c>
      <c r="BO101" s="67">
        <f>IFERROR(X101/J101,"0")</f>
        <v>0.8</v>
      </c>
      <c r="BP101" s="67">
        <f>IFERROR(Y101/J101,"0")</f>
        <v>0.8</v>
      </c>
    </row>
    <row r="102" spans="1:68" x14ac:dyDescent="0.2">
      <c r="A102" s="280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81"/>
      <c r="P102" s="274" t="s">
        <v>73</v>
      </c>
      <c r="Q102" s="275"/>
      <c r="R102" s="275"/>
      <c r="S102" s="275"/>
      <c r="T102" s="275"/>
      <c r="U102" s="275"/>
      <c r="V102" s="276"/>
      <c r="W102" s="37" t="s">
        <v>70</v>
      </c>
      <c r="X102" s="270">
        <f>IFERROR(SUM(X100:X101),"0")</f>
        <v>56</v>
      </c>
      <c r="Y102" s="270">
        <f>IFERROR(SUM(Y100:Y101),"0")</f>
        <v>56</v>
      </c>
      <c r="Z102" s="270">
        <f>IFERROR(IF(Z100="",0,Z100),"0")+IFERROR(IF(Z101="",0,Z101),"0")</f>
        <v>1.0012799999999999</v>
      </c>
      <c r="AA102" s="271"/>
      <c r="AB102" s="271"/>
      <c r="AC102" s="271"/>
    </row>
    <row r="103" spans="1:68" x14ac:dyDescent="0.2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81"/>
      <c r="P103" s="274" t="s">
        <v>73</v>
      </c>
      <c r="Q103" s="275"/>
      <c r="R103" s="275"/>
      <c r="S103" s="275"/>
      <c r="T103" s="275"/>
      <c r="U103" s="275"/>
      <c r="V103" s="276"/>
      <c r="W103" s="37" t="s">
        <v>74</v>
      </c>
      <c r="X103" s="270">
        <f>IFERROR(SUMPRODUCT(X100:X101*H100:H101),"0")</f>
        <v>201.6</v>
      </c>
      <c r="Y103" s="270">
        <f>IFERROR(SUMPRODUCT(Y100:Y101*H100:H101),"0")</f>
        <v>201.6</v>
      </c>
      <c r="Z103" s="37"/>
      <c r="AA103" s="271"/>
      <c r="AB103" s="271"/>
      <c r="AC103" s="271"/>
    </row>
    <row r="104" spans="1:68" ht="16.5" hidden="1" customHeight="1" x14ac:dyDescent="0.25">
      <c r="A104" s="279" t="s">
        <v>175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63"/>
      <c r="AB104" s="263"/>
      <c r="AC104" s="263"/>
    </row>
    <row r="105" spans="1:68" ht="14.25" hidden="1" customHeight="1" x14ac:dyDescent="0.25">
      <c r="A105" s="277" t="s">
        <v>64</v>
      </c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64"/>
      <c r="AB105" s="264"/>
      <c r="AC105" s="26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2">
        <v>4620207491157</v>
      </c>
      <c r="E106" s="28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2">
        <v>4607111039262</v>
      </c>
      <c r="E107" s="28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68">
        <v>24</v>
      </c>
      <c r="Y107" s="26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2">
        <v>4607111039248</v>
      </c>
      <c r="E108" s="28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68">
        <v>96</v>
      </c>
      <c r="Y108" s="269">
        <f>IFERROR(IF(X108="","",X108),"")</f>
        <v>96</v>
      </c>
      <c r="Z108" s="36">
        <f>IFERROR(IF(X108="","",X108*0.0155),"")</f>
        <v>1.488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700.8</v>
      </c>
      <c r="BN108" s="67">
        <f>IFERROR(Y108*I108,"0")</f>
        <v>700.8</v>
      </c>
      <c r="BO108" s="67">
        <f>IFERROR(X108/J108,"0")</f>
        <v>1.1428571428571428</v>
      </c>
      <c r="BP108" s="67">
        <f>IFERROR(Y108/J108,"0")</f>
        <v>1.1428571428571428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82">
        <v>4607111039293</v>
      </c>
      <c r="E109" s="28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2">
        <v>4607111039279</v>
      </c>
      <c r="E110" s="28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68">
        <v>108</v>
      </c>
      <c r="Y110" s="269">
        <f>IFERROR(IF(X110="","",X110),"")</f>
        <v>108</v>
      </c>
      <c r="Z110" s="36">
        <f>IFERROR(IF(X110="","",X110*0.0155),"")</f>
        <v>1.6739999999999999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788.4</v>
      </c>
      <c r="BN110" s="67">
        <f>IFERROR(Y110*I110,"0")</f>
        <v>788.4</v>
      </c>
      <c r="BO110" s="67">
        <f>IFERROR(X110/J110,"0")</f>
        <v>1.2857142857142858</v>
      </c>
      <c r="BP110" s="67">
        <f>IFERROR(Y110/J110,"0")</f>
        <v>1.2857142857142858</v>
      </c>
    </row>
    <row r="111" spans="1:68" x14ac:dyDescent="0.2">
      <c r="A111" s="280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81"/>
      <c r="P111" s="274" t="s">
        <v>73</v>
      </c>
      <c r="Q111" s="275"/>
      <c r="R111" s="275"/>
      <c r="S111" s="275"/>
      <c r="T111" s="275"/>
      <c r="U111" s="275"/>
      <c r="V111" s="276"/>
      <c r="W111" s="37" t="s">
        <v>70</v>
      </c>
      <c r="X111" s="270">
        <f>IFERROR(SUM(X106:X110),"0")</f>
        <v>240</v>
      </c>
      <c r="Y111" s="270">
        <f>IFERROR(SUM(Y106:Y110),"0")</f>
        <v>240</v>
      </c>
      <c r="Z111" s="270">
        <f>IFERROR(IF(Z106="",0,Z106),"0")+IFERROR(IF(Z107="",0,Z107),"0")+IFERROR(IF(Z108="",0,Z108),"0")+IFERROR(IF(Z109="",0,Z109),"0")+IFERROR(IF(Z110="",0,Z110),"0")</f>
        <v>3.72</v>
      </c>
      <c r="AA111" s="271"/>
      <c r="AB111" s="271"/>
      <c r="AC111" s="271"/>
    </row>
    <row r="112" spans="1:68" x14ac:dyDescent="0.2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81"/>
      <c r="P112" s="274" t="s">
        <v>73</v>
      </c>
      <c r="Q112" s="275"/>
      <c r="R112" s="275"/>
      <c r="S112" s="275"/>
      <c r="T112" s="275"/>
      <c r="U112" s="275"/>
      <c r="V112" s="276"/>
      <c r="W112" s="37" t="s">
        <v>74</v>
      </c>
      <c r="X112" s="270">
        <f>IFERROR(SUMPRODUCT(X106:X110*H106:H110),"0")</f>
        <v>1665.6</v>
      </c>
      <c r="Y112" s="270">
        <f>IFERROR(SUMPRODUCT(Y106:Y110*H106:H110),"0")</f>
        <v>1665.6</v>
      </c>
      <c r="Z112" s="37"/>
      <c r="AA112" s="271"/>
      <c r="AB112" s="271"/>
      <c r="AC112" s="271"/>
    </row>
    <row r="113" spans="1:68" ht="14.25" hidden="1" customHeight="1" x14ac:dyDescent="0.25">
      <c r="A113" s="277" t="s">
        <v>125</v>
      </c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64"/>
      <c r="AB113" s="264"/>
      <c r="AC113" s="264"/>
    </row>
    <row r="114" spans="1:68" ht="27" customHeight="1" x14ac:dyDescent="0.25">
      <c r="A114" s="54" t="s">
        <v>187</v>
      </c>
      <c r="B114" s="54" t="s">
        <v>188</v>
      </c>
      <c r="C114" s="31">
        <v>4301135826</v>
      </c>
      <c r="D114" s="282">
        <v>4620207490983</v>
      </c>
      <c r="E114" s="28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5" t="s">
        <v>189</v>
      </c>
      <c r="Q114" s="290"/>
      <c r="R114" s="290"/>
      <c r="S114" s="290"/>
      <c r="T114" s="291"/>
      <c r="U114" s="34"/>
      <c r="V114" s="34"/>
      <c r="W114" s="35" t="s">
        <v>70</v>
      </c>
      <c r="X114" s="268">
        <v>14</v>
      </c>
      <c r="Y114" s="26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190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80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81"/>
      <c r="P115" s="274" t="s">
        <v>73</v>
      </c>
      <c r="Q115" s="275"/>
      <c r="R115" s="275"/>
      <c r="S115" s="275"/>
      <c r="T115" s="275"/>
      <c r="U115" s="275"/>
      <c r="V115" s="276"/>
      <c r="W115" s="37" t="s">
        <v>70</v>
      </c>
      <c r="X115" s="270">
        <f>IFERROR(SUM(X114:X114),"0")</f>
        <v>14</v>
      </c>
      <c r="Y115" s="270">
        <f>IFERROR(SUM(Y114:Y114),"0")</f>
        <v>14</v>
      </c>
      <c r="Z115" s="270">
        <f>IFERROR(IF(Z114="",0,Z114),"0")</f>
        <v>0.25031999999999999</v>
      </c>
      <c r="AA115" s="271"/>
      <c r="AB115" s="271"/>
      <c r="AC115" s="271"/>
    </row>
    <row r="116" spans="1:68" x14ac:dyDescent="0.2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81"/>
      <c r="P116" s="274" t="s">
        <v>73</v>
      </c>
      <c r="Q116" s="275"/>
      <c r="R116" s="275"/>
      <c r="S116" s="275"/>
      <c r="T116" s="275"/>
      <c r="U116" s="275"/>
      <c r="V116" s="276"/>
      <c r="W116" s="37" t="s">
        <v>74</v>
      </c>
      <c r="X116" s="270">
        <f>IFERROR(SUMPRODUCT(X114:X114*H114:H114),"0")</f>
        <v>36.96</v>
      </c>
      <c r="Y116" s="270">
        <f>IFERROR(SUMPRODUCT(Y114:Y114*H114:H114),"0")</f>
        <v>36.96</v>
      </c>
      <c r="Z116" s="37"/>
      <c r="AA116" s="271"/>
      <c r="AB116" s="271"/>
      <c r="AC116" s="271"/>
    </row>
    <row r="117" spans="1:68" ht="14.25" hidden="1" customHeight="1" x14ac:dyDescent="0.25">
      <c r="A117" s="277" t="s">
        <v>191</v>
      </c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64"/>
      <c r="AB117" s="264"/>
      <c r="AC117" s="264"/>
    </row>
    <row r="118" spans="1:68" ht="27" hidden="1" customHeight="1" x14ac:dyDescent="0.25">
      <c r="A118" s="54" t="s">
        <v>192</v>
      </c>
      <c r="B118" s="54" t="s">
        <v>193</v>
      </c>
      <c r="C118" s="31">
        <v>4301071094</v>
      </c>
      <c r="D118" s="282">
        <v>4620207491140</v>
      </c>
      <c r="E118" s="28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1" t="s">
        <v>194</v>
      </c>
      <c r="Q118" s="290"/>
      <c r="R118" s="290"/>
      <c r="S118" s="290"/>
      <c r="T118" s="291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195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0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81"/>
      <c r="P119" s="274" t="s">
        <v>73</v>
      </c>
      <c r="Q119" s="275"/>
      <c r="R119" s="275"/>
      <c r="S119" s="275"/>
      <c r="T119" s="275"/>
      <c r="U119" s="275"/>
      <c r="V119" s="276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81"/>
      <c r="P120" s="274" t="s">
        <v>73</v>
      </c>
      <c r="Q120" s="275"/>
      <c r="R120" s="275"/>
      <c r="S120" s="275"/>
      <c r="T120" s="275"/>
      <c r="U120" s="275"/>
      <c r="V120" s="276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79" t="s">
        <v>196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3"/>
      <c r="AB121" s="263"/>
      <c r="AC121" s="263"/>
    </row>
    <row r="122" spans="1:68" ht="14.25" hidden="1" customHeight="1" x14ac:dyDescent="0.25">
      <c r="A122" s="277" t="s">
        <v>125</v>
      </c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64"/>
      <c r="AB122" s="264"/>
      <c r="AC122" s="264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82">
        <v>4607111034014</v>
      </c>
      <c r="E123" s="28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0"/>
      <c r="R123" s="290"/>
      <c r="S123" s="290"/>
      <c r="T123" s="291"/>
      <c r="U123" s="34"/>
      <c r="V123" s="34"/>
      <c r="W123" s="35" t="s">
        <v>70</v>
      </c>
      <c r="X123" s="268">
        <v>182</v>
      </c>
      <c r="Y123" s="269">
        <f>IFERROR(IF(X123="","",X123),"")</f>
        <v>182</v>
      </c>
      <c r="Z123" s="36">
        <f>IFERROR(IF(X123="","",X123*0.01788),"")</f>
        <v>3.2541600000000002</v>
      </c>
      <c r="AA123" s="56"/>
      <c r="AB123" s="57"/>
      <c r="AC123" s="148" t="s">
        <v>199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674.05520000000001</v>
      </c>
      <c r="BN123" s="67">
        <f>IFERROR(Y123*I123,"0")</f>
        <v>674.05520000000001</v>
      </c>
      <c r="BO123" s="67">
        <f>IFERROR(X123/J123,"0")</f>
        <v>2.6</v>
      </c>
      <c r="BP123" s="67">
        <f>IFERROR(Y123/J123,"0")</f>
        <v>2.6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82">
        <v>4607111033994</v>
      </c>
      <c r="E124" s="28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68">
        <v>112</v>
      </c>
      <c r="Y124" s="269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x14ac:dyDescent="0.2">
      <c r="A125" s="280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81"/>
      <c r="P125" s="274" t="s">
        <v>73</v>
      </c>
      <c r="Q125" s="275"/>
      <c r="R125" s="275"/>
      <c r="S125" s="275"/>
      <c r="T125" s="275"/>
      <c r="U125" s="275"/>
      <c r="V125" s="276"/>
      <c r="W125" s="37" t="s">
        <v>70</v>
      </c>
      <c r="X125" s="270">
        <f>IFERROR(SUM(X123:X124),"0")</f>
        <v>294</v>
      </c>
      <c r="Y125" s="270">
        <f>IFERROR(SUM(Y123:Y124),"0")</f>
        <v>294</v>
      </c>
      <c r="Z125" s="270">
        <f>IFERROR(IF(Z123="",0,Z123),"0")+IFERROR(IF(Z124="",0,Z124),"0")</f>
        <v>5.2567199999999996</v>
      </c>
      <c r="AA125" s="271"/>
      <c r="AB125" s="271"/>
      <c r="AC125" s="271"/>
    </row>
    <row r="126" spans="1:68" x14ac:dyDescent="0.2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81"/>
      <c r="P126" s="274" t="s">
        <v>73</v>
      </c>
      <c r="Q126" s="275"/>
      <c r="R126" s="275"/>
      <c r="S126" s="275"/>
      <c r="T126" s="275"/>
      <c r="U126" s="275"/>
      <c r="V126" s="276"/>
      <c r="W126" s="37" t="s">
        <v>74</v>
      </c>
      <c r="X126" s="270">
        <f>IFERROR(SUMPRODUCT(X123:X124*H123:H124),"0")</f>
        <v>882</v>
      </c>
      <c r="Y126" s="270">
        <f>IFERROR(SUMPRODUCT(Y123:Y124*H123:H124),"0")</f>
        <v>882</v>
      </c>
      <c r="Z126" s="37"/>
      <c r="AA126" s="271"/>
      <c r="AB126" s="271"/>
      <c r="AC126" s="271"/>
    </row>
    <row r="127" spans="1:68" ht="16.5" hidden="1" customHeight="1" x14ac:dyDescent="0.25">
      <c r="A127" s="279" t="s">
        <v>202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3"/>
      <c r="AB127" s="263"/>
      <c r="AC127" s="263"/>
    </row>
    <row r="128" spans="1:68" ht="14.25" hidden="1" customHeight="1" x14ac:dyDescent="0.25">
      <c r="A128" s="277" t="s">
        <v>125</v>
      </c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82">
        <v>4607111039095</v>
      </c>
      <c r="E129" s="28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0"/>
      <c r="R129" s="290"/>
      <c r="S129" s="290"/>
      <c r="T129" s="291"/>
      <c r="U129" s="34"/>
      <c r="V129" s="34"/>
      <c r="W129" s="35" t="s">
        <v>70</v>
      </c>
      <c r="X129" s="268">
        <v>42</v>
      </c>
      <c r="Y129" s="269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82">
        <v>4607111034199</v>
      </c>
      <c r="E130" s="28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68">
        <v>98</v>
      </c>
      <c r="Y130" s="269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280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81"/>
      <c r="P131" s="274" t="s">
        <v>73</v>
      </c>
      <c r="Q131" s="275"/>
      <c r="R131" s="275"/>
      <c r="S131" s="275"/>
      <c r="T131" s="275"/>
      <c r="U131" s="275"/>
      <c r="V131" s="276"/>
      <c r="W131" s="37" t="s">
        <v>70</v>
      </c>
      <c r="X131" s="270">
        <f>IFERROR(SUM(X129:X130),"0")</f>
        <v>140</v>
      </c>
      <c r="Y131" s="270">
        <f>IFERROR(SUM(Y129:Y130),"0")</f>
        <v>140</v>
      </c>
      <c r="Z131" s="270">
        <f>IFERROR(IF(Z129="",0,Z129),"0")+IFERROR(IF(Z130="",0,Z130),"0")</f>
        <v>2.5032000000000001</v>
      </c>
      <c r="AA131" s="271"/>
      <c r="AB131" s="271"/>
      <c r="AC131" s="271"/>
    </row>
    <row r="132" spans="1:68" x14ac:dyDescent="0.2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81"/>
      <c r="P132" s="274" t="s">
        <v>73</v>
      </c>
      <c r="Q132" s="275"/>
      <c r="R132" s="275"/>
      <c r="S132" s="275"/>
      <c r="T132" s="275"/>
      <c r="U132" s="275"/>
      <c r="V132" s="276"/>
      <c r="W132" s="37" t="s">
        <v>74</v>
      </c>
      <c r="X132" s="270">
        <f>IFERROR(SUMPRODUCT(X129:X130*H129:H130),"0")</f>
        <v>420</v>
      </c>
      <c r="Y132" s="270">
        <f>IFERROR(SUMPRODUCT(Y129:Y130*H129:H130),"0")</f>
        <v>420</v>
      </c>
      <c r="Z132" s="37"/>
      <c r="AA132" s="271"/>
      <c r="AB132" s="271"/>
      <c r="AC132" s="271"/>
    </row>
    <row r="133" spans="1:68" ht="16.5" hidden="1" customHeight="1" x14ac:dyDescent="0.25">
      <c r="A133" s="279" t="s">
        <v>209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3"/>
      <c r="AB133" s="263"/>
      <c r="AC133" s="263"/>
    </row>
    <row r="134" spans="1:68" ht="14.25" hidden="1" customHeight="1" x14ac:dyDescent="0.25">
      <c r="A134" s="277" t="s">
        <v>125</v>
      </c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82">
        <v>4620207490914</v>
      </c>
      <c r="E135" s="28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0"/>
      <c r="R135" s="290"/>
      <c r="S135" s="290"/>
      <c r="T135" s="291"/>
      <c r="U135" s="34"/>
      <c r="V135" s="34"/>
      <c r="W135" s="35" t="s">
        <v>70</v>
      </c>
      <c r="X135" s="268">
        <v>28</v>
      </c>
      <c r="Y135" s="26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199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82">
        <v>4620207490853</v>
      </c>
      <c r="E136" s="28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0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81"/>
      <c r="P137" s="274" t="s">
        <v>73</v>
      </c>
      <c r="Q137" s="275"/>
      <c r="R137" s="275"/>
      <c r="S137" s="275"/>
      <c r="T137" s="275"/>
      <c r="U137" s="275"/>
      <c r="V137" s="276"/>
      <c r="W137" s="37" t="s">
        <v>70</v>
      </c>
      <c r="X137" s="270">
        <f>IFERROR(SUM(X135:X136),"0")</f>
        <v>28</v>
      </c>
      <c r="Y137" s="270">
        <f>IFERROR(SUM(Y135:Y136),"0")</f>
        <v>28</v>
      </c>
      <c r="Z137" s="270">
        <f>IFERROR(IF(Z135="",0,Z135),"0")+IFERROR(IF(Z136="",0,Z136),"0")</f>
        <v>0.50063999999999997</v>
      </c>
      <c r="AA137" s="271"/>
      <c r="AB137" s="271"/>
      <c r="AC137" s="271"/>
    </row>
    <row r="138" spans="1:68" x14ac:dyDescent="0.2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81"/>
      <c r="P138" s="274" t="s">
        <v>73</v>
      </c>
      <c r="Q138" s="275"/>
      <c r="R138" s="275"/>
      <c r="S138" s="275"/>
      <c r="T138" s="275"/>
      <c r="U138" s="275"/>
      <c r="V138" s="276"/>
      <c r="W138" s="37" t="s">
        <v>74</v>
      </c>
      <c r="X138" s="270">
        <f>IFERROR(SUMPRODUCT(X135:X136*H135:H136),"0")</f>
        <v>67.2</v>
      </c>
      <c r="Y138" s="270">
        <f>IFERROR(SUMPRODUCT(Y135:Y136*H135:H136),"0")</f>
        <v>67.2</v>
      </c>
      <c r="Z138" s="37"/>
      <c r="AA138" s="271"/>
      <c r="AB138" s="271"/>
      <c r="AC138" s="271"/>
    </row>
    <row r="139" spans="1:68" ht="16.5" hidden="1" customHeight="1" x14ac:dyDescent="0.25">
      <c r="A139" s="279" t="s">
        <v>214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3"/>
      <c r="AB139" s="263"/>
      <c r="AC139" s="263"/>
    </row>
    <row r="140" spans="1:68" ht="14.25" hidden="1" customHeight="1" x14ac:dyDescent="0.25">
      <c r="A140" s="277" t="s">
        <v>125</v>
      </c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82">
        <v>4607111035806</v>
      </c>
      <c r="E141" s="28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0"/>
      <c r="R141" s="290"/>
      <c r="S141" s="290"/>
      <c r="T141" s="291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0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81"/>
      <c r="P142" s="274" t="s">
        <v>73</v>
      </c>
      <c r="Q142" s="275"/>
      <c r="R142" s="275"/>
      <c r="S142" s="275"/>
      <c r="T142" s="275"/>
      <c r="U142" s="275"/>
      <c r="V142" s="276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81"/>
      <c r="P143" s="274" t="s">
        <v>73</v>
      </c>
      <c r="Q143" s="275"/>
      <c r="R143" s="275"/>
      <c r="S143" s="275"/>
      <c r="T143" s="275"/>
      <c r="U143" s="275"/>
      <c r="V143" s="276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79" t="s">
        <v>218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3"/>
      <c r="AB144" s="263"/>
      <c r="AC144" s="263"/>
    </row>
    <row r="145" spans="1:68" ht="14.25" hidden="1" customHeight="1" x14ac:dyDescent="0.25">
      <c r="A145" s="277" t="s">
        <v>125</v>
      </c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82">
        <v>4607111039613</v>
      </c>
      <c r="E146" s="28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0"/>
      <c r="R146" s="290"/>
      <c r="S146" s="290"/>
      <c r="T146" s="291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0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81"/>
      <c r="P147" s="274" t="s">
        <v>73</v>
      </c>
      <c r="Q147" s="275"/>
      <c r="R147" s="275"/>
      <c r="S147" s="275"/>
      <c r="T147" s="275"/>
      <c r="U147" s="275"/>
      <c r="V147" s="276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81"/>
      <c r="P148" s="274" t="s">
        <v>73</v>
      </c>
      <c r="Q148" s="275"/>
      <c r="R148" s="275"/>
      <c r="S148" s="275"/>
      <c r="T148" s="275"/>
      <c r="U148" s="275"/>
      <c r="V148" s="276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79" t="s">
        <v>221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3"/>
      <c r="AB149" s="263"/>
      <c r="AC149" s="263"/>
    </row>
    <row r="150" spans="1:68" ht="14.25" hidden="1" customHeight="1" x14ac:dyDescent="0.25">
      <c r="A150" s="277" t="s">
        <v>191</v>
      </c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82">
        <v>4607111035646</v>
      </c>
      <c r="E151" s="28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0"/>
      <c r="R151" s="290"/>
      <c r="S151" s="290"/>
      <c r="T151" s="291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0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81"/>
      <c r="P152" s="274" t="s">
        <v>73</v>
      </c>
      <c r="Q152" s="275"/>
      <c r="R152" s="275"/>
      <c r="S152" s="275"/>
      <c r="T152" s="275"/>
      <c r="U152" s="275"/>
      <c r="V152" s="276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81"/>
      <c r="P153" s="274" t="s">
        <v>73</v>
      </c>
      <c r="Q153" s="275"/>
      <c r="R153" s="275"/>
      <c r="S153" s="275"/>
      <c r="T153" s="275"/>
      <c r="U153" s="275"/>
      <c r="V153" s="276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79" t="s">
        <v>226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3"/>
      <c r="AB154" s="263"/>
      <c r="AC154" s="263"/>
    </row>
    <row r="155" spans="1:68" ht="14.25" hidden="1" customHeight="1" x14ac:dyDescent="0.25">
      <c r="A155" s="277" t="s">
        <v>125</v>
      </c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  <c r="AA155" s="264"/>
      <c r="AB155" s="264"/>
      <c r="AC155" s="264"/>
    </row>
    <row r="156" spans="1:68" ht="27" hidden="1" customHeight="1" x14ac:dyDescent="0.25">
      <c r="A156" s="54" t="s">
        <v>227</v>
      </c>
      <c r="B156" s="54" t="s">
        <v>228</v>
      </c>
      <c r="C156" s="31">
        <v>4301135591</v>
      </c>
      <c r="D156" s="282">
        <v>4607111036568</v>
      </c>
      <c r="E156" s="28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0"/>
      <c r="R156" s="290"/>
      <c r="S156" s="290"/>
      <c r="T156" s="291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80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81"/>
      <c r="P157" s="274" t="s">
        <v>73</v>
      </c>
      <c r="Q157" s="275"/>
      <c r="R157" s="275"/>
      <c r="S157" s="275"/>
      <c r="T157" s="275"/>
      <c r="U157" s="275"/>
      <c r="V157" s="276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hidden="1" x14ac:dyDescent="0.2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81"/>
      <c r="P158" s="274" t="s">
        <v>73</v>
      </c>
      <c r="Q158" s="275"/>
      <c r="R158" s="275"/>
      <c r="S158" s="275"/>
      <c r="T158" s="275"/>
      <c r="U158" s="275"/>
      <c r="V158" s="276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hidden="1" customHeight="1" x14ac:dyDescent="0.2">
      <c r="A159" s="284" t="s">
        <v>230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48"/>
      <c r="AB159" s="48"/>
      <c r="AC159" s="48"/>
    </row>
    <row r="160" spans="1:68" ht="16.5" hidden="1" customHeight="1" x14ac:dyDescent="0.25">
      <c r="A160" s="279" t="s">
        <v>231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3"/>
      <c r="AB160" s="263"/>
      <c r="AC160" s="263"/>
    </row>
    <row r="161" spans="1:68" ht="14.25" hidden="1" customHeight="1" x14ac:dyDescent="0.25">
      <c r="A161" s="277" t="s">
        <v>64</v>
      </c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82">
        <v>4607111036384</v>
      </c>
      <c r="E162" s="28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0" t="s">
        <v>234</v>
      </c>
      <c r="Q162" s="290"/>
      <c r="R162" s="290"/>
      <c r="S162" s="290"/>
      <c r="T162" s="291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82">
        <v>4607111036216</v>
      </c>
      <c r="E163" s="28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0"/>
      <c r="R163" s="290"/>
      <c r="S163" s="290"/>
      <c r="T163" s="291"/>
      <c r="U163" s="34"/>
      <c r="V163" s="34"/>
      <c r="W163" s="35" t="s">
        <v>70</v>
      </c>
      <c r="X163" s="268">
        <v>72</v>
      </c>
      <c r="Y163" s="269">
        <f>IFERROR(IF(X163="","",X163),"")</f>
        <v>72</v>
      </c>
      <c r="Z163" s="36">
        <f>IFERROR(IF(X163="","",X163*0.00866),"")</f>
        <v>0.62351999999999996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375.35039999999998</v>
      </c>
      <c r="BN163" s="67">
        <f>IFERROR(Y163*I163,"0")</f>
        <v>375.35039999999998</v>
      </c>
      <c r="BO163" s="67">
        <f>IFERROR(X163/J163,"0")</f>
        <v>0.5</v>
      </c>
      <c r="BP163" s="67">
        <f>IFERROR(Y163/J163,"0")</f>
        <v>0.5</v>
      </c>
    </row>
    <row r="164" spans="1:68" x14ac:dyDescent="0.2">
      <c r="A164" s="280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81"/>
      <c r="P164" s="274" t="s">
        <v>73</v>
      </c>
      <c r="Q164" s="275"/>
      <c r="R164" s="275"/>
      <c r="S164" s="275"/>
      <c r="T164" s="275"/>
      <c r="U164" s="275"/>
      <c r="V164" s="276"/>
      <c r="W164" s="37" t="s">
        <v>70</v>
      </c>
      <c r="X164" s="270">
        <f>IFERROR(SUM(X162:X163),"0")</f>
        <v>72</v>
      </c>
      <c r="Y164" s="270">
        <f>IFERROR(SUM(Y162:Y163),"0")</f>
        <v>72</v>
      </c>
      <c r="Z164" s="270">
        <f>IFERROR(IF(Z162="",0,Z162),"0")+IFERROR(IF(Z163="",0,Z163),"0")</f>
        <v>0.62351999999999996</v>
      </c>
      <c r="AA164" s="271"/>
      <c r="AB164" s="271"/>
      <c r="AC164" s="271"/>
    </row>
    <row r="165" spans="1:68" x14ac:dyDescent="0.2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81"/>
      <c r="P165" s="274" t="s">
        <v>73</v>
      </c>
      <c r="Q165" s="275"/>
      <c r="R165" s="275"/>
      <c r="S165" s="275"/>
      <c r="T165" s="275"/>
      <c r="U165" s="275"/>
      <c r="V165" s="276"/>
      <c r="W165" s="37" t="s">
        <v>74</v>
      </c>
      <c r="X165" s="270">
        <f>IFERROR(SUMPRODUCT(X162:X163*H162:H163),"0")</f>
        <v>360</v>
      </c>
      <c r="Y165" s="270">
        <f>IFERROR(SUMPRODUCT(Y162:Y163*H162:H163),"0")</f>
        <v>360</v>
      </c>
      <c r="Z165" s="37"/>
      <c r="AA165" s="271"/>
      <c r="AB165" s="271"/>
      <c r="AC165" s="271"/>
    </row>
    <row r="166" spans="1:68" ht="27.75" hidden="1" customHeight="1" x14ac:dyDescent="0.2">
      <c r="A166" s="284" t="s">
        <v>239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48"/>
      <c r="AB166" s="48"/>
      <c r="AC166" s="48"/>
    </row>
    <row r="167" spans="1:68" ht="16.5" hidden="1" customHeight="1" x14ac:dyDescent="0.25">
      <c r="A167" s="279" t="s">
        <v>240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3"/>
      <c r="AB167" s="263"/>
      <c r="AC167" s="263"/>
    </row>
    <row r="168" spans="1:68" ht="14.25" hidden="1" customHeight="1" x14ac:dyDescent="0.25">
      <c r="A168" s="277" t="s">
        <v>77</v>
      </c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82">
        <v>4607111035691</v>
      </c>
      <c r="E169" s="28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0"/>
      <c r="R169" s="290"/>
      <c r="S169" s="290"/>
      <c r="T169" s="291"/>
      <c r="U169" s="34"/>
      <c r="V169" s="34"/>
      <c r="W169" s="35" t="s">
        <v>70</v>
      </c>
      <c r="X169" s="268">
        <v>42</v>
      </c>
      <c r="Y169" s="26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82">
        <v>4607111035721</v>
      </c>
      <c r="E170" s="28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68">
        <v>84</v>
      </c>
      <c r="Y170" s="26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82">
        <v>4607111038487</v>
      </c>
      <c r="E171" s="28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68">
        <v>112</v>
      </c>
      <c r="Y171" s="269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418.43200000000002</v>
      </c>
      <c r="BN171" s="67">
        <f>IFERROR(Y171*I171,"0")</f>
        <v>418.43200000000002</v>
      </c>
      <c r="BO171" s="67">
        <f>IFERROR(X171/J171,"0")</f>
        <v>1.6</v>
      </c>
      <c r="BP171" s="67">
        <f>IFERROR(Y171/J171,"0")</f>
        <v>1.6</v>
      </c>
    </row>
    <row r="172" spans="1:68" x14ac:dyDescent="0.2">
      <c r="A172" s="280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81"/>
      <c r="P172" s="274" t="s">
        <v>73</v>
      </c>
      <c r="Q172" s="275"/>
      <c r="R172" s="275"/>
      <c r="S172" s="275"/>
      <c r="T172" s="275"/>
      <c r="U172" s="275"/>
      <c r="V172" s="276"/>
      <c r="W172" s="37" t="s">
        <v>70</v>
      </c>
      <c r="X172" s="270">
        <f>IFERROR(SUM(X169:X171),"0")</f>
        <v>238</v>
      </c>
      <c r="Y172" s="270">
        <f>IFERROR(SUM(Y169:Y171),"0")</f>
        <v>238</v>
      </c>
      <c r="Z172" s="270">
        <f>IFERROR(IF(Z169="",0,Z169),"0")+IFERROR(IF(Z170="",0,Z170),"0")+IFERROR(IF(Z171="",0,Z171),"0")</f>
        <v>4.2554400000000001</v>
      </c>
      <c r="AA172" s="271"/>
      <c r="AB172" s="271"/>
      <c r="AC172" s="271"/>
    </row>
    <row r="173" spans="1:68" x14ac:dyDescent="0.2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81"/>
      <c r="P173" s="274" t="s">
        <v>73</v>
      </c>
      <c r="Q173" s="275"/>
      <c r="R173" s="275"/>
      <c r="S173" s="275"/>
      <c r="T173" s="275"/>
      <c r="U173" s="275"/>
      <c r="V173" s="276"/>
      <c r="W173" s="37" t="s">
        <v>74</v>
      </c>
      <c r="X173" s="270">
        <f>IFERROR(SUMPRODUCT(X169:X171*H169:H171),"0")</f>
        <v>714</v>
      </c>
      <c r="Y173" s="270">
        <f>IFERROR(SUMPRODUCT(Y169:Y171*H169:H171),"0")</f>
        <v>714</v>
      </c>
      <c r="Z173" s="37"/>
      <c r="AA173" s="271"/>
      <c r="AB173" s="271"/>
      <c r="AC173" s="271"/>
    </row>
    <row r="174" spans="1:68" ht="14.25" hidden="1" customHeight="1" x14ac:dyDescent="0.25">
      <c r="A174" s="277" t="s">
        <v>250</v>
      </c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82">
        <v>4680115885875</v>
      </c>
      <c r="E175" s="28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9" t="s">
        <v>255</v>
      </c>
      <c r="Q175" s="290"/>
      <c r="R175" s="290"/>
      <c r="S175" s="290"/>
      <c r="T175" s="291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0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81"/>
      <c r="P176" s="274" t="s">
        <v>73</v>
      </c>
      <c r="Q176" s="275"/>
      <c r="R176" s="275"/>
      <c r="S176" s="275"/>
      <c r="T176" s="275"/>
      <c r="U176" s="275"/>
      <c r="V176" s="276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81"/>
      <c r="P177" s="274" t="s">
        <v>73</v>
      </c>
      <c r="Q177" s="275"/>
      <c r="R177" s="275"/>
      <c r="S177" s="275"/>
      <c r="T177" s="275"/>
      <c r="U177" s="275"/>
      <c r="V177" s="276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84" t="s">
        <v>258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48"/>
      <c r="AB178" s="48"/>
      <c r="AC178" s="48"/>
    </row>
    <row r="179" spans="1:68" ht="16.5" hidden="1" customHeight="1" x14ac:dyDescent="0.25">
      <c r="A179" s="279" t="s">
        <v>259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3"/>
      <c r="AB179" s="263"/>
      <c r="AC179" s="263"/>
    </row>
    <row r="180" spans="1:68" ht="14.25" hidden="1" customHeight="1" x14ac:dyDescent="0.25">
      <c r="A180" s="277" t="s">
        <v>77</v>
      </c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82">
        <v>4620207491133</v>
      </c>
      <c r="E181" s="28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28" t="s">
        <v>262</v>
      </c>
      <c r="Q181" s="290"/>
      <c r="R181" s="290"/>
      <c r="S181" s="290"/>
      <c r="T181" s="291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81"/>
      <c r="P182" s="274" t="s">
        <v>73</v>
      </c>
      <c r="Q182" s="275"/>
      <c r="R182" s="275"/>
      <c r="S182" s="275"/>
      <c r="T182" s="275"/>
      <c r="U182" s="275"/>
      <c r="V182" s="276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81"/>
      <c r="P183" s="274" t="s">
        <v>73</v>
      </c>
      <c r="Q183" s="275"/>
      <c r="R183" s="275"/>
      <c r="S183" s="275"/>
      <c r="T183" s="275"/>
      <c r="U183" s="275"/>
      <c r="V183" s="276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hidden="1" customHeight="1" x14ac:dyDescent="0.25">
      <c r="A184" s="277" t="s">
        <v>125</v>
      </c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82">
        <v>4620207490198</v>
      </c>
      <c r="E185" s="28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0"/>
      <c r="R185" s="290"/>
      <c r="S185" s="290"/>
      <c r="T185" s="291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82">
        <v>4620207490235</v>
      </c>
      <c r="E186" s="28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82">
        <v>4620207490259</v>
      </c>
      <c r="E187" s="28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82">
        <v>4620207490143</v>
      </c>
      <c r="E188" s="28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5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0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81"/>
      <c r="P189" s="274" t="s">
        <v>73</v>
      </c>
      <c r="Q189" s="275"/>
      <c r="R189" s="275"/>
      <c r="S189" s="275"/>
      <c r="T189" s="275"/>
      <c r="U189" s="275"/>
      <c r="V189" s="276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81"/>
      <c r="P190" s="274" t="s">
        <v>73</v>
      </c>
      <c r="Q190" s="275"/>
      <c r="R190" s="275"/>
      <c r="S190" s="275"/>
      <c r="T190" s="275"/>
      <c r="U190" s="275"/>
      <c r="V190" s="276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79" t="s">
        <v>275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3"/>
      <c r="AB191" s="263"/>
      <c r="AC191" s="263"/>
    </row>
    <row r="192" spans="1:68" ht="14.25" hidden="1" customHeight="1" x14ac:dyDescent="0.25">
      <c r="A192" s="277" t="s">
        <v>64</v>
      </c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82">
        <v>4607111035912</v>
      </c>
      <c r="E193" s="28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1" t="s">
        <v>278</v>
      </c>
      <c r="Q193" s="290"/>
      <c r="R193" s="290"/>
      <c r="S193" s="290"/>
      <c r="T193" s="291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82">
        <v>4607111035103</v>
      </c>
      <c r="E194" s="28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">
        <v>282</v>
      </c>
      <c r="Q194" s="290"/>
      <c r="R194" s="290"/>
      <c r="S194" s="290"/>
      <c r="T194" s="291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82">
        <v>4607111035929</v>
      </c>
      <c r="E195" s="28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285</v>
      </c>
      <c r="Q195" s="290"/>
      <c r="R195" s="290"/>
      <c r="S195" s="290"/>
      <c r="T195" s="291"/>
      <c r="U195" s="34"/>
      <c r="V195" s="34"/>
      <c r="W195" s="35" t="s">
        <v>70</v>
      </c>
      <c r="X195" s="268">
        <v>24</v>
      </c>
      <c r="Y195" s="269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82">
        <v>4607111035882</v>
      </c>
      <c r="E196" s="28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6" t="s">
        <v>288</v>
      </c>
      <c r="Q196" s="290"/>
      <c r="R196" s="290"/>
      <c r="S196" s="290"/>
      <c r="T196" s="291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82">
        <v>4607111035905</v>
      </c>
      <c r="E197" s="28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291</v>
      </c>
      <c r="Q197" s="290"/>
      <c r="R197" s="290"/>
      <c r="S197" s="290"/>
      <c r="T197" s="291"/>
      <c r="U197" s="34"/>
      <c r="V197" s="34"/>
      <c r="W197" s="35" t="s">
        <v>70</v>
      </c>
      <c r="X197" s="268">
        <v>36</v>
      </c>
      <c r="Y197" s="269">
        <f>IFERROR(IF(X197="","",X197),"")</f>
        <v>36</v>
      </c>
      <c r="Z197" s="36">
        <f>IFERROR(IF(X197="","",X197*0.0155),"")</f>
        <v>0.55800000000000005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268.92</v>
      </c>
      <c r="BN197" s="67">
        <f>IFERROR(Y197*I197,"0")</f>
        <v>268.92</v>
      </c>
      <c r="BO197" s="67">
        <f>IFERROR(X197/J197,"0")</f>
        <v>0.42857142857142855</v>
      </c>
      <c r="BP197" s="67">
        <f>IFERROR(Y197/J197,"0")</f>
        <v>0.42857142857142855</v>
      </c>
    </row>
    <row r="198" spans="1:68" x14ac:dyDescent="0.2">
      <c r="A198" s="280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81"/>
      <c r="P198" s="274" t="s">
        <v>73</v>
      </c>
      <c r="Q198" s="275"/>
      <c r="R198" s="275"/>
      <c r="S198" s="275"/>
      <c r="T198" s="275"/>
      <c r="U198" s="275"/>
      <c r="V198" s="276"/>
      <c r="W198" s="37" t="s">
        <v>70</v>
      </c>
      <c r="X198" s="270">
        <f>IFERROR(SUM(X193:X197),"0")</f>
        <v>60</v>
      </c>
      <c r="Y198" s="270">
        <f>IFERROR(SUM(Y193:Y197),"0")</f>
        <v>60</v>
      </c>
      <c r="Z198" s="270">
        <f>IFERROR(IF(Z193="",0,Z193),"0")+IFERROR(IF(Z194="",0,Z194),"0")+IFERROR(IF(Z195="",0,Z195),"0")+IFERROR(IF(Z196="",0,Z196),"0")+IFERROR(IF(Z197="",0,Z197),"0")</f>
        <v>0.93</v>
      </c>
      <c r="AA198" s="271"/>
      <c r="AB198" s="271"/>
      <c r="AC198" s="271"/>
    </row>
    <row r="199" spans="1:68" x14ac:dyDescent="0.2">
      <c r="A199" s="278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81"/>
      <c r="P199" s="274" t="s">
        <v>73</v>
      </c>
      <c r="Q199" s="275"/>
      <c r="R199" s="275"/>
      <c r="S199" s="275"/>
      <c r="T199" s="275"/>
      <c r="U199" s="275"/>
      <c r="V199" s="276"/>
      <c r="W199" s="37" t="s">
        <v>74</v>
      </c>
      <c r="X199" s="270">
        <f>IFERROR(SUMPRODUCT(X193:X197*H193:H197),"0")</f>
        <v>432</v>
      </c>
      <c r="Y199" s="270">
        <f>IFERROR(SUMPRODUCT(Y193:Y197*H193:H197),"0")</f>
        <v>432</v>
      </c>
      <c r="Z199" s="37"/>
      <c r="AA199" s="271"/>
      <c r="AB199" s="271"/>
      <c r="AC199" s="271"/>
    </row>
    <row r="200" spans="1:68" ht="16.5" hidden="1" customHeight="1" x14ac:dyDescent="0.25">
      <c r="A200" s="279" t="s">
        <v>292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3"/>
      <c r="AB200" s="263"/>
      <c r="AC200" s="263"/>
    </row>
    <row r="201" spans="1:68" ht="14.25" hidden="1" customHeight="1" x14ac:dyDescent="0.25">
      <c r="A201" s="277" t="s">
        <v>64</v>
      </c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82">
        <v>4620207491096</v>
      </c>
      <c r="E202" s="28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4" t="s">
        <v>295</v>
      </c>
      <c r="Q202" s="290"/>
      <c r="R202" s="290"/>
      <c r="S202" s="290"/>
      <c r="T202" s="291"/>
      <c r="U202" s="34"/>
      <c r="V202" s="34"/>
      <c r="W202" s="35" t="s">
        <v>70</v>
      </c>
      <c r="X202" s="268">
        <v>84</v>
      </c>
      <c r="Y202" s="269">
        <f>IFERROR(IF(X202="","",X202),"")</f>
        <v>84</v>
      </c>
      <c r="Z202" s="36">
        <f>IFERROR(IF(X202="","",X202*0.0155),"")</f>
        <v>1.302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439.32000000000005</v>
      </c>
      <c r="BN202" s="67">
        <f>IFERROR(Y202*I202,"0")</f>
        <v>439.32000000000005</v>
      </c>
      <c r="BO202" s="67">
        <f>IFERROR(X202/J202,"0")</f>
        <v>1</v>
      </c>
      <c r="BP202" s="67">
        <f>IFERROR(Y202/J202,"0")</f>
        <v>1</v>
      </c>
    </row>
    <row r="203" spans="1:68" x14ac:dyDescent="0.2">
      <c r="A203" s="280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81"/>
      <c r="P203" s="274" t="s">
        <v>73</v>
      </c>
      <c r="Q203" s="275"/>
      <c r="R203" s="275"/>
      <c r="S203" s="275"/>
      <c r="T203" s="275"/>
      <c r="U203" s="275"/>
      <c r="V203" s="276"/>
      <c r="W203" s="37" t="s">
        <v>70</v>
      </c>
      <c r="X203" s="270">
        <f>IFERROR(SUM(X202:X202),"0")</f>
        <v>84</v>
      </c>
      <c r="Y203" s="270">
        <f>IFERROR(SUM(Y202:Y202),"0")</f>
        <v>84</v>
      </c>
      <c r="Z203" s="270">
        <f>IFERROR(IF(Z202="",0,Z202),"0")</f>
        <v>1.302</v>
      </c>
      <c r="AA203" s="271"/>
      <c r="AB203" s="271"/>
      <c r="AC203" s="271"/>
    </row>
    <row r="204" spans="1:68" x14ac:dyDescent="0.2">
      <c r="A204" s="278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81"/>
      <c r="P204" s="274" t="s">
        <v>73</v>
      </c>
      <c r="Q204" s="275"/>
      <c r="R204" s="275"/>
      <c r="S204" s="275"/>
      <c r="T204" s="275"/>
      <c r="U204" s="275"/>
      <c r="V204" s="276"/>
      <c r="W204" s="37" t="s">
        <v>74</v>
      </c>
      <c r="X204" s="270">
        <f>IFERROR(SUMPRODUCT(X202:X202*H202:H202),"0")</f>
        <v>420</v>
      </c>
      <c r="Y204" s="270">
        <f>IFERROR(SUMPRODUCT(Y202:Y202*H202:H202),"0")</f>
        <v>420</v>
      </c>
      <c r="Z204" s="37"/>
      <c r="AA204" s="271"/>
      <c r="AB204" s="271"/>
      <c r="AC204" s="271"/>
    </row>
    <row r="205" spans="1:68" ht="16.5" hidden="1" customHeight="1" x14ac:dyDescent="0.25">
      <c r="A205" s="279" t="s">
        <v>297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3"/>
      <c r="AB205" s="263"/>
      <c r="AC205" s="263"/>
    </row>
    <row r="206" spans="1:68" ht="14.25" hidden="1" customHeight="1" x14ac:dyDescent="0.25">
      <c r="A206" s="277" t="s">
        <v>64</v>
      </c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82">
        <v>4620207490709</v>
      </c>
      <c r="E207" s="28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90"/>
      <c r="R207" s="290"/>
      <c r="S207" s="290"/>
      <c r="T207" s="291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81"/>
      <c r="P208" s="274" t="s">
        <v>73</v>
      </c>
      <c r="Q208" s="275"/>
      <c r="R208" s="275"/>
      <c r="S208" s="275"/>
      <c r="T208" s="275"/>
      <c r="U208" s="275"/>
      <c r="V208" s="276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78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81"/>
      <c r="P209" s="274" t="s">
        <v>73</v>
      </c>
      <c r="Q209" s="275"/>
      <c r="R209" s="275"/>
      <c r="S209" s="275"/>
      <c r="T209" s="275"/>
      <c r="U209" s="275"/>
      <c r="V209" s="276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77" t="s">
        <v>125</v>
      </c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  <c r="AA210" s="264"/>
      <c r="AB210" s="264"/>
      <c r="AC210" s="264"/>
    </row>
    <row r="211" spans="1:68" ht="27" hidden="1" customHeight="1" x14ac:dyDescent="0.25">
      <c r="A211" s="54" t="s">
        <v>301</v>
      </c>
      <c r="B211" s="54" t="s">
        <v>302</v>
      </c>
      <c r="C211" s="31">
        <v>4301135692</v>
      </c>
      <c r="D211" s="282">
        <v>4620207490570</v>
      </c>
      <c r="E211" s="28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81</v>
      </c>
      <c r="M211" s="33" t="s">
        <v>69</v>
      </c>
      <c r="N211" s="33"/>
      <c r="O211" s="32">
        <v>180</v>
      </c>
      <c r="P211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90"/>
      <c r="R211" s="290"/>
      <c r="S211" s="290"/>
      <c r="T211" s="291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83</v>
      </c>
      <c r="AK211" s="71">
        <v>14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82">
        <v>4620207490549</v>
      </c>
      <c r="E212" s="28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81</v>
      </c>
      <c r="M212" s="33" t="s">
        <v>69</v>
      </c>
      <c r="N212" s="33"/>
      <c r="O212" s="32">
        <v>180</v>
      </c>
      <c r="P212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90"/>
      <c r="R212" s="290"/>
      <c r="S212" s="290"/>
      <c r="T212" s="291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83</v>
      </c>
      <c r="AK212" s="71">
        <v>14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82">
        <v>4620207490501</v>
      </c>
      <c r="E213" s="28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81</v>
      </c>
      <c r="M213" s="33" t="s">
        <v>69</v>
      </c>
      <c r="N213" s="33"/>
      <c r="O213" s="32">
        <v>180</v>
      </c>
      <c r="P213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90"/>
      <c r="R213" s="290"/>
      <c r="S213" s="290"/>
      <c r="T213" s="291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83</v>
      </c>
      <c r="AK213" s="71">
        <v>14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0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81"/>
      <c r="P214" s="274" t="s">
        <v>73</v>
      </c>
      <c r="Q214" s="275"/>
      <c r="R214" s="275"/>
      <c r="S214" s="275"/>
      <c r="T214" s="275"/>
      <c r="U214" s="275"/>
      <c r="V214" s="276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hidden="1" x14ac:dyDescent="0.2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81"/>
      <c r="P215" s="274" t="s">
        <v>73</v>
      </c>
      <c r="Q215" s="275"/>
      <c r="R215" s="275"/>
      <c r="S215" s="275"/>
      <c r="T215" s="275"/>
      <c r="U215" s="275"/>
      <c r="V215" s="276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hidden="1" customHeight="1" x14ac:dyDescent="0.25">
      <c r="A216" s="279" t="s">
        <v>308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3"/>
      <c r="AB216" s="263"/>
      <c r="AC216" s="263"/>
    </row>
    <row r="217" spans="1:68" ht="14.25" hidden="1" customHeight="1" x14ac:dyDescent="0.25">
      <c r="A217" s="277" t="s">
        <v>64</v>
      </c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82">
        <v>4607111039019</v>
      </c>
      <c r="E218" s="28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1" t="s">
        <v>311</v>
      </c>
      <c r="Q218" s="290"/>
      <c r="R218" s="290"/>
      <c r="S218" s="290"/>
      <c r="T218" s="291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82">
        <v>4607111038708</v>
      </c>
      <c r="E219" s="28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90"/>
      <c r="R219" s="290"/>
      <c r="S219" s="290"/>
      <c r="T219" s="291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81"/>
      <c r="P220" s="274" t="s">
        <v>73</v>
      </c>
      <c r="Q220" s="275"/>
      <c r="R220" s="275"/>
      <c r="S220" s="275"/>
      <c r="T220" s="275"/>
      <c r="U220" s="275"/>
      <c r="V220" s="276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78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81"/>
      <c r="P221" s="274" t="s">
        <v>73</v>
      </c>
      <c r="Q221" s="275"/>
      <c r="R221" s="275"/>
      <c r="S221" s="275"/>
      <c r="T221" s="275"/>
      <c r="U221" s="275"/>
      <c r="V221" s="276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84" t="s">
        <v>316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48"/>
      <c r="AB222" s="48"/>
      <c r="AC222" s="48"/>
    </row>
    <row r="223" spans="1:68" ht="16.5" hidden="1" customHeight="1" x14ac:dyDescent="0.25">
      <c r="A223" s="279" t="s">
        <v>317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3"/>
      <c r="AB223" s="263"/>
      <c r="AC223" s="263"/>
    </row>
    <row r="224" spans="1:68" ht="14.25" hidden="1" customHeight="1" x14ac:dyDescent="0.25">
      <c r="A224" s="277" t="s">
        <v>64</v>
      </c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82">
        <v>4607111036162</v>
      </c>
      <c r="E225" s="28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90"/>
      <c r="R225" s="290"/>
      <c r="S225" s="290"/>
      <c r="T225" s="291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81"/>
      <c r="P226" s="274" t="s">
        <v>73</v>
      </c>
      <c r="Q226" s="275"/>
      <c r="R226" s="275"/>
      <c r="S226" s="275"/>
      <c r="T226" s="275"/>
      <c r="U226" s="275"/>
      <c r="V226" s="276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78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81"/>
      <c r="P227" s="274" t="s">
        <v>73</v>
      </c>
      <c r="Q227" s="275"/>
      <c r="R227" s="275"/>
      <c r="S227" s="275"/>
      <c r="T227" s="275"/>
      <c r="U227" s="275"/>
      <c r="V227" s="276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84" t="s">
        <v>321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48"/>
      <c r="AB228" s="48"/>
      <c r="AC228" s="48"/>
    </row>
    <row r="229" spans="1:68" ht="16.5" hidden="1" customHeight="1" x14ac:dyDescent="0.25">
      <c r="A229" s="279" t="s">
        <v>322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3"/>
      <c r="AB229" s="263"/>
      <c r="AC229" s="263"/>
    </row>
    <row r="230" spans="1:68" ht="14.25" hidden="1" customHeight="1" x14ac:dyDescent="0.25">
      <c r="A230" s="277" t="s">
        <v>64</v>
      </c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82">
        <v>4607111035899</v>
      </c>
      <c r="E231" s="28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3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90"/>
      <c r="R231" s="290"/>
      <c r="S231" s="290"/>
      <c r="T231" s="291"/>
      <c r="U231" s="34"/>
      <c r="V231" s="34"/>
      <c r="W231" s="35" t="s">
        <v>70</v>
      </c>
      <c r="X231" s="268">
        <v>120</v>
      </c>
      <c r="Y231" s="269">
        <f>IFERROR(IF(X231="","",X231),"")</f>
        <v>120</v>
      </c>
      <c r="Z231" s="36">
        <f>IFERROR(IF(X231="","",X231*0.0155),"")</f>
        <v>1.8599999999999999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631.43999999999994</v>
      </c>
      <c r="BN231" s="67">
        <f>IFERROR(Y231*I231,"0")</f>
        <v>631.43999999999994</v>
      </c>
      <c r="BO231" s="67">
        <f>IFERROR(X231/J231,"0")</f>
        <v>1.4285714285714286</v>
      </c>
      <c r="BP231" s="67">
        <f>IFERROR(Y231/J231,"0")</f>
        <v>1.4285714285714286</v>
      </c>
    </row>
    <row r="232" spans="1:68" x14ac:dyDescent="0.2">
      <c r="A232" s="280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81"/>
      <c r="P232" s="274" t="s">
        <v>73</v>
      </c>
      <c r="Q232" s="275"/>
      <c r="R232" s="275"/>
      <c r="S232" s="275"/>
      <c r="T232" s="275"/>
      <c r="U232" s="275"/>
      <c r="V232" s="276"/>
      <c r="W232" s="37" t="s">
        <v>70</v>
      </c>
      <c r="X232" s="270">
        <f>IFERROR(SUM(X231:X231),"0")</f>
        <v>120</v>
      </c>
      <c r="Y232" s="270">
        <f>IFERROR(SUM(Y231:Y231),"0")</f>
        <v>120</v>
      </c>
      <c r="Z232" s="270">
        <f>IFERROR(IF(Z231="",0,Z231),"0")</f>
        <v>1.8599999999999999</v>
      </c>
      <c r="AA232" s="271"/>
      <c r="AB232" s="271"/>
      <c r="AC232" s="271"/>
    </row>
    <row r="233" spans="1:68" x14ac:dyDescent="0.2">
      <c r="A233" s="278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81"/>
      <c r="P233" s="274" t="s">
        <v>73</v>
      </c>
      <c r="Q233" s="275"/>
      <c r="R233" s="275"/>
      <c r="S233" s="275"/>
      <c r="T233" s="275"/>
      <c r="U233" s="275"/>
      <c r="V233" s="276"/>
      <c r="W233" s="37" t="s">
        <v>74</v>
      </c>
      <c r="X233" s="270">
        <f>IFERROR(SUMPRODUCT(X231:X231*H231:H231),"0")</f>
        <v>600</v>
      </c>
      <c r="Y233" s="270">
        <f>IFERROR(SUMPRODUCT(Y231:Y231*H231:H231),"0")</f>
        <v>600</v>
      </c>
      <c r="Z233" s="37"/>
      <c r="AA233" s="271"/>
      <c r="AB233" s="271"/>
      <c r="AC233" s="271"/>
    </row>
    <row r="234" spans="1:68" ht="27.75" hidden="1" customHeight="1" x14ac:dyDescent="0.2">
      <c r="A234" s="284" t="s">
        <v>325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48"/>
      <c r="AB234" s="48"/>
      <c r="AC234" s="48"/>
    </row>
    <row r="235" spans="1:68" ht="16.5" hidden="1" customHeight="1" x14ac:dyDescent="0.25">
      <c r="A235" s="279" t="s">
        <v>326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3"/>
      <c r="AB235" s="263"/>
      <c r="AC235" s="263"/>
    </row>
    <row r="236" spans="1:68" ht="14.25" hidden="1" customHeight="1" x14ac:dyDescent="0.25">
      <c r="A236" s="277" t="s">
        <v>327</v>
      </c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82">
        <v>4607111039774</v>
      </c>
      <c r="E237" s="28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90"/>
      <c r="R237" s="290"/>
      <c r="S237" s="290"/>
      <c r="T237" s="291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81"/>
      <c r="P238" s="274" t="s">
        <v>73</v>
      </c>
      <c r="Q238" s="275"/>
      <c r="R238" s="275"/>
      <c r="S238" s="275"/>
      <c r="T238" s="275"/>
      <c r="U238" s="275"/>
      <c r="V238" s="276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78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81"/>
      <c r="P239" s="274" t="s">
        <v>73</v>
      </c>
      <c r="Q239" s="275"/>
      <c r="R239" s="275"/>
      <c r="S239" s="275"/>
      <c r="T239" s="275"/>
      <c r="U239" s="275"/>
      <c r="V239" s="276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77" t="s">
        <v>125</v>
      </c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82">
        <v>4607111039361</v>
      </c>
      <c r="E241" s="28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81</v>
      </c>
      <c r="M241" s="33" t="s">
        <v>69</v>
      </c>
      <c r="N241" s="33"/>
      <c r="O241" s="32">
        <v>180</v>
      </c>
      <c r="P241" s="4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90"/>
      <c r="R241" s="290"/>
      <c r="S241" s="290"/>
      <c r="T241" s="291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83</v>
      </c>
      <c r="AK241" s="71">
        <v>14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81"/>
      <c r="P242" s="274" t="s">
        <v>73</v>
      </c>
      <c r="Q242" s="275"/>
      <c r="R242" s="275"/>
      <c r="S242" s="275"/>
      <c r="T242" s="275"/>
      <c r="U242" s="275"/>
      <c r="V242" s="276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78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81"/>
      <c r="P243" s="274" t="s">
        <v>73</v>
      </c>
      <c r="Q243" s="275"/>
      <c r="R243" s="275"/>
      <c r="S243" s="275"/>
      <c r="T243" s="275"/>
      <c r="U243" s="275"/>
      <c r="V243" s="276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84" t="s">
        <v>333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48"/>
      <c r="AB244" s="48"/>
      <c r="AC244" s="48"/>
    </row>
    <row r="245" spans="1:68" ht="16.5" hidden="1" customHeight="1" x14ac:dyDescent="0.25">
      <c r="A245" s="279" t="s">
        <v>333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3"/>
      <c r="AB245" s="263"/>
      <c r="AC245" s="263"/>
    </row>
    <row r="246" spans="1:68" ht="14.25" hidden="1" customHeight="1" x14ac:dyDescent="0.25">
      <c r="A246" s="277" t="s">
        <v>64</v>
      </c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82">
        <v>4640242181264</v>
      </c>
      <c r="E247" s="28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90"/>
      <c r="R247" s="290"/>
      <c r="S247" s="290"/>
      <c r="T247" s="291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82">
        <v>4640242181325</v>
      </c>
      <c r="E248" s="28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90"/>
      <c r="R248" s="290"/>
      <c r="S248" s="290"/>
      <c r="T248" s="291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82">
        <v>4640242180670</v>
      </c>
      <c r="E249" s="28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90"/>
      <c r="R249" s="290"/>
      <c r="S249" s="290"/>
      <c r="T249" s="291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81"/>
      <c r="P250" s="274" t="s">
        <v>73</v>
      </c>
      <c r="Q250" s="275"/>
      <c r="R250" s="275"/>
      <c r="S250" s="275"/>
      <c r="T250" s="275"/>
      <c r="U250" s="275"/>
      <c r="V250" s="276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hidden="1" x14ac:dyDescent="0.2">
      <c r="A251" s="278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81"/>
      <c r="P251" s="274" t="s">
        <v>73</v>
      </c>
      <c r="Q251" s="275"/>
      <c r="R251" s="275"/>
      <c r="S251" s="275"/>
      <c r="T251" s="275"/>
      <c r="U251" s="275"/>
      <c r="V251" s="276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hidden="1" customHeight="1" x14ac:dyDescent="0.25">
      <c r="A252" s="277" t="s">
        <v>77</v>
      </c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82">
        <v>4640242180397</v>
      </c>
      <c r="E253" s="28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90"/>
      <c r="R253" s="290"/>
      <c r="S253" s="290"/>
      <c r="T253" s="291"/>
      <c r="U253" s="34"/>
      <c r="V253" s="34"/>
      <c r="W253" s="35" t="s">
        <v>70</v>
      </c>
      <c r="X253" s="268">
        <v>24</v>
      </c>
      <c r="Y253" s="269">
        <f>IFERROR(IF(X253="","",X253),"")</f>
        <v>24</v>
      </c>
      <c r="Z253" s="36">
        <f>IFERROR(IF(X253="","",X253*0.0155),"")</f>
        <v>0.372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150.24</v>
      </c>
      <c r="BN253" s="67">
        <f>IFERROR(Y253*I253,"0")</f>
        <v>150.24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82">
        <v>4640242181219</v>
      </c>
      <c r="E254" s="28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138</v>
      </c>
      <c r="L254" s="32" t="s">
        <v>81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90"/>
      <c r="R254" s="290"/>
      <c r="S254" s="290"/>
      <c r="T254" s="291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83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81"/>
      <c r="P255" s="274" t="s">
        <v>73</v>
      </c>
      <c r="Q255" s="275"/>
      <c r="R255" s="275"/>
      <c r="S255" s="275"/>
      <c r="T255" s="275"/>
      <c r="U255" s="275"/>
      <c r="V255" s="276"/>
      <c r="W255" s="37" t="s">
        <v>70</v>
      </c>
      <c r="X255" s="270">
        <f>IFERROR(SUM(X253:X254),"0")</f>
        <v>24</v>
      </c>
      <c r="Y255" s="270">
        <f>IFERROR(SUM(Y253:Y254),"0")</f>
        <v>24</v>
      </c>
      <c r="Z255" s="270">
        <f>IFERROR(IF(Z253="",0,Z253),"0")+IFERROR(IF(Z254="",0,Z254),"0")</f>
        <v>0.372</v>
      </c>
      <c r="AA255" s="271"/>
      <c r="AB255" s="271"/>
      <c r="AC255" s="271"/>
    </row>
    <row r="256" spans="1:68" x14ac:dyDescent="0.2">
      <c r="A256" s="278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81"/>
      <c r="P256" s="274" t="s">
        <v>73</v>
      </c>
      <c r="Q256" s="275"/>
      <c r="R256" s="275"/>
      <c r="S256" s="275"/>
      <c r="T256" s="275"/>
      <c r="U256" s="275"/>
      <c r="V256" s="276"/>
      <c r="W256" s="37" t="s">
        <v>74</v>
      </c>
      <c r="X256" s="270">
        <f>IFERROR(SUMPRODUCT(X253:X254*H253:H254),"0")</f>
        <v>144</v>
      </c>
      <c r="Y256" s="270">
        <f>IFERROR(SUMPRODUCT(Y253:Y254*H253:H254),"0")</f>
        <v>144</v>
      </c>
      <c r="Z256" s="37"/>
      <c r="AA256" s="271"/>
      <c r="AB256" s="271"/>
      <c r="AC256" s="271"/>
    </row>
    <row r="257" spans="1:68" ht="14.25" hidden="1" customHeight="1" x14ac:dyDescent="0.25">
      <c r="A257" s="277" t="s">
        <v>119</v>
      </c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64"/>
      <c r="AB257" s="264"/>
      <c r="AC257" s="264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82">
        <v>4640242180304</v>
      </c>
      <c r="E258" s="28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90"/>
      <c r="R258" s="290"/>
      <c r="S258" s="290"/>
      <c r="T258" s="291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82">
        <v>4640242180236</v>
      </c>
      <c r="E259" s="28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90"/>
      <c r="R259" s="290"/>
      <c r="S259" s="290"/>
      <c r="T259" s="291"/>
      <c r="U259" s="34"/>
      <c r="V259" s="34"/>
      <c r="W259" s="35" t="s">
        <v>70</v>
      </c>
      <c r="X259" s="268">
        <v>96</v>
      </c>
      <c r="Y259" s="269">
        <f>IFERROR(IF(X259="","",X259),"")</f>
        <v>96</v>
      </c>
      <c r="Z259" s="36">
        <f>IFERROR(IF(X259="","",X259*0.0155),"")</f>
        <v>1.488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502.56000000000006</v>
      </c>
      <c r="BN259" s="67">
        <f>IFERROR(Y259*I259,"0")</f>
        <v>502.56000000000006</v>
      </c>
      <c r="BO259" s="67">
        <f>IFERROR(X259/J259,"0")</f>
        <v>1.1428571428571428</v>
      </c>
      <c r="BP259" s="67">
        <f>IFERROR(Y259/J259,"0")</f>
        <v>1.1428571428571428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82">
        <v>4640242180410</v>
      </c>
      <c r="E260" s="28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90"/>
      <c r="R260" s="290"/>
      <c r="S260" s="290"/>
      <c r="T260" s="291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81"/>
      <c r="P261" s="274" t="s">
        <v>73</v>
      </c>
      <c r="Q261" s="275"/>
      <c r="R261" s="275"/>
      <c r="S261" s="275"/>
      <c r="T261" s="275"/>
      <c r="U261" s="275"/>
      <c r="V261" s="276"/>
      <c r="W261" s="37" t="s">
        <v>70</v>
      </c>
      <c r="X261" s="270">
        <f>IFERROR(SUM(X258:X260),"0")</f>
        <v>96</v>
      </c>
      <c r="Y261" s="270">
        <f>IFERROR(SUM(Y258:Y260),"0")</f>
        <v>96</v>
      </c>
      <c r="Z261" s="270">
        <f>IFERROR(IF(Z258="",0,Z258),"0")+IFERROR(IF(Z259="",0,Z259),"0")+IFERROR(IF(Z260="",0,Z260),"0")</f>
        <v>1.488</v>
      </c>
      <c r="AA261" s="271"/>
      <c r="AB261" s="271"/>
      <c r="AC261" s="271"/>
    </row>
    <row r="262" spans="1:68" x14ac:dyDescent="0.2">
      <c r="A262" s="278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81"/>
      <c r="P262" s="274" t="s">
        <v>73</v>
      </c>
      <c r="Q262" s="275"/>
      <c r="R262" s="275"/>
      <c r="S262" s="275"/>
      <c r="T262" s="275"/>
      <c r="U262" s="275"/>
      <c r="V262" s="276"/>
      <c r="W262" s="37" t="s">
        <v>74</v>
      </c>
      <c r="X262" s="270">
        <f>IFERROR(SUMPRODUCT(X258:X260*H258:H260),"0")</f>
        <v>480</v>
      </c>
      <c r="Y262" s="270">
        <f>IFERROR(SUMPRODUCT(Y258:Y260*H258:H260),"0")</f>
        <v>480</v>
      </c>
      <c r="Z262" s="37"/>
      <c r="AA262" s="271"/>
      <c r="AB262" s="271"/>
      <c r="AC262" s="271"/>
    </row>
    <row r="263" spans="1:68" ht="14.25" hidden="1" customHeight="1" x14ac:dyDescent="0.25">
      <c r="A263" s="277" t="s">
        <v>125</v>
      </c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82">
        <v>4640242181554</v>
      </c>
      <c r="E264" s="28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90"/>
      <c r="R264" s="290"/>
      <c r="S264" s="290"/>
      <c r="T264" s="291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83</v>
      </c>
      <c r="AK264" s="71">
        <v>14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82">
        <v>4640242181561</v>
      </c>
      <c r="E265" s="28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90"/>
      <c r="R265" s="290"/>
      <c r="S265" s="290"/>
      <c r="T265" s="291"/>
      <c r="U265" s="34"/>
      <c r="V265" s="34"/>
      <c r="W265" s="35" t="s">
        <v>70</v>
      </c>
      <c r="X265" s="268">
        <v>56</v>
      </c>
      <c r="Y265" s="269">
        <f t="shared" si="6"/>
        <v>56</v>
      </c>
      <c r="Z265" s="36">
        <f>IFERROR(IF(X265="","",X265*0.00936),"")</f>
        <v>0.52415999999999996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217.952</v>
      </c>
      <c r="BN265" s="67">
        <f t="shared" si="8"/>
        <v>217.952</v>
      </c>
      <c r="BO265" s="67">
        <f t="shared" si="9"/>
        <v>0.44444444444444442</v>
      </c>
      <c r="BP265" s="67">
        <f t="shared" si="10"/>
        <v>0.44444444444444442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82">
        <v>4640242181424</v>
      </c>
      <c r="E266" s="28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90"/>
      <c r="R266" s="290"/>
      <c r="S266" s="290"/>
      <c r="T266" s="291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82">
        <v>4640242181523</v>
      </c>
      <c r="E267" s="28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90"/>
      <c r="R267" s="290"/>
      <c r="S267" s="290"/>
      <c r="T267" s="291"/>
      <c r="U267" s="34"/>
      <c r="V267" s="34"/>
      <c r="W267" s="35" t="s">
        <v>70</v>
      </c>
      <c r="X267" s="268">
        <v>42</v>
      </c>
      <c r="Y267" s="269">
        <f t="shared" si="6"/>
        <v>42</v>
      </c>
      <c r="Z267" s="36">
        <f t="shared" ref="Z267:Z272" si="11">IFERROR(IF(X267="","",X267*0.00936),"")</f>
        <v>0.39312000000000002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134.06400000000002</v>
      </c>
      <c r="BN267" s="67">
        <f t="shared" si="8"/>
        <v>134.06400000000002</v>
      </c>
      <c r="BO267" s="67">
        <f t="shared" si="9"/>
        <v>0.33333333333333331</v>
      </c>
      <c r="BP267" s="67">
        <f t="shared" si="10"/>
        <v>0.33333333333333331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82">
        <v>4640242181486</v>
      </c>
      <c r="E268" s="28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128</v>
      </c>
      <c r="M268" s="33" t="s">
        <v>69</v>
      </c>
      <c r="N268" s="33"/>
      <c r="O268" s="32">
        <v>180</v>
      </c>
      <c r="P268" s="3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90"/>
      <c r="R268" s="290"/>
      <c r="S268" s="290"/>
      <c r="T268" s="291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129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82">
        <v>4640242181493</v>
      </c>
      <c r="E269" s="28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90"/>
      <c r="R269" s="290"/>
      <c r="S269" s="290"/>
      <c r="T269" s="291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82">
        <v>4640242181509</v>
      </c>
      <c r="E270" s="28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90"/>
      <c r="R270" s="290"/>
      <c r="S270" s="290"/>
      <c r="T270" s="291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83</v>
      </c>
      <c r="AK270" s="71">
        <v>14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82">
        <v>4640242181240</v>
      </c>
      <c r="E271" s="28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1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90"/>
      <c r="R271" s="290"/>
      <c r="S271" s="290"/>
      <c r="T271" s="291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83</v>
      </c>
      <c r="AK271" s="71">
        <v>14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82">
        <v>4640242181318</v>
      </c>
      <c r="E272" s="28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4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90"/>
      <c r="R272" s="290"/>
      <c r="S272" s="290"/>
      <c r="T272" s="291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83</v>
      </c>
      <c r="AK272" s="71">
        <v>14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82">
        <v>4640242181387</v>
      </c>
      <c r="E273" s="28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138</v>
      </c>
      <c r="L273" s="32" t="s">
        <v>81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90"/>
      <c r="R273" s="290"/>
      <c r="S273" s="290"/>
      <c r="T273" s="291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83</v>
      </c>
      <c r="AK273" s="71">
        <v>18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82">
        <v>4640242181332</v>
      </c>
      <c r="E274" s="28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2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90"/>
      <c r="R274" s="290"/>
      <c r="S274" s="290"/>
      <c r="T274" s="291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0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81"/>
      <c r="P275" s="274" t="s">
        <v>73</v>
      </c>
      <c r="Q275" s="275"/>
      <c r="R275" s="275"/>
      <c r="S275" s="275"/>
      <c r="T275" s="275"/>
      <c r="U275" s="275"/>
      <c r="V275" s="276"/>
      <c r="W275" s="37" t="s">
        <v>70</v>
      </c>
      <c r="X275" s="270">
        <f>IFERROR(SUM(X264:X274),"0")</f>
        <v>98</v>
      </c>
      <c r="Y275" s="270">
        <f>IFERROR(SUM(Y264:Y274),"0")</f>
        <v>98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0.91727999999999998</v>
      </c>
      <c r="AA275" s="271"/>
      <c r="AB275" s="271"/>
      <c r="AC275" s="271"/>
    </row>
    <row r="276" spans="1:68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81"/>
      <c r="P276" s="274" t="s">
        <v>73</v>
      </c>
      <c r="Q276" s="275"/>
      <c r="R276" s="275"/>
      <c r="S276" s="275"/>
      <c r="T276" s="275"/>
      <c r="U276" s="275"/>
      <c r="V276" s="276"/>
      <c r="W276" s="37" t="s">
        <v>74</v>
      </c>
      <c r="X276" s="270">
        <f>IFERROR(SUMPRODUCT(X264:X274*H264:H274),"0")</f>
        <v>333.20000000000005</v>
      </c>
      <c r="Y276" s="270">
        <f>IFERROR(SUMPRODUCT(Y264:Y274*H264:H274),"0")</f>
        <v>333.20000000000005</v>
      </c>
      <c r="Z276" s="37"/>
      <c r="AA276" s="271"/>
      <c r="AB276" s="271"/>
      <c r="AC276" s="271"/>
    </row>
    <row r="277" spans="1:68" ht="15" customHeight="1" x14ac:dyDescent="0.2">
      <c r="A277" s="419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68"/>
      <c r="P277" s="305" t="s">
        <v>378</v>
      </c>
      <c r="Q277" s="287"/>
      <c r="R277" s="287"/>
      <c r="S277" s="287"/>
      <c r="T277" s="287"/>
      <c r="U277" s="287"/>
      <c r="V277" s="288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9548.1200000000008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9548.1200000000008</v>
      </c>
      <c r="Z277" s="37"/>
      <c r="AA277" s="271"/>
      <c r="AB277" s="271"/>
      <c r="AC277" s="271"/>
    </row>
    <row r="278" spans="1:68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68"/>
      <c r="P278" s="305" t="s">
        <v>379</v>
      </c>
      <c r="Q278" s="287"/>
      <c r="R278" s="287"/>
      <c r="S278" s="287"/>
      <c r="T278" s="287"/>
      <c r="U278" s="287"/>
      <c r="V278" s="288"/>
      <c r="W278" s="37" t="s">
        <v>74</v>
      </c>
      <c r="X278" s="270">
        <f>IFERROR(SUM(BM22:BM274),"0")</f>
        <v>10606.774799999999</v>
      </c>
      <c r="Y278" s="270">
        <f>IFERROR(SUM(BN22:BN274),"0")</f>
        <v>10606.774799999999</v>
      </c>
      <c r="Z278" s="37"/>
      <c r="AA278" s="271"/>
      <c r="AB278" s="271"/>
      <c r="AC278" s="271"/>
    </row>
    <row r="279" spans="1:68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68"/>
      <c r="P279" s="305" t="s">
        <v>380</v>
      </c>
      <c r="Q279" s="287"/>
      <c r="R279" s="287"/>
      <c r="S279" s="287"/>
      <c r="T279" s="287"/>
      <c r="U279" s="287"/>
      <c r="V279" s="288"/>
      <c r="W279" s="37" t="s">
        <v>381</v>
      </c>
      <c r="X279" s="38">
        <f>ROUNDUP(SUM(BO22:BO274),0)</f>
        <v>29</v>
      </c>
      <c r="Y279" s="38">
        <f>ROUNDUP(SUM(BP22:BP274),0)</f>
        <v>29</v>
      </c>
      <c r="Z279" s="37"/>
      <c r="AA279" s="271"/>
      <c r="AB279" s="271"/>
      <c r="AC279" s="271"/>
    </row>
    <row r="280" spans="1:68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68"/>
      <c r="P280" s="305" t="s">
        <v>382</v>
      </c>
      <c r="Q280" s="287"/>
      <c r="R280" s="287"/>
      <c r="S280" s="287"/>
      <c r="T280" s="287"/>
      <c r="U280" s="287"/>
      <c r="V280" s="288"/>
      <c r="W280" s="37" t="s">
        <v>74</v>
      </c>
      <c r="X280" s="270">
        <f>GrossWeightTotal+PalletQtyTotal*25</f>
        <v>11331.774799999999</v>
      </c>
      <c r="Y280" s="270">
        <f>GrossWeightTotalR+PalletQtyTotalR*25</f>
        <v>11331.774799999999</v>
      </c>
      <c r="Z280" s="37"/>
      <c r="AA280" s="271"/>
      <c r="AB280" s="271"/>
      <c r="AC280" s="271"/>
    </row>
    <row r="281" spans="1:68" x14ac:dyDescent="0.2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368"/>
      <c r="P281" s="305" t="s">
        <v>383</v>
      </c>
      <c r="Q281" s="287"/>
      <c r="R281" s="287"/>
      <c r="S281" s="287"/>
      <c r="T281" s="287"/>
      <c r="U281" s="287"/>
      <c r="V281" s="288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2284</v>
      </c>
      <c r="Y281" s="270">
        <f>IFERROR(Y23+Y30+Y37+Y45+Y50+Y54+Y58+Y63+Y69+Y75+Y80+Y86+Y96+Y102+Y111+Y115+Y119+Y125+Y131+Y137+Y142+Y147+Y152+Y157+Y164+Y172+Y176+Y182+Y189+Y198+Y203+Y208+Y214+Y220+Y226+Y232+Y238+Y242+Y250+Y255+Y261+Y275,"0")</f>
        <v>2284</v>
      </c>
      <c r="Z281" s="37"/>
      <c r="AA281" s="271"/>
      <c r="AB281" s="271"/>
      <c r="AC281" s="271"/>
    </row>
    <row r="282" spans="1:68" ht="14.25" hidden="1" customHeight="1" x14ac:dyDescent="0.2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368"/>
      <c r="P282" s="305" t="s">
        <v>384</v>
      </c>
      <c r="Q282" s="287"/>
      <c r="R282" s="287"/>
      <c r="S282" s="287"/>
      <c r="T282" s="287"/>
      <c r="U282" s="287"/>
      <c r="V282" s="288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36.026459999999993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3" t="s">
        <v>75</v>
      </c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7"/>
      <c r="U284" s="265" t="s">
        <v>230</v>
      </c>
      <c r="V284" s="265" t="s">
        <v>239</v>
      </c>
      <c r="W284" s="303" t="s">
        <v>258</v>
      </c>
      <c r="X284" s="306"/>
      <c r="Y284" s="306"/>
      <c r="Z284" s="306"/>
      <c r="AA284" s="30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7" t="s">
        <v>387</v>
      </c>
      <c r="B285" s="303" t="s">
        <v>63</v>
      </c>
      <c r="C285" s="303" t="s">
        <v>76</v>
      </c>
      <c r="D285" s="303" t="s">
        <v>87</v>
      </c>
      <c r="E285" s="303" t="s">
        <v>97</v>
      </c>
      <c r="F285" s="303" t="s">
        <v>108</v>
      </c>
      <c r="G285" s="303" t="s">
        <v>135</v>
      </c>
      <c r="H285" s="303" t="s">
        <v>142</v>
      </c>
      <c r="I285" s="303" t="s">
        <v>146</v>
      </c>
      <c r="J285" s="303" t="s">
        <v>154</v>
      </c>
      <c r="K285" s="303" t="s">
        <v>169</v>
      </c>
      <c r="L285" s="303" t="s">
        <v>175</v>
      </c>
      <c r="M285" s="303" t="s">
        <v>196</v>
      </c>
      <c r="N285" s="266"/>
      <c r="O285" s="303" t="s">
        <v>202</v>
      </c>
      <c r="P285" s="303" t="s">
        <v>209</v>
      </c>
      <c r="Q285" s="303" t="s">
        <v>214</v>
      </c>
      <c r="R285" s="303" t="s">
        <v>218</v>
      </c>
      <c r="S285" s="303" t="s">
        <v>221</v>
      </c>
      <c r="T285" s="303" t="s">
        <v>226</v>
      </c>
      <c r="U285" s="303" t="s">
        <v>231</v>
      </c>
      <c r="V285" s="303" t="s">
        <v>240</v>
      </c>
      <c r="W285" s="303" t="s">
        <v>259</v>
      </c>
      <c r="X285" s="303" t="s">
        <v>275</v>
      </c>
      <c r="Y285" s="303" t="s">
        <v>292</v>
      </c>
      <c r="Z285" s="303" t="s">
        <v>297</v>
      </c>
      <c r="AA285" s="303" t="s">
        <v>308</v>
      </c>
      <c r="AB285" s="303" t="s">
        <v>317</v>
      </c>
      <c r="AC285" s="303" t="s">
        <v>322</v>
      </c>
      <c r="AD285" s="303" t="s">
        <v>326</v>
      </c>
      <c r="AE285" s="303" t="s">
        <v>333</v>
      </c>
      <c r="AF285" s="266"/>
    </row>
    <row r="286" spans="1:68" ht="13.5" customHeight="1" thickBot="1" x14ac:dyDescent="0.25">
      <c r="A286" s="418"/>
      <c r="B286" s="304"/>
      <c r="C286" s="304"/>
      <c r="D286" s="304"/>
      <c r="E286" s="304"/>
      <c r="F286" s="304"/>
      <c r="G286" s="304"/>
      <c r="H286" s="304"/>
      <c r="I286" s="304"/>
      <c r="J286" s="304"/>
      <c r="K286" s="304"/>
      <c r="L286" s="304"/>
      <c r="M286" s="304"/>
      <c r="N286" s="266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  <c r="AA286" s="304"/>
      <c r="AB286" s="304"/>
      <c r="AC286" s="304"/>
      <c r="AD286" s="304"/>
      <c r="AE286" s="304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189</v>
      </c>
      <c r="D287" s="46">
        <f>IFERROR(X34*H34,"0")+IFERROR(X35*H35,"0")+IFERROR(X36*H36,"0")</f>
        <v>201.59999999999997</v>
      </c>
      <c r="E287" s="46">
        <f>IFERROR(X41*H41,"0")+IFERROR(X42*H42,"0")+IFERROR(X43*H43,"0")+IFERROR(X44*H44,"0")</f>
        <v>1008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180</v>
      </c>
      <c r="H287" s="46">
        <f>IFERROR(X79*H79,"0")</f>
        <v>50.4</v>
      </c>
      <c r="I287" s="46">
        <f>IFERROR(X84*H84,"0")+IFERROR(X85*H85,"0")</f>
        <v>352.8</v>
      </c>
      <c r="J287" s="46">
        <f>IFERROR(X90*H90,"0")+IFERROR(X91*H91,"0")+IFERROR(X92*H92,"0")+IFERROR(X93*H93,"0")+IFERROR(X94*H94,"0")+IFERROR(X95*H95,"0")</f>
        <v>771.11999999999989</v>
      </c>
      <c r="K287" s="46">
        <f>IFERROR(X100*H100,"0")+IFERROR(X101*H101,"0")</f>
        <v>201.6</v>
      </c>
      <c r="L287" s="46">
        <f>IFERROR(X106*H106,"0")+IFERROR(X107*H107,"0")+IFERROR(X108*H108,"0")+IFERROR(X109*H109,"0")+IFERROR(X110*H110,"0")+IFERROR(X114*H114,"0")+IFERROR(X118*H118,"0")</f>
        <v>1702.56</v>
      </c>
      <c r="M287" s="46">
        <f>IFERROR(X123*H123,"0")+IFERROR(X124*H124,"0")</f>
        <v>882</v>
      </c>
      <c r="N287" s="266"/>
      <c r="O287" s="46">
        <f>IFERROR(X129*H129,"0")+IFERROR(X130*H130,"0")</f>
        <v>420</v>
      </c>
      <c r="P287" s="46">
        <f>IFERROR(X135*H135,"0")+IFERROR(X136*H136,"0")</f>
        <v>67.2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360</v>
      </c>
      <c r="V287" s="46">
        <f>IFERROR(X169*H169,"0")+IFERROR(X170*H170,"0")+IFERROR(X171*H171,"0")+IFERROR(X175*H175,"0")</f>
        <v>714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432</v>
      </c>
      <c r="Y287" s="46">
        <f>IFERROR(X202*H202,"0")</f>
        <v>420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600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957.2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4867.2</v>
      </c>
      <c r="B290" s="60">
        <f>SUMPRODUCT(--(BB:BB="ПГП"),--(W:W="кор"),H:H,Y:Y)+SUMPRODUCT(--(BB:BB="ПГП"),--(W:W="кг"),Y:Y)</f>
        <v>4680.9199999999992</v>
      </c>
      <c r="C290" s="60">
        <f>SUMPRODUCT(--(BB:BB="КИЗ"),--(W:W="кор"),H:H,Y:Y)+SUMPRODUCT(--(BB:BB="КИЗ"),--(W:W="кг"),Y:Y)</f>
        <v>0</v>
      </c>
    </row>
  </sheetData>
  <sheetProtection algorithmName="SHA-512" hashValue="wgYb3RzhFMBEHE5vzTCypYI6L/WarvtclobzdygirOXgeIVLhGCduXpGnEaEHes1NrcU31QdGthY6hhqRf3qqg==" saltValue="OCtL/ws95mq7/J/IXRMsd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665,60"/>
        <filter val="10 606,77"/>
        <filter val="108,00"/>
        <filter val="11 331,77"/>
        <filter val="112,00"/>
        <filter val="12,00"/>
        <filter val="120,00"/>
        <filter val="126,00"/>
        <filter val="14,00"/>
        <filter val="140,00"/>
        <filter val="144,00"/>
        <filter val="180,00"/>
        <filter val="182,00"/>
        <filter val="189,00"/>
        <filter val="2 284,00"/>
        <filter val="201,60"/>
        <filter val="238,00"/>
        <filter val="24,00"/>
        <filter val="240,00"/>
        <filter val="252,00"/>
        <filter val="28,00"/>
        <filter val="29"/>
        <filter val="294,00"/>
        <filter val="333,20"/>
        <filter val="352,80"/>
        <filter val="36,00"/>
        <filter val="36,96"/>
        <filter val="360,00"/>
        <filter val="38,64"/>
        <filter val="42,00"/>
        <filter val="420,00"/>
        <filter val="432,00"/>
        <filter val="480,00"/>
        <filter val="50,40"/>
        <filter val="56,00"/>
        <filter val="60,00"/>
        <filter val="600,00"/>
        <filter val="67,20"/>
        <filter val="714,00"/>
        <filter val="72,00"/>
        <filter val="771,12"/>
        <filter val="84,00"/>
        <filter val="882,00"/>
        <filter val="9 548,12"/>
        <filter val="96,00"/>
        <filter val="98,00"/>
      </filters>
    </filterColumn>
    <filterColumn colId="29" showButton="0"/>
    <filterColumn colId="30" showButton="0"/>
  </autoFilter>
  <mergeCells count="499"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9:E49"/>
    <mergeCell ref="F17:F18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P107:T107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A180:Z180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4 X118 X135 X162 X175 X193:X197 X207 X218:X219 X225 X237 X247 X260 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23 X129:X130 X136 X141 X146 X151 X156 X163 X169:X171 X181 X185:X188 X202 X211:X213 X231 X241 X248:X249 X253:X254 X258:X259 X264:X267 X269:X27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68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83xBzVdydBHTNWN0y+lPMklnfOVQchfEu8pLMpkDMZ0eCKw34TeSfKuaY7DH9849lpm6PJXKNnUtoYZAWhWGqQ==" saltValue="LLfPSrlEUSftlH+QxN+7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2025-10-17T11:22:55Z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