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B2053D00-191C-4B77-8D3D-5286BCF02E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5" i="1" l="1"/>
  <c r="X494" i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Y468" i="1" s="1"/>
  <c r="P464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X422" i="1"/>
  <c r="Y421" i="1"/>
  <c r="X421" i="1"/>
  <c r="BP420" i="1"/>
  <c r="BO420" i="1"/>
  <c r="BN420" i="1"/>
  <c r="BM420" i="1"/>
  <c r="Z420" i="1"/>
  <c r="Z421" i="1" s="1"/>
  <c r="Y420" i="1"/>
  <c r="X505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Y374" i="1"/>
  <c r="BP373" i="1"/>
  <c r="BO373" i="1"/>
  <c r="BN373" i="1"/>
  <c r="BM373" i="1"/>
  <c r="Z373" i="1"/>
  <c r="Z375" i="1" s="1"/>
  <c r="Y373" i="1"/>
  <c r="Y376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Y303" i="1" s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5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5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Y144" i="1" s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Z88" i="1" s="1"/>
  <c r="P88" i="1"/>
  <c r="BO87" i="1"/>
  <c r="BM87" i="1"/>
  <c r="Y87" i="1"/>
  <c r="BP87" i="1" s="1"/>
  <c r="P87" i="1"/>
  <c r="BO86" i="1"/>
  <c r="BM86" i="1"/>
  <c r="Y86" i="1"/>
  <c r="Y90" i="1" s="1"/>
  <c r="P86" i="1"/>
  <c r="X83" i="1"/>
  <c r="X82" i="1"/>
  <c r="BO81" i="1"/>
  <c r="BM81" i="1"/>
  <c r="Y81" i="1"/>
  <c r="BP81" i="1" s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Y77" i="1" s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Y69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Y58" i="1" s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Y43" i="1" s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5" i="1" s="1"/>
  <c r="X23" i="1"/>
  <c r="X499" i="1" s="1"/>
  <c r="BO22" i="1"/>
  <c r="X497" i="1" s="1"/>
  <c r="BM22" i="1"/>
  <c r="X496" i="1" s="1"/>
  <c r="X498" i="1" s="1"/>
  <c r="Y22" i="1"/>
  <c r="B505" i="1" s="1"/>
  <c r="P22" i="1"/>
  <c r="H10" i="1"/>
  <c r="A9" i="1"/>
  <c r="A10" i="1" s="1"/>
  <c r="D7" i="1"/>
  <c r="Q6" i="1"/>
  <c r="P2" i="1"/>
  <c r="Z31" i="1" l="1"/>
  <c r="Z137" i="1"/>
  <c r="F9" i="1"/>
  <c r="J9" i="1"/>
  <c r="F10" i="1"/>
  <c r="Z22" i="1"/>
  <c r="Z23" i="1" s="1"/>
  <c r="BN22" i="1"/>
  <c r="BP22" i="1"/>
  <c r="Y23" i="1"/>
  <c r="Y31" i="1"/>
  <c r="Y64" i="1"/>
  <c r="Z67" i="1"/>
  <c r="BN67" i="1"/>
  <c r="Y70" i="1"/>
  <c r="Z73" i="1"/>
  <c r="BN73" i="1"/>
  <c r="Z75" i="1"/>
  <c r="BN75" i="1"/>
  <c r="Y78" i="1"/>
  <c r="Z81" i="1"/>
  <c r="BN81" i="1"/>
  <c r="Y82" i="1"/>
  <c r="Z86" i="1"/>
  <c r="BN86" i="1"/>
  <c r="BP86" i="1"/>
  <c r="Y97" i="1"/>
  <c r="BP92" i="1"/>
  <c r="BN92" i="1"/>
  <c r="Z92" i="1"/>
  <c r="Y96" i="1"/>
  <c r="BP101" i="1"/>
  <c r="BN101" i="1"/>
  <c r="Z101" i="1"/>
  <c r="Z104" i="1" s="1"/>
  <c r="BP109" i="1"/>
  <c r="BN109" i="1"/>
  <c r="Z109" i="1"/>
  <c r="Y118" i="1"/>
  <c r="BP113" i="1"/>
  <c r="BN113" i="1"/>
  <c r="Z113" i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BP142" i="1"/>
  <c r="BN142" i="1"/>
  <c r="Z142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7" i="1"/>
  <c r="BP176" i="1"/>
  <c r="BN176" i="1"/>
  <c r="Z176" i="1"/>
  <c r="Z177" i="1" s="1"/>
  <c r="Y178" i="1"/>
  <c r="J505" i="1"/>
  <c r="Y184" i="1"/>
  <c r="BP181" i="1"/>
  <c r="BN181" i="1"/>
  <c r="Z181" i="1"/>
  <c r="Z183" i="1" s="1"/>
  <c r="BP193" i="1"/>
  <c r="BN193" i="1"/>
  <c r="Z193" i="1"/>
  <c r="BP197" i="1"/>
  <c r="BN197" i="1"/>
  <c r="Z197" i="1"/>
  <c r="BP208" i="1"/>
  <c r="BN208" i="1"/>
  <c r="Z208" i="1"/>
  <c r="K505" i="1"/>
  <c r="Y230" i="1"/>
  <c r="BP220" i="1"/>
  <c r="BN220" i="1"/>
  <c r="Z220" i="1"/>
  <c r="Y231" i="1"/>
  <c r="Z380" i="1"/>
  <c r="H9" i="1"/>
  <c r="Y24" i="1"/>
  <c r="Z27" i="1"/>
  <c r="BN27" i="1"/>
  <c r="Z29" i="1"/>
  <c r="BN29" i="1"/>
  <c r="C505" i="1"/>
  <c r="Z41" i="1"/>
  <c r="Z43" i="1" s="1"/>
  <c r="BN41" i="1"/>
  <c r="Y44" i="1"/>
  <c r="D505" i="1"/>
  <c r="Z52" i="1"/>
  <c r="Z57" i="1" s="1"/>
  <c r="BN52" i="1"/>
  <c r="Z54" i="1"/>
  <c r="BN54" i="1"/>
  <c r="Z56" i="1"/>
  <c r="BN56" i="1"/>
  <c r="Y57" i="1"/>
  <c r="Z60" i="1"/>
  <c r="BN60" i="1"/>
  <c r="BP60" i="1"/>
  <c r="Z62" i="1"/>
  <c r="BN62" i="1"/>
  <c r="Z66" i="1"/>
  <c r="Z69" i="1" s="1"/>
  <c r="BN66" i="1"/>
  <c r="BP66" i="1"/>
  <c r="Z68" i="1"/>
  <c r="BN68" i="1"/>
  <c r="Z72" i="1"/>
  <c r="BN72" i="1"/>
  <c r="BP72" i="1"/>
  <c r="Z74" i="1"/>
  <c r="BN74" i="1"/>
  <c r="Z76" i="1"/>
  <c r="BN76" i="1"/>
  <c r="Z80" i="1"/>
  <c r="Z82" i="1" s="1"/>
  <c r="BN80" i="1"/>
  <c r="BP80" i="1"/>
  <c r="E505" i="1"/>
  <c r="Y89" i="1"/>
  <c r="Z87" i="1"/>
  <c r="BN87" i="1"/>
  <c r="BP88" i="1"/>
  <c r="BN88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Y138" i="1"/>
  <c r="H505" i="1"/>
  <c r="Y143" i="1"/>
  <c r="BP141" i="1"/>
  <c r="BN141" i="1"/>
  <c r="Z141" i="1"/>
  <c r="Z143" i="1" s="1"/>
  <c r="BP148" i="1"/>
  <c r="BN148" i="1"/>
  <c r="Z148" i="1"/>
  <c r="Y150" i="1"/>
  <c r="I50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Z173" i="1" s="1"/>
  <c r="Y183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F505" i="1"/>
  <c r="Y104" i="1"/>
  <c r="G505" i="1"/>
  <c r="Y127" i="1"/>
  <c r="Y211" i="1"/>
  <c r="BP204" i="1"/>
  <c r="BN204" i="1"/>
  <c r="BP206" i="1"/>
  <c r="BN206" i="1"/>
  <c r="Z206" i="1"/>
  <c r="Z211" i="1" s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BP229" i="1"/>
  <c r="BN229" i="1"/>
  <c r="Z229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5" i="1"/>
  <c r="Y255" i="1"/>
  <c r="BP250" i="1"/>
  <c r="BN250" i="1"/>
  <c r="Z250" i="1"/>
  <c r="Z255" i="1" s="1"/>
  <c r="BP254" i="1"/>
  <c r="BN254" i="1"/>
  <c r="Z254" i="1"/>
  <c r="Y256" i="1"/>
  <c r="Y264" i="1"/>
  <c r="BP259" i="1"/>
  <c r="BN259" i="1"/>
  <c r="Z259" i="1"/>
  <c r="Y263" i="1"/>
  <c r="Z270" i="1"/>
  <c r="BP268" i="1"/>
  <c r="BN268" i="1"/>
  <c r="Z268" i="1"/>
  <c r="R505" i="1"/>
  <c r="BP291" i="1"/>
  <c r="BN291" i="1"/>
  <c r="Z291" i="1"/>
  <c r="Y304" i="1"/>
  <c r="BP299" i="1"/>
  <c r="BN299" i="1"/>
  <c r="Z299" i="1"/>
  <c r="Z311" i="1"/>
  <c r="BP307" i="1"/>
  <c r="BN307" i="1"/>
  <c r="Z307" i="1"/>
  <c r="Y311" i="1"/>
  <c r="BP315" i="1"/>
  <c r="BN315" i="1"/>
  <c r="Z315" i="1"/>
  <c r="Z317" i="1" s="1"/>
  <c r="Y325" i="1"/>
  <c r="Z330" i="1"/>
  <c r="BP328" i="1"/>
  <c r="BN328" i="1"/>
  <c r="Z328" i="1"/>
  <c r="BP343" i="1"/>
  <c r="BN343" i="1"/>
  <c r="Z343" i="1"/>
  <c r="BP347" i="1"/>
  <c r="BN347" i="1"/>
  <c r="Z347" i="1"/>
  <c r="BP379" i="1"/>
  <c r="BN379" i="1"/>
  <c r="Z379" i="1"/>
  <c r="Y381" i="1"/>
  <c r="Y384" i="1"/>
  <c r="BP383" i="1"/>
  <c r="BN383" i="1"/>
  <c r="Z383" i="1"/>
  <c r="Z384" i="1" s="1"/>
  <c r="Y385" i="1"/>
  <c r="Y400" i="1"/>
  <c r="BP389" i="1"/>
  <c r="BN389" i="1"/>
  <c r="Z389" i="1"/>
  <c r="Y399" i="1"/>
  <c r="BP393" i="1"/>
  <c r="BN393" i="1"/>
  <c r="Z393" i="1"/>
  <c r="BP397" i="1"/>
  <c r="BN397" i="1"/>
  <c r="Z397" i="1"/>
  <c r="BP429" i="1"/>
  <c r="BN429" i="1"/>
  <c r="Z429" i="1"/>
  <c r="BP433" i="1"/>
  <c r="BN433" i="1"/>
  <c r="Z433" i="1"/>
  <c r="BP437" i="1"/>
  <c r="BN437" i="1"/>
  <c r="Z437" i="1"/>
  <c r="Y439" i="1"/>
  <c r="Y444" i="1"/>
  <c r="BP441" i="1"/>
  <c r="BN441" i="1"/>
  <c r="Z441" i="1"/>
  <c r="Y445" i="1"/>
  <c r="BP449" i="1"/>
  <c r="BN449" i="1"/>
  <c r="Z449" i="1"/>
  <c r="Y453" i="1"/>
  <c r="BP457" i="1"/>
  <c r="BN457" i="1"/>
  <c r="Z457" i="1"/>
  <c r="Z459" i="1" s="1"/>
  <c r="Y459" i="1"/>
  <c r="M505" i="1"/>
  <c r="BP224" i="1"/>
  <c r="BN224" i="1"/>
  <c r="Z224" i="1"/>
  <c r="BP228" i="1"/>
  <c r="BN228" i="1"/>
  <c r="Z228" i="1"/>
  <c r="BP243" i="1"/>
  <c r="BN243" i="1"/>
  <c r="Z243" i="1"/>
  <c r="BP252" i="1"/>
  <c r="BN252" i="1"/>
  <c r="Z252" i="1"/>
  <c r="BP261" i="1"/>
  <c r="BN261" i="1"/>
  <c r="Z261" i="1"/>
  <c r="BP289" i="1"/>
  <c r="BN289" i="1"/>
  <c r="Z289" i="1"/>
  <c r="Z293" i="1" s="1"/>
  <c r="Y293" i="1"/>
  <c r="BP297" i="1"/>
  <c r="BN297" i="1"/>
  <c r="Z297" i="1"/>
  <c r="BP301" i="1"/>
  <c r="BN301" i="1"/>
  <c r="Z301" i="1"/>
  <c r="Z303" i="1" s="1"/>
  <c r="BP309" i="1"/>
  <c r="BN309" i="1"/>
  <c r="Z309" i="1"/>
  <c r="Z324" i="1"/>
  <c r="BP322" i="1"/>
  <c r="BN322" i="1"/>
  <c r="Z322" i="1"/>
  <c r="Z337" i="1"/>
  <c r="BP335" i="1"/>
  <c r="BN335" i="1"/>
  <c r="Z335" i="1"/>
  <c r="BP345" i="1"/>
  <c r="BN345" i="1"/>
  <c r="Z345" i="1"/>
  <c r="Z349" i="1" s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BP414" i="1"/>
  <c r="BN414" i="1"/>
  <c r="Z414" i="1"/>
  <c r="O505" i="1"/>
  <c r="Y271" i="1"/>
  <c r="Y276" i="1"/>
  <c r="Y285" i="1"/>
  <c r="Y294" i="1"/>
  <c r="S505" i="1"/>
  <c r="Y338" i="1"/>
  <c r="T505" i="1"/>
  <c r="Y350" i="1"/>
  <c r="Y354" i="1"/>
  <c r="Z370" i="1"/>
  <c r="BP368" i="1"/>
  <c r="BN368" i="1"/>
  <c r="Z368" i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W5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27" i="1"/>
  <c r="BN427" i="1"/>
  <c r="Z427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Y488" i="1"/>
  <c r="Z505" i="1"/>
  <c r="U505" i="1"/>
  <c r="Y371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Z453" i="1" s="1"/>
  <c r="BP451" i="1"/>
  <c r="BN451" i="1"/>
  <c r="Z451" i="1"/>
  <c r="Y460" i="1"/>
  <c r="BP465" i="1"/>
  <c r="BN465" i="1"/>
  <c r="Z465" i="1"/>
  <c r="Z468" i="1" s="1"/>
  <c r="BP472" i="1"/>
  <c r="BN472" i="1"/>
  <c r="Z472" i="1"/>
  <c r="Y479" i="1"/>
  <c r="Y494" i="1"/>
  <c r="Z474" i="1" l="1"/>
  <c r="Z438" i="1"/>
  <c r="Z263" i="1"/>
  <c r="Y495" i="1"/>
  <c r="Z230" i="1"/>
  <c r="Z117" i="1"/>
  <c r="Y497" i="1"/>
  <c r="Z444" i="1"/>
  <c r="Z399" i="1"/>
  <c r="Z246" i="1"/>
  <c r="Z199" i="1"/>
  <c r="Z167" i="1"/>
  <c r="Z110" i="1"/>
  <c r="Z77" i="1"/>
  <c r="Z63" i="1"/>
  <c r="Z500" i="1" s="1"/>
  <c r="Z149" i="1"/>
  <c r="Z96" i="1"/>
  <c r="Z89" i="1"/>
  <c r="Y499" i="1"/>
  <c r="Y496" i="1"/>
  <c r="Y498" i="1" s="1"/>
</calcChain>
</file>

<file path=xl/sharedStrings.xml><?xml version="1.0" encoding="utf-8"?>
<sst xmlns="http://schemas.openxmlformats.org/spreadsheetml/2006/main" count="2345" uniqueCount="773">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</sst>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topLeftCell="A476" zoomScaleNormal="100" zoomScaleSheetLayoutView="100" workbookViewId="0">
      <selection activeCell="Z501" sqref="Z50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4" t="s">
        <v>0</v>
      </c>
      <c r="E1" s="575"/>
      <c r="F1" s="575"/>
      <c r="G1" s="12" t="s">
        <v>1</v>
      </c>
      <c r="H1" s="624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0" t="s">
        <v>8</v>
      </c>
      <c r="B5" s="671"/>
      <c r="C5" s="672"/>
      <c r="D5" s="631"/>
      <c r="E5" s="632"/>
      <c r="F5" s="834" t="s">
        <v>9</v>
      </c>
      <c r="G5" s="672"/>
      <c r="H5" s="631"/>
      <c r="I5" s="777"/>
      <c r="J5" s="777"/>
      <c r="K5" s="777"/>
      <c r="L5" s="777"/>
      <c r="M5" s="632"/>
      <c r="N5" s="58"/>
      <c r="P5" s="24" t="s">
        <v>10</v>
      </c>
      <c r="Q5" s="850">
        <v>45950</v>
      </c>
      <c r="R5" s="669"/>
      <c r="T5" s="708" t="s">
        <v>11</v>
      </c>
      <c r="U5" s="709"/>
      <c r="V5" s="711" t="s">
        <v>12</v>
      </c>
      <c r="W5" s="669"/>
      <c r="AB5" s="51"/>
      <c r="AC5" s="51"/>
      <c r="AD5" s="51"/>
      <c r="AE5" s="51"/>
    </row>
    <row r="6" spans="1:32" s="539" customFormat="1" ht="24" customHeight="1" x14ac:dyDescent="0.2">
      <c r="A6" s="670" t="s">
        <v>13</v>
      </c>
      <c r="B6" s="671"/>
      <c r="C6" s="672"/>
      <c r="D6" s="780" t="s">
        <v>14</v>
      </c>
      <c r="E6" s="781"/>
      <c r="F6" s="781"/>
      <c r="G6" s="781"/>
      <c r="H6" s="781"/>
      <c r="I6" s="781"/>
      <c r="J6" s="781"/>
      <c r="K6" s="781"/>
      <c r="L6" s="781"/>
      <c r="M6" s="669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15" t="s">
        <v>16</v>
      </c>
      <c r="U6" s="709"/>
      <c r="V6" s="760" t="s">
        <v>17</v>
      </c>
      <c r="W6" s="627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64"/>
      <c r="U7" s="709"/>
      <c r="V7" s="761"/>
      <c r="W7" s="762"/>
      <c r="AB7" s="51"/>
      <c r="AC7" s="51"/>
      <c r="AD7" s="51"/>
      <c r="AE7" s="51"/>
    </row>
    <row r="8" spans="1:32" s="539" customFormat="1" ht="25.5" customHeight="1" x14ac:dyDescent="0.2">
      <c r="A8" s="869" t="s">
        <v>18</v>
      </c>
      <c r="B8" s="561"/>
      <c r="C8" s="562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78">
        <v>0.41666666666666669</v>
      </c>
      <c r="R8" s="606"/>
      <c r="T8" s="564"/>
      <c r="U8" s="709"/>
      <c r="V8" s="761"/>
      <c r="W8" s="762"/>
      <c r="AB8" s="51"/>
      <c r="AC8" s="51"/>
      <c r="AD8" s="51"/>
      <c r="AE8" s="51"/>
    </row>
    <row r="9" spans="1:32" s="539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87"/>
      <c r="E9" s="559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7"/>
      <c r="P9" s="26" t="s">
        <v>21</v>
      </c>
      <c r="Q9" s="665"/>
      <c r="R9" s="666"/>
      <c r="T9" s="564"/>
      <c r="U9" s="709"/>
      <c r="V9" s="763"/>
      <c r="W9" s="764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87"/>
      <c r="E10" s="559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53" t="str">
        <f>IFERROR(VLOOKUP($D$10,Proxy,2,FALSE),"")</f>
        <v/>
      </c>
      <c r="I10" s="564"/>
      <c r="J10" s="564"/>
      <c r="K10" s="564"/>
      <c r="L10" s="564"/>
      <c r="M10" s="564"/>
      <c r="N10" s="538"/>
      <c r="P10" s="26" t="s">
        <v>22</v>
      </c>
      <c r="Q10" s="716"/>
      <c r="R10" s="717"/>
      <c r="U10" s="24" t="s">
        <v>23</v>
      </c>
      <c r="V10" s="626" t="s">
        <v>24</v>
      </c>
      <c r="W10" s="627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798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29</v>
      </c>
      <c r="B12" s="671"/>
      <c r="C12" s="671"/>
      <c r="D12" s="671"/>
      <c r="E12" s="671"/>
      <c r="F12" s="671"/>
      <c r="G12" s="671"/>
      <c r="H12" s="671"/>
      <c r="I12" s="671"/>
      <c r="J12" s="671"/>
      <c r="K12" s="671"/>
      <c r="L12" s="671"/>
      <c r="M12" s="672"/>
      <c r="N12" s="62"/>
      <c r="P12" s="24" t="s">
        <v>30</v>
      </c>
      <c r="Q12" s="678"/>
      <c r="R12" s="606"/>
      <c r="S12" s="23"/>
      <c r="U12" s="24"/>
      <c r="V12" s="575"/>
      <c r="W12" s="564"/>
      <c r="AB12" s="51"/>
      <c r="AC12" s="51"/>
      <c r="AD12" s="51"/>
      <c r="AE12" s="51"/>
    </row>
    <row r="13" spans="1:32" s="539" customFormat="1" ht="23.25" customHeight="1" x14ac:dyDescent="0.2">
      <c r="A13" s="706" t="s">
        <v>31</v>
      </c>
      <c r="B13" s="671"/>
      <c r="C13" s="671"/>
      <c r="D13" s="671"/>
      <c r="E13" s="671"/>
      <c r="F13" s="671"/>
      <c r="G13" s="671"/>
      <c r="H13" s="671"/>
      <c r="I13" s="671"/>
      <c r="J13" s="671"/>
      <c r="K13" s="671"/>
      <c r="L13" s="671"/>
      <c r="M13" s="672"/>
      <c r="N13" s="62"/>
      <c r="O13" s="26"/>
      <c r="P13" s="26" t="s">
        <v>32</v>
      </c>
      <c r="Q13" s="798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33</v>
      </c>
      <c r="B14" s="671"/>
      <c r="C14" s="671"/>
      <c r="D14" s="671"/>
      <c r="E14" s="671"/>
      <c r="F14" s="671"/>
      <c r="G14" s="671"/>
      <c r="H14" s="671"/>
      <c r="I14" s="671"/>
      <c r="J14" s="671"/>
      <c r="K14" s="671"/>
      <c r="L14" s="671"/>
      <c r="M14" s="6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0" t="s">
        <v>34</v>
      </c>
      <c r="B15" s="671"/>
      <c r="C15" s="671"/>
      <c r="D15" s="671"/>
      <c r="E15" s="671"/>
      <c r="F15" s="671"/>
      <c r="G15" s="671"/>
      <c r="H15" s="671"/>
      <c r="I15" s="671"/>
      <c r="J15" s="671"/>
      <c r="K15" s="671"/>
      <c r="L15" s="671"/>
      <c r="M15" s="672"/>
      <c r="N15" s="63"/>
      <c r="P15" s="696" t="s">
        <v>35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6" t="s">
        <v>36</v>
      </c>
      <c r="B17" s="586" t="s">
        <v>37</v>
      </c>
      <c r="C17" s="685" t="s">
        <v>38</v>
      </c>
      <c r="D17" s="586" t="s">
        <v>39</v>
      </c>
      <c r="E17" s="650"/>
      <c r="F17" s="586" t="s">
        <v>40</v>
      </c>
      <c r="G17" s="586" t="s">
        <v>41</v>
      </c>
      <c r="H17" s="586" t="s">
        <v>42</v>
      </c>
      <c r="I17" s="586" t="s">
        <v>43</v>
      </c>
      <c r="J17" s="586" t="s">
        <v>44</v>
      </c>
      <c r="K17" s="586" t="s">
        <v>45</v>
      </c>
      <c r="L17" s="586" t="s">
        <v>46</v>
      </c>
      <c r="M17" s="586" t="s">
        <v>47</v>
      </c>
      <c r="N17" s="586" t="s">
        <v>48</v>
      </c>
      <c r="O17" s="586" t="s">
        <v>49</v>
      </c>
      <c r="P17" s="586" t="s">
        <v>50</v>
      </c>
      <c r="Q17" s="649"/>
      <c r="R17" s="649"/>
      <c r="S17" s="649"/>
      <c r="T17" s="650"/>
      <c r="U17" s="868" t="s">
        <v>51</v>
      </c>
      <c r="V17" s="672"/>
      <c r="W17" s="586" t="s">
        <v>52</v>
      </c>
      <c r="X17" s="586" t="s">
        <v>53</v>
      </c>
      <c r="Y17" s="866" t="s">
        <v>54</v>
      </c>
      <c r="Z17" s="775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87"/>
      <c r="B18" s="587"/>
      <c r="C18" s="587"/>
      <c r="D18" s="651"/>
      <c r="E18" s="653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87"/>
      <c r="X18" s="587"/>
      <c r="Y18" s="867"/>
      <c r="Z18" s="776"/>
      <c r="AA18" s="752"/>
      <c r="AB18" s="752"/>
      <c r="AC18" s="752"/>
      <c r="AD18" s="831"/>
      <c r="AE18" s="832"/>
      <c r="AF18" s="833"/>
      <c r="AG18" s="66"/>
      <c r="BD18" s="65"/>
    </row>
    <row r="19" spans="1:68" ht="27.75" customHeight="1" x14ac:dyDescent="0.2">
      <c r="A19" s="602" t="s">
        <v>63</v>
      </c>
      <c r="B19" s="603"/>
      <c r="C19" s="603"/>
      <c r="D19" s="603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  <c r="Q19" s="603"/>
      <c r="R19" s="603"/>
      <c r="S19" s="603"/>
      <c r="T19" s="603"/>
      <c r="U19" s="603"/>
      <c r="V19" s="603"/>
      <c r="W19" s="603"/>
      <c r="X19" s="603"/>
      <c r="Y19" s="603"/>
      <c r="Z19" s="603"/>
      <c r="AA19" s="48"/>
      <c r="AB19" s="48"/>
      <c r="AC19" s="48"/>
    </row>
    <row r="20" spans="1:68" ht="16.5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0"/>
      <c r="AB20" s="540"/>
      <c r="AC20" s="540"/>
    </row>
    <row r="21" spans="1:68" ht="14.25" customHeight="1" x14ac:dyDescent="0.25">
      <c r="A21" s="56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0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0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70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0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8" t="s">
        <v>91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1"/>
      <c r="AB33" s="541"/>
      <c r="AC33" s="541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70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0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2" t="s">
        <v>97</v>
      </c>
      <c r="B37" s="603"/>
      <c r="C37" s="603"/>
      <c r="D37" s="603"/>
      <c r="E37" s="603"/>
      <c r="F37" s="603"/>
      <c r="G37" s="603"/>
      <c r="H37" s="603"/>
      <c r="I37" s="603"/>
      <c r="J37" s="603"/>
      <c r="K37" s="603"/>
      <c r="L37" s="603"/>
      <c r="M37" s="603"/>
      <c r="N37" s="603"/>
      <c r="O37" s="603"/>
      <c r="P37" s="603"/>
      <c r="Q37" s="603"/>
      <c r="R37" s="603"/>
      <c r="S37" s="603"/>
      <c r="T37" s="603"/>
      <c r="U37" s="603"/>
      <c r="V37" s="603"/>
      <c r="W37" s="603"/>
      <c r="X37" s="603"/>
      <c r="Y37" s="603"/>
      <c r="Z37" s="603"/>
      <c r="AA37" s="48"/>
      <c r="AB37" s="48"/>
      <c r="AC37" s="48"/>
    </row>
    <row r="38" spans="1:68" ht="16.5" customHeight="1" x14ac:dyDescent="0.25">
      <c r="A38" s="563" t="s">
        <v>98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0"/>
      <c r="AB38" s="540"/>
      <c r="AC38" s="540"/>
    </row>
    <row r="39" spans="1:68" ht="14.25" customHeight="1" x14ac:dyDescent="0.25">
      <c r="A39" s="568" t="s">
        <v>99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15</v>
      </c>
      <c r="Y40" s="546">
        <f>IFERROR(IF(X40="",0,CEILING((X40/$H40),1)*$H40),"")</f>
        <v>21.6</v>
      </c>
      <c r="Z40" s="36">
        <f>IFERROR(IF(Y40=0,"",ROUNDUP(Y40/H40,0)*0.01898),"")</f>
        <v>3.7960000000000001E-2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15.604166666666664</v>
      </c>
      <c r="BN40" s="64">
        <f>IFERROR(Y40*I40/H40,"0")</f>
        <v>22.47</v>
      </c>
      <c r="BO40" s="64">
        <f>IFERROR(1/J40*(X40/H40),"0")</f>
        <v>2.1701388888888888E-2</v>
      </c>
      <c r="BP40" s="64">
        <f>IFERROR(1/J40*(Y40/H40),"0")</f>
        <v>3.125E-2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 t="s">
        <v>110</v>
      </c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67</v>
      </c>
      <c r="Y42" s="546">
        <f>IFERROR(IF(X42="",0,CEILING((X42/$H42),1)*$H42),"")</f>
        <v>70.3</v>
      </c>
      <c r="Z42" s="36">
        <f>IFERROR(IF(Y42=0,"",ROUNDUP(Y42/H42,0)*0.00902),"")</f>
        <v>0.17138</v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70.802702702702703</v>
      </c>
      <c r="BN42" s="64">
        <f>IFERROR(Y42*I42/H42,"0")</f>
        <v>74.289999999999992</v>
      </c>
      <c r="BO42" s="64">
        <f>IFERROR(1/J42*(X42/H42),"0")</f>
        <v>0.13718263718263718</v>
      </c>
      <c r="BP42" s="64">
        <f>IFERROR(1/J42*(Y42/H42),"0")</f>
        <v>0.14393939393939395</v>
      </c>
    </row>
    <row r="43" spans="1:68" x14ac:dyDescent="0.2">
      <c r="A43" s="569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70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7">
        <f>IFERROR(X40/H40,"0")+IFERROR(X41/H41,"0")+IFERROR(X42/H42,"0")</f>
        <v>19.496996996996998</v>
      </c>
      <c r="Y43" s="547">
        <f>IFERROR(Y40/H40,"0")+IFERROR(Y41/H41,"0")+IFERROR(Y42/H42,"0")</f>
        <v>21</v>
      </c>
      <c r="Z43" s="547">
        <f>IFERROR(IF(Z40="",0,Z40),"0")+IFERROR(IF(Z41="",0,Z41),"0")+IFERROR(IF(Z42="",0,Z42),"0")</f>
        <v>0.20934</v>
      </c>
      <c r="AA43" s="548"/>
      <c r="AB43" s="548"/>
      <c r="AC43" s="548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0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7">
        <f>IFERROR(SUM(X40:X42),"0")</f>
        <v>82</v>
      </c>
      <c r="Y44" s="547">
        <f>IFERROR(SUM(Y40:Y42),"0")</f>
        <v>91.9</v>
      </c>
      <c r="Z44" s="37"/>
      <c r="AA44" s="548"/>
      <c r="AB44" s="548"/>
      <c r="AC44" s="548"/>
    </row>
    <row r="45" spans="1:68" ht="14.25" customHeight="1" x14ac:dyDescent="0.25">
      <c r="A45" s="568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1"/>
      <c r="AB45" s="541"/>
      <c r="AC45" s="541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70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0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3" t="s">
        <v>116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0"/>
      <c r="AB49" s="540"/>
      <c r="AC49" s="540"/>
    </row>
    <row r="50" spans="1:68" ht="14.25" customHeight="1" x14ac:dyDescent="0.25">
      <c r="A50" s="568" t="s">
        <v>99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1"/>
      <c r="AB50" s="541"/>
      <c r="AC50" s="541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56</v>
      </c>
      <c r="Y54" s="546">
        <f t="shared" si="0"/>
        <v>56</v>
      </c>
      <c r="Z54" s="36">
        <f>IFERROR(IF(Y54=0,"",ROUNDUP(Y54/H54,0)*0.00902),"")</f>
        <v>0.12628</v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58.94</v>
      </c>
      <c r="BN54" s="64">
        <f t="shared" si="2"/>
        <v>58.94</v>
      </c>
      <c r="BO54" s="64">
        <f t="shared" si="3"/>
        <v>0.10606060606060606</v>
      </c>
      <c r="BP54" s="64">
        <f t="shared" si="4"/>
        <v>0.10606060606060606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70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7">
        <f>IFERROR(X51/H51,"0")+IFERROR(X52/H52,"0")+IFERROR(X53/H53,"0")+IFERROR(X54/H54,"0")+IFERROR(X55/H55,"0")+IFERROR(X56/H56,"0")</f>
        <v>14</v>
      </c>
      <c r="Y57" s="547">
        <f>IFERROR(Y51/H51,"0")+IFERROR(Y52/H52,"0")+IFERROR(Y53/H53,"0")+IFERROR(Y54/H54,"0")+IFERROR(Y55/H55,"0")+IFERROR(Y56/H56,"0")</f>
        <v>14</v>
      </c>
      <c r="Z57" s="547">
        <f>IFERROR(IF(Z51="",0,Z51),"0")+IFERROR(IF(Z52="",0,Z52),"0")+IFERROR(IF(Z53="",0,Z53),"0")+IFERROR(IF(Z54="",0,Z54),"0")+IFERROR(IF(Z55="",0,Z55),"0")+IFERROR(IF(Z56="",0,Z56),"0")</f>
        <v>0.12628</v>
      </c>
      <c r="AA57" s="548"/>
      <c r="AB57" s="548"/>
      <c r="AC57" s="548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0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7">
        <f>IFERROR(SUM(X51:X56),"0")</f>
        <v>56</v>
      </c>
      <c r="Y58" s="547">
        <f>IFERROR(SUM(Y51:Y56),"0")</f>
        <v>56</v>
      </c>
      <c r="Z58" s="37"/>
      <c r="AA58" s="548"/>
      <c r="AB58" s="548"/>
      <c r="AC58" s="548"/>
    </row>
    <row r="59" spans="1:68" ht="14.25" customHeight="1" x14ac:dyDescent="0.25">
      <c r="A59" s="568" t="s">
        <v>135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15</v>
      </c>
      <c r="Y60" s="546">
        <f>IFERROR(IF(X60="",0,CEILING((X60/$H60),1)*$H60),"")</f>
        <v>21.6</v>
      </c>
      <c r="Z60" s="36">
        <f>IFERROR(IF(Y60=0,"",ROUNDUP(Y60/H60,0)*0.01898),"")</f>
        <v>3.7960000000000001E-2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15.604166666666664</v>
      </c>
      <c r="BN60" s="64">
        <f>IFERROR(Y60*I60/H60,"0")</f>
        <v>22.47</v>
      </c>
      <c r="BO60" s="64">
        <f>IFERROR(1/J60*(X60/H60),"0")</f>
        <v>2.1701388888888888E-2</v>
      </c>
      <c r="BP60" s="64">
        <f>IFERROR(1/J60*(Y60/H60),"0")</f>
        <v>3.125E-2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70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7">
        <f>IFERROR(X60/H60,"0")+IFERROR(X61/H61,"0")+IFERROR(X62/H62,"0")</f>
        <v>1.3888888888888888</v>
      </c>
      <c r="Y63" s="547">
        <f>IFERROR(Y60/H60,"0")+IFERROR(Y61/H61,"0")+IFERROR(Y62/H62,"0")</f>
        <v>2</v>
      </c>
      <c r="Z63" s="547">
        <f>IFERROR(IF(Z60="",0,Z60),"0")+IFERROR(IF(Z61="",0,Z61),"0")+IFERROR(IF(Z62="",0,Z62),"0")</f>
        <v>3.7960000000000001E-2</v>
      </c>
      <c r="AA63" s="548"/>
      <c r="AB63" s="548"/>
      <c r="AC63" s="548"/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70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7">
        <f>IFERROR(SUM(X60:X62),"0")</f>
        <v>15</v>
      </c>
      <c r="Y64" s="547">
        <f>IFERROR(SUM(Y60:Y62),"0")</f>
        <v>21.6</v>
      </c>
      <c r="Z64" s="37"/>
      <c r="AA64" s="548"/>
      <c r="AB64" s="548"/>
      <c r="AC64" s="548"/>
    </row>
    <row r="65" spans="1:68" ht="14.25" customHeight="1" x14ac:dyDescent="0.25">
      <c r="A65" s="568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1"/>
      <c r="AB65" s="541"/>
      <c r="AC65" s="541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70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70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8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1"/>
      <c r="AB71" s="541"/>
      <c r="AC71" s="541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70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70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8" t="s">
        <v>165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1"/>
      <c r="AB79" s="541"/>
      <c r="AC79" s="541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5</v>
      </c>
      <c r="Y80" s="546">
        <f>IFERROR(IF(X80="",0,CEILING((X80/$H80),1)*$H80),"")</f>
        <v>7.8</v>
      </c>
      <c r="Z80" s="36">
        <f>IFERROR(IF(Y80=0,"",ROUNDUP(Y80/H80,0)*0.01898),"")</f>
        <v>1.898E-2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5.2788461538461533</v>
      </c>
      <c r="BN80" s="64">
        <f>IFERROR(Y80*I80/H80,"0")</f>
        <v>8.2349999999999994</v>
      </c>
      <c r="BO80" s="64">
        <f>IFERROR(1/J80*(X80/H80),"0")</f>
        <v>1.0016025641025642E-2</v>
      </c>
      <c r="BP80" s="64">
        <f>IFERROR(1/J80*(Y80/H80),"0")</f>
        <v>1.5625E-2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70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7">
        <f>IFERROR(X80/H80,"0")+IFERROR(X81/H81,"0")</f>
        <v>0.64102564102564108</v>
      </c>
      <c r="Y82" s="547">
        <f>IFERROR(Y80/H80,"0")+IFERROR(Y81/H81,"0")</f>
        <v>1</v>
      </c>
      <c r="Z82" s="547">
        <f>IFERROR(IF(Z80="",0,Z80),"0")+IFERROR(IF(Z81="",0,Z81),"0")</f>
        <v>1.898E-2</v>
      </c>
      <c r="AA82" s="548"/>
      <c r="AB82" s="548"/>
      <c r="AC82" s="548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70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7">
        <f>IFERROR(SUM(X80:X81),"0")</f>
        <v>5</v>
      </c>
      <c r="Y83" s="547">
        <f>IFERROR(SUM(Y80:Y81),"0")</f>
        <v>7.8</v>
      </c>
      <c r="Z83" s="37"/>
      <c r="AA83" s="548"/>
      <c r="AB83" s="548"/>
      <c r="AC83" s="548"/>
    </row>
    <row r="84" spans="1:68" ht="16.5" customHeight="1" x14ac:dyDescent="0.25">
      <c r="A84" s="563" t="s">
        <v>172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0"/>
      <c r="AB84" s="540"/>
      <c r="AC84" s="540"/>
    </row>
    <row r="85" spans="1:68" ht="14.25" customHeight="1" x14ac:dyDescent="0.25">
      <c r="A85" s="568" t="s">
        <v>99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54</v>
      </c>
      <c r="Y86" s="546">
        <f>IFERROR(IF(X86="",0,CEILING((X86/$H86),1)*$H86),"")</f>
        <v>54</v>
      </c>
      <c r="Z86" s="36">
        <f>IFERROR(IF(Y86=0,"",ROUNDUP(Y86/H86,0)*0.01898),"")</f>
        <v>9.4899999999999998E-2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56.17499999999999</v>
      </c>
      <c r="BN86" s="64">
        <f>IFERROR(Y86*I86/H86,"0")</f>
        <v>56.17499999999999</v>
      </c>
      <c r="BO86" s="64">
        <f>IFERROR(1/J86*(X86/H86),"0")</f>
        <v>7.8125E-2</v>
      </c>
      <c r="BP86" s="64">
        <f>IFERROR(1/J86*(Y86/H86),"0")</f>
        <v>7.8125E-2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3</v>
      </c>
      <c r="Y88" s="546">
        <f>IFERROR(IF(X88="",0,CEILING((X88/$H88),1)*$H88),"")</f>
        <v>4.5</v>
      </c>
      <c r="Z88" s="36">
        <f>IFERROR(IF(Y88=0,"",ROUNDUP(Y88/H88,0)*0.00902),"")</f>
        <v>9.0200000000000002E-3</v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3.1399999999999997</v>
      </c>
      <c r="BN88" s="64">
        <f>IFERROR(Y88*I88/H88,"0")</f>
        <v>4.71</v>
      </c>
      <c r="BO88" s="64">
        <f>IFERROR(1/J88*(X88/H88),"0")</f>
        <v>5.0505050505050501E-3</v>
      </c>
      <c r="BP88" s="64">
        <f>IFERROR(1/J88*(Y88/H88),"0")</f>
        <v>7.575757575757576E-3</v>
      </c>
    </row>
    <row r="89" spans="1:68" x14ac:dyDescent="0.2">
      <c r="A89" s="569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70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7">
        <f>IFERROR(X86/H86,"0")+IFERROR(X87/H87,"0")+IFERROR(X88/H88,"0")</f>
        <v>5.666666666666667</v>
      </c>
      <c r="Y89" s="547">
        <f>IFERROR(Y86/H86,"0")+IFERROR(Y87/H87,"0")+IFERROR(Y88/H88,"0")</f>
        <v>6</v>
      </c>
      <c r="Z89" s="547">
        <f>IFERROR(IF(Z86="",0,Z86),"0")+IFERROR(IF(Z87="",0,Z87),"0")+IFERROR(IF(Z88="",0,Z88),"0")</f>
        <v>0.10392</v>
      </c>
      <c r="AA89" s="548"/>
      <c r="AB89" s="548"/>
      <c r="AC89" s="548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70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7">
        <f>IFERROR(SUM(X86:X88),"0")</f>
        <v>57</v>
      </c>
      <c r="Y90" s="547">
        <f>IFERROR(SUM(Y86:Y88),"0")</f>
        <v>58.5</v>
      </c>
      <c r="Z90" s="37"/>
      <c r="AA90" s="548"/>
      <c r="AB90" s="548"/>
      <c r="AC90" s="548"/>
    </row>
    <row r="91" spans="1:68" ht="14.25" customHeight="1" x14ac:dyDescent="0.25">
      <c r="A91" s="568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36</v>
      </c>
      <c r="Y92" s="546">
        <f>IFERROR(IF(X92="",0,CEILING((X92/$H92),1)*$H92),"")</f>
        <v>40.5</v>
      </c>
      <c r="Z92" s="36">
        <f>IFERROR(IF(Y92=0,"",ROUNDUP(Y92/H92,0)*0.01898),"")</f>
        <v>9.4899999999999998E-2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38.306666666666665</v>
      </c>
      <c r="BN92" s="64">
        <f>IFERROR(Y92*I92/H92,"0")</f>
        <v>43.095000000000006</v>
      </c>
      <c r="BO92" s="64">
        <f>IFERROR(1/J92*(X92/H92),"0")</f>
        <v>6.9444444444444448E-2</v>
      </c>
      <c r="BP92" s="64">
        <f>IFERROR(1/J92*(Y92/H92),"0")</f>
        <v>7.8125E-2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44</v>
      </c>
      <c r="Y94" s="546">
        <f>IFERROR(IF(X94="",0,CEILING((X94/$H94),1)*$H94),"")</f>
        <v>45.900000000000006</v>
      </c>
      <c r="Z94" s="36">
        <f>IFERROR(IF(Y94=0,"",ROUNDUP(Y94/H94,0)*0.00651),"")</f>
        <v>0.11067</v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48.106666666666662</v>
      </c>
      <c r="BN94" s="64">
        <f>IFERROR(Y94*I94/H94,"0")</f>
        <v>50.183999999999997</v>
      </c>
      <c r="BO94" s="64">
        <f>IFERROR(1/J94*(X94/H94),"0")</f>
        <v>8.9540089540089532E-2</v>
      </c>
      <c r="BP94" s="64">
        <f>IFERROR(1/J94*(Y94/H94),"0")</f>
        <v>9.3406593406593408E-2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70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7">
        <f>IFERROR(X92/H92,"0")+IFERROR(X93/H93,"0")+IFERROR(X94/H94,"0")+IFERROR(X95/H95,"0")</f>
        <v>20.74074074074074</v>
      </c>
      <c r="Y96" s="547">
        <f>IFERROR(Y92/H92,"0")+IFERROR(Y93/H93,"0")+IFERROR(Y94/H94,"0")+IFERROR(Y95/H95,"0")</f>
        <v>22</v>
      </c>
      <c r="Z96" s="547">
        <f>IFERROR(IF(Z92="",0,Z92),"0")+IFERROR(IF(Z93="",0,Z93),"0")+IFERROR(IF(Z94="",0,Z94),"0")+IFERROR(IF(Z95="",0,Z95),"0")</f>
        <v>0.20557</v>
      </c>
      <c r="AA96" s="548"/>
      <c r="AB96" s="548"/>
      <c r="AC96" s="548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70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7">
        <f>IFERROR(SUM(X92:X95),"0")</f>
        <v>80</v>
      </c>
      <c r="Y97" s="547">
        <f>IFERROR(SUM(Y92:Y95),"0")</f>
        <v>86.4</v>
      </c>
      <c r="Z97" s="37"/>
      <c r="AA97" s="548"/>
      <c r="AB97" s="548"/>
      <c r="AC97" s="548"/>
    </row>
    <row r="98" spans="1:68" ht="16.5" customHeight="1" x14ac:dyDescent="0.25">
      <c r="A98" s="563" t="s">
        <v>192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0"/>
      <c r="AB98" s="540"/>
      <c r="AC98" s="540"/>
    </row>
    <row r="99" spans="1:68" ht="14.25" customHeight="1" x14ac:dyDescent="0.25">
      <c r="A99" s="568" t="s">
        <v>99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64</v>
      </c>
      <c r="Y100" s="546">
        <f>IFERROR(IF(X100="",0,CEILING((X100/$H100),1)*$H100),"")</f>
        <v>64.800000000000011</v>
      </c>
      <c r="Z100" s="36">
        <f>IFERROR(IF(Y100=0,"",ROUNDUP(Y100/H100,0)*0.01898),"")</f>
        <v>0.11388000000000001</v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66.577777777777769</v>
      </c>
      <c r="BN100" s="64">
        <f>IFERROR(Y100*I100/H100,"0")</f>
        <v>67.410000000000011</v>
      </c>
      <c r="BO100" s="64">
        <f>IFERROR(1/J100*(X100/H100),"0")</f>
        <v>9.2592592592592587E-2</v>
      </c>
      <c r="BP100" s="64">
        <f>IFERROR(1/J100*(Y100/H100),"0")</f>
        <v>9.3750000000000014E-2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49</v>
      </c>
      <c r="Y102" s="546">
        <f>IFERROR(IF(X102="",0,CEILING((X102/$H102),1)*$H102),"")</f>
        <v>49.5</v>
      </c>
      <c r="Z102" s="36">
        <f>IFERROR(IF(Y102=0,"",ROUNDUP(Y102/H102,0)*0.00902),"")</f>
        <v>9.9220000000000003E-2</v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51.286666666666662</v>
      </c>
      <c r="BN102" s="64">
        <f>IFERROR(Y102*I102/H102,"0")</f>
        <v>51.81</v>
      </c>
      <c r="BO102" s="64">
        <f>IFERROR(1/J102*(X102/H102),"0")</f>
        <v>8.2491582491582491E-2</v>
      </c>
      <c r="BP102" s="64">
        <f>IFERROR(1/J102*(Y102/H102),"0")</f>
        <v>8.3333333333333343E-2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70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7">
        <f>IFERROR(X100/H100,"0")+IFERROR(X101/H101,"0")+IFERROR(X102/H102,"0")+IFERROR(X103/H103,"0")</f>
        <v>16.814814814814817</v>
      </c>
      <c r="Y104" s="547">
        <f>IFERROR(Y100/H100,"0")+IFERROR(Y101/H101,"0")+IFERROR(Y102/H102,"0")+IFERROR(Y103/H103,"0")</f>
        <v>17</v>
      </c>
      <c r="Z104" s="547">
        <f>IFERROR(IF(Z100="",0,Z100),"0")+IFERROR(IF(Z101="",0,Z101),"0")+IFERROR(IF(Z102="",0,Z102),"0")+IFERROR(IF(Z103="",0,Z103),"0")</f>
        <v>0.21310000000000001</v>
      </c>
      <c r="AA104" s="548"/>
      <c r="AB104" s="548"/>
      <c r="AC104" s="548"/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70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7">
        <f>IFERROR(SUM(X100:X103),"0")</f>
        <v>113</v>
      </c>
      <c r="Y105" s="547">
        <f>IFERROR(SUM(Y100:Y103),"0")</f>
        <v>114.30000000000001</v>
      </c>
      <c r="Z105" s="37"/>
      <c r="AA105" s="548"/>
      <c r="AB105" s="548"/>
      <c r="AC105" s="548"/>
    </row>
    <row r="106" spans="1:68" ht="14.25" customHeight="1" x14ac:dyDescent="0.25">
      <c r="A106" s="568" t="s">
        <v>135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4</v>
      </c>
      <c r="Y107" s="546">
        <f>IFERROR(IF(X107="",0,CEILING((X107/$H107),1)*$H107),"")</f>
        <v>10.8</v>
      </c>
      <c r="Z107" s="36">
        <f>IFERROR(IF(Y107=0,"",ROUNDUP(Y107/H107,0)*0.01898),"")</f>
        <v>1.898E-2</v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4.1611111111111105</v>
      </c>
      <c r="BN107" s="64">
        <f>IFERROR(Y107*I107/H107,"0")</f>
        <v>11.234999999999999</v>
      </c>
      <c r="BO107" s="64">
        <f>IFERROR(1/J107*(X107/H107),"0")</f>
        <v>5.7870370370370367E-3</v>
      </c>
      <c r="BP107" s="64">
        <f>IFERROR(1/J107*(Y107/H107),"0")</f>
        <v>1.5625E-2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 t="s">
        <v>188</v>
      </c>
      <c r="M109" s="33" t="s">
        <v>104</v>
      </c>
      <c r="N109" s="33"/>
      <c r="O109" s="32">
        <v>55</v>
      </c>
      <c r="P109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42</v>
      </c>
      <c r="Y109" s="546">
        <f>IFERROR(IF(X109="",0,CEILING((X109/$H109),1)*$H109),"")</f>
        <v>43.199999999999996</v>
      </c>
      <c r="Z109" s="36">
        <f>IFERROR(IF(Y109=0,"",ROUNDUP(Y109/H109,0)*0.00651),"")</f>
        <v>0.11718000000000001</v>
      </c>
      <c r="AA109" s="56"/>
      <c r="AB109" s="57"/>
      <c r="AC109" s="155" t="s">
        <v>204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45.15</v>
      </c>
      <c r="BN109" s="64">
        <f>IFERROR(Y109*I109/H109,"0")</f>
        <v>46.44</v>
      </c>
      <c r="BO109" s="64">
        <f>IFERROR(1/J109*(X109/H109),"0")</f>
        <v>9.6153846153846159E-2</v>
      </c>
      <c r="BP109" s="64">
        <f>IFERROR(1/J109*(Y109/H109),"0")</f>
        <v>9.8901098901098911E-2</v>
      </c>
    </row>
    <row r="110" spans="1:68" x14ac:dyDescent="0.2">
      <c r="A110" s="569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70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7">
        <f>IFERROR(X107/H107,"0")+IFERROR(X108/H108,"0")+IFERROR(X109/H109,"0")</f>
        <v>17.87037037037037</v>
      </c>
      <c r="Y110" s="547">
        <f>IFERROR(Y107/H107,"0")+IFERROR(Y108/H108,"0")+IFERROR(Y109/H109,"0")</f>
        <v>19</v>
      </c>
      <c r="Z110" s="547">
        <f>IFERROR(IF(Z107="",0,Z107),"0")+IFERROR(IF(Z108="",0,Z108),"0")+IFERROR(IF(Z109="",0,Z109),"0")</f>
        <v>0.13616</v>
      </c>
      <c r="AA110" s="548"/>
      <c r="AB110" s="548"/>
      <c r="AC110" s="548"/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70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7">
        <f>IFERROR(SUM(X107:X109),"0")</f>
        <v>46</v>
      </c>
      <c r="Y111" s="547">
        <f>IFERROR(SUM(Y107:Y109),"0")</f>
        <v>54</v>
      </c>
      <c r="Z111" s="37"/>
      <c r="AA111" s="548"/>
      <c r="AB111" s="548"/>
      <c r="AC111" s="548"/>
    </row>
    <row r="112" spans="1:68" ht="14.25" customHeight="1" x14ac:dyDescent="0.25">
      <c r="A112" s="568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85</v>
      </c>
      <c r="Y115" s="546">
        <f>IFERROR(IF(X115="",0,CEILING((X115/$H115),1)*$H115),"")</f>
        <v>86.4</v>
      </c>
      <c r="Z115" s="36">
        <f>IFERROR(IF(Y115=0,"",ROUNDUP(Y115/H115,0)*0.00651),"")</f>
        <v>0.20832000000000001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92.933333333333323</v>
      </c>
      <c r="BN115" s="64">
        <f>IFERROR(Y115*I115/H115,"0")</f>
        <v>94.463999999999999</v>
      </c>
      <c r="BO115" s="64">
        <f>IFERROR(1/J115*(X115/H115),"0")</f>
        <v>0.17297517297517298</v>
      </c>
      <c r="BP115" s="64">
        <f>IFERROR(1/J115*(Y115/H115),"0")</f>
        <v>0.17582417582417584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70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7">
        <f>IFERROR(X113/H113,"0")+IFERROR(X114/H114,"0")+IFERROR(X115/H115,"0")+IFERROR(X116/H116,"0")</f>
        <v>31.481481481481481</v>
      </c>
      <c r="Y117" s="547">
        <f>IFERROR(Y113/H113,"0")+IFERROR(Y114/H114,"0")+IFERROR(Y115/H115,"0")+IFERROR(Y116/H116,"0")</f>
        <v>32</v>
      </c>
      <c r="Z117" s="547">
        <f>IFERROR(IF(Z113="",0,Z113),"0")+IFERROR(IF(Z114="",0,Z114),"0")+IFERROR(IF(Z115="",0,Z115),"0")+IFERROR(IF(Z116="",0,Z116),"0")</f>
        <v>0.20832000000000001</v>
      </c>
      <c r="AA117" s="548"/>
      <c r="AB117" s="548"/>
      <c r="AC117" s="548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70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7">
        <f>IFERROR(SUM(X113:X116),"0")</f>
        <v>85</v>
      </c>
      <c r="Y118" s="547">
        <f>IFERROR(SUM(Y113:Y116),"0")</f>
        <v>86.4</v>
      </c>
      <c r="Z118" s="37"/>
      <c r="AA118" s="548"/>
      <c r="AB118" s="548"/>
      <c r="AC118" s="548"/>
    </row>
    <row r="119" spans="1:68" ht="14.25" customHeight="1" x14ac:dyDescent="0.25">
      <c r="A119" s="568" t="s">
        <v>165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0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0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3" t="s">
        <v>222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0"/>
      <c r="AB123" s="540"/>
      <c r="AC123" s="540"/>
    </row>
    <row r="124" spans="1:68" ht="14.25" customHeight="1" x14ac:dyDescent="0.25">
      <c r="A124" s="568" t="s">
        <v>99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0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70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68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0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0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68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0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0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3" t="s">
        <v>97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0"/>
      <c r="AB139" s="540"/>
      <c r="AC139" s="540"/>
    </row>
    <row r="140" spans="1:68" ht="14.25" customHeight="1" x14ac:dyDescent="0.25">
      <c r="A140" s="568" t="s">
        <v>99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3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0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70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8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1"/>
      <c r="AB145" s="541"/>
      <c r="AC145" s="541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70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70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2" t="s">
        <v>250</v>
      </c>
      <c r="B151" s="603"/>
      <c r="C151" s="603"/>
      <c r="D151" s="603"/>
      <c r="E151" s="603"/>
      <c r="F151" s="603"/>
      <c r="G151" s="603"/>
      <c r="H151" s="603"/>
      <c r="I151" s="603"/>
      <c r="J151" s="603"/>
      <c r="K151" s="603"/>
      <c r="L151" s="603"/>
      <c r="M151" s="603"/>
      <c r="N151" s="603"/>
      <c r="O151" s="603"/>
      <c r="P151" s="603"/>
      <c r="Q151" s="603"/>
      <c r="R151" s="603"/>
      <c r="S151" s="603"/>
      <c r="T151" s="603"/>
      <c r="U151" s="603"/>
      <c r="V151" s="603"/>
      <c r="W151" s="603"/>
      <c r="X151" s="603"/>
      <c r="Y151" s="603"/>
      <c r="Z151" s="603"/>
      <c r="AA151" s="48"/>
      <c r="AB151" s="48"/>
      <c r="AC151" s="48"/>
    </row>
    <row r="152" spans="1:68" ht="16.5" customHeight="1" x14ac:dyDescent="0.25">
      <c r="A152" s="563" t="s">
        <v>251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0"/>
      <c r="AB152" s="540"/>
      <c r="AC152" s="540"/>
    </row>
    <row r="153" spans="1:68" ht="14.25" customHeight="1" x14ac:dyDescent="0.25">
      <c r="A153" s="568" t="s">
        <v>135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1"/>
      <c r="AB153" s="541"/>
      <c r="AC153" s="541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70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70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8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1"/>
      <c r="AB157" s="541"/>
      <c r="AC157" s="541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110</v>
      </c>
      <c r="M158" s="33" t="s">
        <v>68</v>
      </c>
      <c r="N158" s="33"/>
      <c r="O158" s="32">
        <v>40</v>
      </c>
      <c r="P158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13</v>
      </c>
      <c r="Y158" s="546">
        <f t="shared" ref="Y158:Y166" si="5">IFERROR(IF(X158="",0,CEILING((X158/$H158),1)*$H158),"")</f>
        <v>16.8</v>
      </c>
      <c r="Z158" s="36">
        <f>IFERROR(IF(Y158=0,"",ROUNDUP(Y158/H158,0)*0.00902),"")</f>
        <v>3.6080000000000001E-2</v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13.835714285714285</v>
      </c>
      <c r="BN158" s="64">
        <f t="shared" ref="BN158:BN166" si="7">IFERROR(Y158*I158/H158,"0")</f>
        <v>17.88</v>
      </c>
      <c r="BO158" s="64">
        <f t="shared" ref="BO158:BO166" si="8">IFERROR(1/J158*(X158/H158),"0")</f>
        <v>2.3448773448773448E-2</v>
      </c>
      <c r="BP158" s="64">
        <f t="shared" ref="BP158:BP166" si="9">IFERROR(1/J158*(Y158/H158),"0")</f>
        <v>3.0303030303030304E-2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 t="s">
        <v>266</v>
      </c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19</v>
      </c>
      <c r="Y163" s="546">
        <f t="shared" si="5"/>
        <v>19.8</v>
      </c>
      <c r="Z163" s="36">
        <f>IFERROR(IF(Y163=0,"",ROUNDUP(Y163/H163,0)*0.00502),"")</f>
        <v>5.5220000000000005E-2</v>
      </c>
      <c r="AA163" s="56"/>
      <c r="AB163" s="57"/>
      <c r="AC163" s="201" t="s">
        <v>271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20.372222222222224</v>
      </c>
      <c r="BN163" s="64">
        <f t="shared" si="7"/>
        <v>21.23</v>
      </c>
      <c r="BO163" s="64">
        <f t="shared" si="8"/>
        <v>4.5109211775878448E-2</v>
      </c>
      <c r="BP163" s="64">
        <f t="shared" si="9"/>
        <v>4.7008547008547015E-2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70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13.65079365079365</v>
      </c>
      <c r="Y167" s="547">
        <f>IFERROR(Y158/H158,"0")+IFERROR(Y159/H159,"0")+IFERROR(Y160/H160,"0")+IFERROR(Y161/H161,"0")+IFERROR(Y162/H162,"0")+IFERROR(Y163/H163,"0")+IFERROR(Y164/H164,"0")+IFERROR(Y165/H165,"0")+IFERROR(Y166/H166,"0")</f>
        <v>15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9.1300000000000006E-2</v>
      </c>
      <c r="AA167" s="548"/>
      <c r="AB167" s="548"/>
      <c r="AC167" s="548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70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7">
        <f>IFERROR(SUM(X158:X166),"0")</f>
        <v>32</v>
      </c>
      <c r="Y168" s="547">
        <f>IFERROR(SUM(Y158:Y166),"0")</f>
        <v>36.6</v>
      </c>
      <c r="Z168" s="37"/>
      <c r="AA168" s="548"/>
      <c r="AB168" s="548"/>
      <c r="AC168" s="548"/>
    </row>
    <row r="169" spans="1:68" ht="14.25" customHeight="1" x14ac:dyDescent="0.25">
      <c r="A169" s="568" t="s">
        <v>91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1"/>
      <c r="AB169" s="541"/>
      <c r="AC169" s="541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59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1</v>
      </c>
      <c r="Y172" s="546">
        <f>IFERROR(IF(X172="",0,CEILING((X172/$H172),1)*$H172),"")</f>
        <v>1.26</v>
      </c>
      <c r="Z172" s="36">
        <f>IFERROR(IF(Y172=0,"",ROUNDUP(Y172/H172,0)*0.0059),"")</f>
        <v>5.8999999999999999E-3</v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1.1507936507936507</v>
      </c>
      <c r="BN172" s="64">
        <f>IFERROR(Y172*I172/H172,"0")</f>
        <v>1.45</v>
      </c>
      <c r="BO172" s="64">
        <f>IFERROR(1/J172*(X172/H172),"0")</f>
        <v>3.6743092298647849E-3</v>
      </c>
      <c r="BP172" s="64">
        <f>IFERROR(1/J172*(Y172/H172),"0")</f>
        <v>4.6296296296296294E-3</v>
      </c>
    </row>
    <row r="173" spans="1:68" x14ac:dyDescent="0.2">
      <c r="A173" s="569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70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7">
        <f>IFERROR(X170/H170,"0")+IFERROR(X171/H171,"0")+IFERROR(X172/H172,"0")</f>
        <v>0.79365079365079361</v>
      </c>
      <c r="Y173" s="547">
        <f>IFERROR(Y170/H170,"0")+IFERROR(Y171/H171,"0")+IFERROR(Y172/H172,"0")</f>
        <v>1</v>
      </c>
      <c r="Z173" s="547">
        <f>IFERROR(IF(Z170="",0,Z170),"0")+IFERROR(IF(Z171="",0,Z171),"0")+IFERROR(IF(Z172="",0,Z172),"0")</f>
        <v>5.8999999999999999E-3</v>
      </c>
      <c r="AA173" s="548"/>
      <c r="AB173" s="548"/>
      <c r="AC173" s="548"/>
    </row>
    <row r="174" spans="1:68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70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7">
        <f>IFERROR(SUM(X170:X172),"0")</f>
        <v>1</v>
      </c>
      <c r="Y174" s="547">
        <f>IFERROR(SUM(Y170:Y172),"0")</f>
        <v>1.26</v>
      </c>
      <c r="Z174" s="37"/>
      <c r="AA174" s="548"/>
      <c r="AB174" s="548"/>
      <c r="AC174" s="548"/>
    </row>
    <row r="175" spans="1:68" ht="14.25" customHeight="1" x14ac:dyDescent="0.25">
      <c r="A175" s="568" t="s">
        <v>289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1"/>
      <c r="AB175" s="541"/>
      <c r="AC175" s="541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0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0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3" t="s">
        <v>292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0"/>
      <c r="AB179" s="540"/>
      <c r="AC179" s="540"/>
    </row>
    <row r="180" spans="1:68" ht="14.25" customHeight="1" x14ac:dyDescent="0.25">
      <c r="A180" s="568" t="s">
        <v>99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1"/>
      <c r="AB180" s="541"/>
      <c r="AC180" s="541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70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70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8" t="s">
        <v>135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1"/>
      <c r="AB185" s="541"/>
      <c r="AC185" s="541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 t="s">
        <v>188</v>
      </c>
      <c r="M187" s="33" t="s">
        <v>104</v>
      </c>
      <c r="N187" s="33"/>
      <c r="O187" s="32">
        <v>50</v>
      </c>
      <c r="P187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0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70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8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1"/>
      <c r="AB190" s="541"/>
      <c r="AC190" s="541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56</v>
      </c>
      <c r="Y191" s="546">
        <f t="shared" ref="Y191:Y198" si="10">IFERROR(IF(X191="",0,CEILING((X191/$H191),1)*$H191),"")</f>
        <v>59.400000000000006</v>
      </c>
      <c r="Z191" s="36">
        <f>IFERROR(IF(Y191=0,"",ROUNDUP(Y191/H191,0)*0.00902),"")</f>
        <v>9.9220000000000003E-2</v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58.177777777777777</v>
      </c>
      <c r="BN191" s="64">
        <f t="shared" ref="BN191:BN198" si="12">IFERROR(Y191*I191/H191,"0")</f>
        <v>61.71</v>
      </c>
      <c r="BO191" s="64">
        <f t="shared" ref="BO191:BO198" si="13">IFERROR(1/J191*(X191/H191),"0")</f>
        <v>7.8563411896745233E-2</v>
      </c>
      <c r="BP191" s="64">
        <f t="shared" ref="BP191:BP198" si="14">IFERROR(1/J191*(Y191/H191),"0")</f>
        <v>8.3333333333333343E-2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52</v>
      </c>
      <c r="Y194" s="546">
        <f t="shared" si="10"/>
        <v>54</v>
      </c>
      <c r="Z194" s="36">
        <f>IFERROR(IF(Y194=0,"",ROUNDUP(Y194/H194,0)*0.00902),"")</f>
        <v>9.0200000000000002E-2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54.022222222222226</v>
      </c>
      <c r="BN194" s="64">
        <f t="shared" si="12"/>
        <v>56.099999999999994</v>
      </c>
      <c r="BO194" s="64">
        <f t="shared" si="13"/>
        <v>7.2951739618406286E-2</v>
      </c>
      <c r="BP194" s="64">
        <f t="shared" si="14"/>
        <v>7.575757575757576E-2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31</v>
      </c>
      <c r="Y195" s="546">
        <f t="shared" si="10"/>
        <v>32.4</v>
      </c>
      <c r="Z195" s="36">
        <f>IFERROR(IF(Y195=0,"",ROUNDUP(Y195/H195,0)*0.00502),"")</f>
        <v>9.0359999999999996E-2</v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33.238888888888887</v>
      </c>
      <c r="BN195" s="64">
        <f t="shared" si="12"/>
        <v>34.739999999999995</v>
      </c>
      <c r="BO195" s="64">
        <f t="shared" si="13"/>
        <v>7.3599240265906932E-2</v>
      </c>
      <c r="BP195" s="64">
        <f t="shared" si="14"/>
        <v>7.6923076923076927E-2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15</v>
      </c>
      <c r="Y196" s="546">
        <f t="shared" si="10"/>
        <v>16.2</v>
      </c>
      <c r="Z196" s="36">
        <f>IFERROR(IF(Y196=0,"",ROUNDUP(Y196/H196,0)*0.00502),"")</f>
        <v>4.5179999999999998E-2</v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15.833333333333332</v>
      </c>
      <c r="BN196" s="64">
        <f t="shared" si="12"/>
        <v>17.099999999999998</v>
      </c>
      <c r="BO196" s="64">
        <f t="shared" si="13"/>
        <v>3.561253561253562E-2</v>
      </c>
      <c r="BP196" s="64">
        <f t="shared" si="14"/>
        <v>3.8461538461538464E-2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18</v>
      </c>
      <c r="Y198" s="546">
        <f t="shared" si="10"/>
        <v>18</v>
      </c>
      <c r="Z198" s="36">
        <f>IFERROR(IF(Y198=0,"",ROUNDUP(Y198/H198,0)*0.00502),"")</f>
        <v>5.0200000000000002E-2</v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18.999999999999996</v>
      </c>
      <c r="BN198" s="64">
        <f t="shared" si="12"/>
        <v>18.999999999999996</v>
      </c>
      <c r="BO198" s="64">
        <f t="shared" si="13"/>
        <v>4.2735042735042736E-2</v>
      </c>
      <c r="BP198" s="64">
        <f t="shared" si="14"/>
        <v>4.2735042735042736E-2</v>
      </c>
    </row>
    <row r="199" spans="1:68" x14ac:dyDescent="0.2">
      <c r="A199" s="569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70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55.555555555555557</v>
      </c>
      <c r="Y199" s="547">
        <f>IFERROR(Y191/H191,"0")+IFERROR(Y192/H192,"0")+IFERROR(Y193/H193,"0")+IFERROR(Y194/H194,"0")+IFERROR(Y195/H195,"0")+IFERROR(Y196/H196,"0")+IFERROR(Y197/H197,"0")+IFERROR(Y198/H198,"0")</f>
        <v>58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0.37516000000000005</v>
      </c>
      <c r="AA199" s="548"/>
      <c r="AB199" s="548"/>
      <c r="AC199" s="548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70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7">
        <f>IFERROR(SUM(X191:X198),"0")</f>
        <v>172</v>
      </c>
      <c r="Y200" s="547">
        <f>IFERROR(SUM(Y191:Y198),"0")</f>
        <v>180</v>
      </c>
      <c r="Z200" s="37"/>
      <c r="AA200" s="548"/>
      <c r="AB200" s="548"/>
      <c r="AC200" s="548"/>
    </row>
    <row r="201" spans="1:68" ht="14.25" customHeight="1" x14ac:dyDescent="0.25">
      <c r="A201" s="568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1"/>
      <c r="AB201" s="541"/>
      <c r="AC201" s="541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89</v>
      </c>
      <c r="Y205" s="546">
        <f t="shared" si="15"/>
        <v>91.2</v>
      </c>
      <c r="Z205" s="36">
        <f t="shared" ref="Z205:Z210" si="20">IFERROR(IF(Y205=0,"",ROUNDUP(Y205/H205,0)*0.00651),"")</f>
        <v>0.24738000000000002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99.012500000000003</v>
      </c>
      <c r="BN205" s="64">
        <f t="shared" si="17"/>
        <v>101.46</v>
      </c>
      <c r="BO205" s="64">
        <f t="shared" si="18"/>
        <v>0.20375457875457878</v>
      </c>
      <c r="BP205" s="64">
        <f t="shared" si="19"/>
        <v>0.2087912087912088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99</v>
      </c>
      <c r="Y207" s="546">
        <f t="shared" si="15"/>
        <v>100.8</v>
      </c>
      <c r="Z207" s="36">
        <f t="shared" si="20"/>
        <v>0.27342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109.39500000000001</v>
      </c>
      <c r="BN207" s="64">
        <f t="shared" si="17"/>
        <v>111.384</v>
      </c>
      <c r="BO207" s="64">
        <f t="shared" si="18"/>
        <v>0.22664835164835168</v>
      </c>
      <c r="BP207" s="64">
        <f t="shared" si="19"/>
        <v>0.23076923076923078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64</v>
      </c>
      <c r="Y209" s="546">
        <f t="shared" si="15"/>
        <v>64.8</v>
      </c>
      <c r="Z209" s="36">
        <f t="shared" si="20"/>
        <v>0.17577000000000001</v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70.720000000000013</v>
      </c>
      <c r="BN209" s="64">
        <f t="shared" si="17"/>
        <v>71.604000000000013</v>
      </c>
      <c r="BO209" s="64">
        <f t="shared" si="18"/>
        <v>0.14652014652014653</v>
      </c>
      <c r="BP209" s="64">
        <f t="shared" si="19"/>
        <v>0.14835164835164835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36</v>
      </c>
      <c r="Y210" s="546">
        <f t="shared" si="15"/>
        <v>36</v>
      </c>
      <c r="Z210" s="36">
        <f t="shared" si="20"/>
        <v>9.7650000000000001E-2</v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39.870000000000005</v>
      </c>
      <c r="BN210" s="64">
        <f t="shared" si="17"/>
        <v>39.870000000000005</v>
      </c>
      <c r="BO210" s="64">
        <f t="shared" si="18"/>
        <v>8.241758241758243E-2</v>
      </c>
      <c r="BP210" s="64">
        <f t="shared" si="19"/>
        <v>8.241758241758243E-2</v>
      </c>
    </row>
    <row r="211" spans="1:68" x14ac:dyDescent="0.2">
      <c r="A211" s="569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70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120.00000000000001</v>
      </c>
      <c r="Y211" s="547">
        <f>IFERROR(Y202/H202,"0")+IFERROR(Y203/H203,"0")+IFERROR(Y204/H204,"0")+IFERROR(Y205/H205,"0")+IFERROR(Y206/H206,"0")+IFERROR(Y207/H207,"0")+IFERROR(Y208/H208,"0")+IFERROR(Y209/H209,"0")+IFERROR(Y210/H210,"0")</f>
        <v>122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0.79422000000000004</v>
      </c>
      <c r="AA211" s="548"/>
      <c r="AB211" s="548"/>
      <c r="AC211" s="548"/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70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7">
        <f>IFERROR(SUM(X202:X210),"0")</f>
        <v>288</v>
      </c>
      <c r="Y212" s="547">
        <f>IFERROR(SUM(Y202:Y210),"0")</f>
        <v>292.8</v>
      </c>
      <c r="Z212" s="37"/>
      <c r="AA212" s="548"/>
      <c r="AB212" s="548"/>
      <c r="AC212" s="548"/>
    </row>
    <row r="213" spans="1:68" ht="14.25" customHeight="1" x14ac:dyDescent="0.25">
      <c r="A213" s="568" t="s">
        <v>165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1"/>
      <c r="AB213" s="541"/>
      <c r="AC213" s="541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188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188</v>
      </c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9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0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70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3" t="s">
        <v>352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0"/>
      <c r="AB218" s="540"/>
      <c r="AC218" s="540"/>
    </row>
    <row r="219" spans="1:68" ht="14.25" customHeight="1" x14ac:dyDescent="0.25">
      <c r="A219" s="568" t="s">
        <v>99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1"/>
      <c r="AB219" s="541"/>
      <c r="AC219" s="541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7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11</v>
      </c>
      <c r="Y224" s="546">
        <f t="shared" si="21"/>
        <v>12</v>
      </c>
      <c r="Z224" s="36">
        <f t="shared" ref="Z224:Z229" si="26">IFERROR(IF(Y224=0,"",ROUNDUP(Y224/H224,0)*0.00902),"")</f>
        <v>2.7060000000000001E-2</v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11.577500000000001</v>
      </c>
      <c r="BN224" s="64">
        <f t="shared" si="23"/>
        <v>12.629999999999999</v>
      </c>
      <c r="BO224" s="64">
        <f t="shared" si="24"/>
        <v>2.0833333333333336E-2</v>
      </c>
      <c r="BP224" s="64">
        <f t="shared" si="25"/>
        <v>2.2727272727272728E-2</v>
      </c>
    </row>
    <row r="225" spans="1:68" ht="27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9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70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2.75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3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2.7060000000000001E-2</v>
      </c>
      <c r="AA230" s="548"/>
      <c r="AB230" s="548"/>
      <c r="AC230" s="548"/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0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7">
        <f>IFERROR(SUM(X220:X229),"0")</f>
        <v>11</v>
      </c>
      <c r="Y231" s="547">
        <f>IFERROR(SUM(Y220:Y229),"0")</f>
        <v>12</v>
      </c>
      <c r="Z231" s="37"/>
      <c r="AA231" s="548"/>
      <c r="AB231" s="548"/>
      <c r="AC231" s="548"/>
    </row>
    <row r="232" spans="1:68" ht="14.25" customHeight="1" x14ac:dyDescent="0.25">
      <c r="A232" s="568" t="s">
        <v>135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1"/>
      <c r="AB232" s="541"/>
      <c r="AC232" s="541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9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70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0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8" t="s">
        <v>381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1"/>
      <c r="AB236" s="541"/>
      <c r="AC236" s="541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1</v>
      </c>
      <c r="Y237" s="546">
        <f>IFERROR(IF(X237="",0,CEILING((X237/$H237),1)*$H237),"")</f>
        <v>1.8</v>
      </c>
      <c r="Z237" s="36">
        <f>IFERROR(IF(Y237=0,"",ROUNDUP(Y237/H237,0)*0.0059),"")</f>
        <v>5.8999999999999999E-3</v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1.0972222222222223</v>
      </c>
      <c r="BN237" s="64">
        <f>IFERROR(Y237*I237/H237,"0")</f>
        <v>1.9750000000000001</v>
      </c>
      <c r="BO237" s="64">
        <f>IFERROR(1/J237*(X237/H237),"0")</f>
        <v>2.5720164609053498E-3</v>
      </c>
      <c r="BP237" s="64">
        <f>IFERROR(1/J237*(Y237/H237),"0")</f>
        <v>4.6296296296296294E-3</v>
      </c>
    </row>
    <row r="238" spans="1:68" x14ac:dyDescent="0.2">
      <c r="A238" s="569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70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7">
        <f>IFERROR(X237/H237,"0")</f>
        <v>0.55555555555555558</v>
      </c>
      <c r="Y238" s="547">
        <f>IFERROR(Y237/H237,"0")</f>
        <v>1</v>
      </c>
      <c r="Z238" s="547">
        <f>IFERROR(IF(Z237="",0,Z237),"0")</f>
        <v>5.8999999999999999E-3</v>
      </c>
      <c r="AA238" s="548"/>
      <c r="AB238" s="548"/>
      <c r="AC238" s="548"/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0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7">
        <f>IFERROR(SUM(X237:X237),"0")</f>
        <v>1</v>
      </c>
      <c r="Y239" s="547">
        <f>IFERROR(SUM(Y237:Y237),"0")</f>
        <v>1.8</v>
      </c>
      <c r="Z239" s="37"/>
      <c r="AA239" s="548"/>
      <c r="AB239" s="548"/>
      <c r="AC239" s="548"/>
    </row>
    <row r="240" spans="1:68" ht="14.25" customHeight="1" x14ac:dyDescent="0.25">
      <c r="A240" s="568" t="s">
        <v>385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1"/>
      <c r="AB240" s="541"/>
      <c r="AC240" s="541"/>
    </row>
    <row r="241" spans="1:68" ht="27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4</v>
      </c>
      <c r="Y245" s="546">
        <f>IFERROR(IF(X245="",0,CEILING((X245/$H245),1)*$H245),"")</f>
        <v>4.95</v>
      </c>
      <c r="Z245" s="36">
        <f>IFERROR(IF(Y245=0,"",ROUNDUP(Y245/H245,0)*0.0059),"")</f>
        <v>2.9499999999999998E-2</v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4.7676767676767673</v>
      </c>
      <c r="BN245" s="64">
        <f>IFERROR(Y245*I245/H245,"0")</f>
        <v>5.9</v>
      </c>
      <c r="BO245" s="64">
        <f>IFERROR(1/J245*(X245/H245),"0")</f>
        <v>1.8705574261129818E-2</v>
      </c>
      <c r="BP245" s="64">
        <f>IFERROR(1/J245*(Y245/H245),"0")</f>
        <v>2.3148148148148147E-2</v>
      </c>
    </row>
    <row r="246" spans="1:68" x14ac:dyDescent="0.2">
      <c r="A246" s="569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70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7">
        <f>IFERROR(X241/H241,"0")+IFERROR(X242/H242,"0")+IFERROR(X243/H243,"0")+IFERROR(X244/H244,"0")+IFERROR(X245/H245,"0")</f>
        <v>4.0404040404040407</v>
      </c>
      <c r="Y246" s="547">
        <f>IFERROR(Y241/H241,"0")+IFERROR(Y242/H242,"0")+IFERROR(Y243/H243,"0")+IFERROR(Y244/H244,"0")+IFERROR(Y245/H245,"0")</f>
        <v>5</v>
      </c>
      <c r="Z246" s="547">
        <f>IFERROR(IF(Z241="",0,Z241),"0")+IFERROR(IF(Z242="",0,Z242),"0")+IFERROR(IF(Z243="",0,Z243),"0")+IFERROR(IF(Z244="",0,Z244),"0")+IFERROR(IF(Z245="",0,Z245),"0")</f>
        <v>2.9499999999999998E-2</v>
      </c>
      <c r="AA246" s="548"/>
      <c r="AB246" s="548"/>
      <c r="AC246" s="548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0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7">
        <f>IFERROR(SUM(X241:X245),"0")</f>
        <v>4</v>
      </c>
      <c r="Y247" s="547">
        <f>IFERROR(SUM(Y241:Y245),"0")</f>
        <v>4.95</v>
      </c>
      <c r="Z247" s="37"/>
      <c r="AA247" s="548"/>
      <c r="AB247" s="548"/>
      <c r="AC247" s="548"/>
    </row>
    <row r="248" spans="1:68" ht="16.5" customHeight="1" x14ac:dyDescent="0.25">
      <c r="A248" s="563" t="s">
        <v>397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0"/>
      <c r="AB248" s="540"/>
      <c r="AC248" s="540"/>
    </row>
    <row r="249" spans="1:68" ht="14.25" customHeight="1" x14ac:dyDescent="0.25">
      <c r="A249" s="568" t="s">
        <v>99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1"/>
      <c r="AB249" s="541"/>
      <c r="AC249" s="541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9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70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0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3" t="s">
        <v>413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0"/>
      <c r="AB257" s="540"/>
      <c r="AC257" s="540"/>
    </row>
    <row r="258" spans="1:68" ht="14.25" customHeight="1" x14ac:dyDescent="0.25">
      <c r="A258" s="568" t="s">
        <v>99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1"/>
      <c r="AB258" s="541"/>
      <c r="AC258" s="541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8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9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70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0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3" t="s">
        <v>425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0"/>
      <c r="AB265" s="540"/>
      <c r="AC265" s="540"/>
    </row>
    <row r="266" spans="1:68" ht="14.25" customHeight="1" x14ac:dyDescent="0.25">
      <c r="A266" s="568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1"/>
      <c r="AB266" s="541"/>
      <c r="AC266" s="541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9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70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0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63" t="s">
        <v>435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0"/>
      <c r="AB272" s="540"/>
      <c r="AC272" s="540"/>
    </row>
    <row r="273" spans="1:68" ht="14.25" customHeight="1" x14ac:dyDescent="0.25">
      <c r="A273" s="568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1"/>
      <c r="AB273" s="541"/>
      <c r="AC273" s="541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9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70"/>
      <c r="P275" s="560" t="s">
        <v>71</v>
      </c>
      <c r="Q275" s="561"/>
      <c r="R275" s="561"/>
      <c r="S275" s="561"/>
      <c r="T275" s="561"/>
      <c r="U275" s="561"/>
      <c r="V275" s="562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0"/>
      <c r="P276" s="560" t="s">
        <v>71</v>
      </c>
      <c r="Q276" s="561"/>
      <c r="R276" s="561"/>
      <c r="S276" s="561"/>
      <c r="T276" s="561"/>
      <c r="U276" s="561"/>
      <c r="V276" s="562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68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1"/>
      <c r="AB277" s="541"/>
      <c r="AC277" s="541"/>
    </row>
    <row r="278" spans="1:68" ht="37.5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9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70"/>
      <c r="P279" s="560" t="s">
        <v>71</v>
      </c>
      <c r="Q279" s="561"/>
      <c r="R279" s="561"/>
      <c r="S279" s="561"/>
      <c r="T279" s="561"/>
      <c r="U279" s="561"/>
      <c r="V279" s="562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0"/>
      <c r="P280" s="560" t="s">
        <v>71</v>
      </c>
      <c r="Q280" s="561"/>
      <c r="R280" s="561"/>
      <c r="S280" s="561"/>
      <c r="T280" s="561"/>
      <c r="U280" s="561"/>
      <c r="V280" s="562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63" t="s">
        <v>442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0"/>
      <c r="AB281" s="540"/>
      <c r="AC281" s="540"/>
    </row>
    <row r="282" spans="1:68" ht="14.25" customHeight="1" x14ac:dyDescent="0.25">
      <c r="A282" s="568" t="s">
        <v>99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1"/>
      <c r="AB282" s="541"/>
      <c r="AC282" s="541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9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70"/>
      <c r="P284" s="560" t="s">
        <v>71</v>
      </c>
      <c r="Q284" s="561"/>
      <c r="R284" s="561"/>
      <c r="S284" s="561"/>
      <c r="T284" s="561"/>
      <c r="U284" s="561"/>
      <c r="V284" s="562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0"/>
      <c r="P285" s="560" t="s">
        <v>71</v>
      </c>
      <c r="Q285" s="561"/>
      <c r="R285" s="561"/>
      <c r="S285" s="561"/>
      <c r="T285" s="561"/>
      <c r="U285" s="561"/>
      <c r="V285" s="562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63" t="s">
        <v>447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0"/>
      <c r="AB286" s="540"/>
      <c r="AC286" s="540"/>
    </row>
    <row r="287" spans="1:68" ht="14.25" customHeight="1" x14ac:dyDescent="0.25">
      <c r="A287" s="568" t="s">
        <v>99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1"/>
      <c r="AB287" s="541"/>
      <c r="AC287" s="541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9"/>
      <c r="B293" s="564"/>
      <c r="C293" s="564"/>
      <c r="D293" s="564"/>
      <c r="E293" s="564"/>
      <c r="F293" s="564"/>
      <c r="G293" s="564"/>
      <c r="H293" s="564"/>
      <c r="I293" s="564"/>
      <c r="J293" s="564"/>
      <c r="K293" s="564"/>
      <c r="L293" s="564"/>
      <c r="M293" s="564"/>
      <c r="N293" s="564"/>
      <c r="O293" s="570"/>
      <c r="P293" s="560" t="s">
        <v>71</v>
      </c>
      <c r="Q293" s="561"/>
      <c r="R293" s="561"/>
      <c r="S293" s="561"/>
      <c r="T293" s="561"/>
      <c r="U293" s="561"/>
      <c r="V293" s="562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70"/>
      <c r="P294" s="560" t="s">
        <v>71</v>
      </c>
      <c r="Q294" s="561"/>
      <c r="R294" s="561"/>
      <c r="S294" s="561"/>
      <c r="T294" s="561"/>
      <c r="U294" s="561"/>
      <c r="V294" s="562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customHeight="1" x14ac:dyDescent="0.25">
      <c r="A295" s="568" t="s">
        <v>64</v>
      </c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4"/>
      <c r="P295" s="564"/>
      <c r="Q295" s="564"/>
      <c r="R295" s="564"/>
      <c r="S295" s="564"/>
      <c r="T295" s="564"/>
      <c r="U295" s="564"/>
      <c r="V295" s="564"/>
      <c r="W295" s="564"/>
      <c r="X295" s="564"/>
      <c r="Y295" s="564"/>
      <c r="Z295" s="564"/>
      <c r="AA295" s="541"/>
      <c r="AB295" s="541"/>
      <c r="AC295" s="541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 t="s">
        <v>110</v>
      </c>
      <c r="M297" s="33" t="s">
        <v>68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106</v>
      </c>
      <c r="AK297" s="68">
        <v>50.4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10</v>
      </c>
      <c r="Y302" s="546">
        <f t="shared" si="27"/>
        <v>10.8</v>
      </c>
      <c r="Z302" s="36">
        <f>IFERROR(IF(Y302=0,"",ROUNDUP(Y302/H302,0)*0.00651),"")</f>
        <v>3.9059999999999997E-2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11.266666666666667</v>
      </c>
      <c r="BN302" s="64">
        <f t="shared" si="29"/>
        <v>12.167999999999999</v>
      </c>
      <c r="BO302" s="64">
        <f t="shared" si="30"/>
        <v>3.0525030525030528E-2</v>
      </c>
      <c r="BP302" s="64">
        <f t="shared" si="31"/>
        <v>3.2967032967032968E-2</v>
      </c>
    </row>
    <row r="303" spans="1:68" x14ac:dyDescent="0.2">
      <c r="A303" s="569"/>
      <c r="B303" s="564"/>
      <c r="C303" s="564"/>
      <c r="D303" s="564"/>
      <c r="E303" s="564"/>
      <c r="F303" s="564"/>
      <c r="G303" s="564"/>
      <c r="H303" s="564"/>
      <c r="I303" s="564"/>
      <c r="J303" s="564"/>
      <c r="K303" s="564"/>
      <c r="L303" s="564"/>
      <c r="M303" s="564"/>
      <c r="N303" s="564"/>
      <c r="O303" s="570"/>
      <c r="P303" s="560" t="s">
        <v>71</v>
      </c>
      <c r="Q303" s="561"/>
      <c r="R303" s="561"/>
      <c r="S303" s="561"/>
      <c r="T303" s="561"/>
      <c r="U303" s="561"/>
      <c r="V303" s="562"/>
      <c r="W303" s="37" t="s">
        <v>72</v>
      </c>
      <c r="X303" s="547">
        <f>IFERROR(X296/H296,"0")+IFERROR(X297/H297,"0")+IFERROR(X298/H298,"0")+IFERROR(X299/H299,"0")+IFERROR(X300/H300,"0")+IFERROR(X301/H301,"0")+IFERROR(X302/H302,"0")</f>
        <v>5.5555555555555554</v>
      </c>
      <c r="Y303" s="547">
        <f>IFERROR(Y296/H296,"0")+IFERROR(Y297/H297,"0")+IFERROR(Y298/H298,"0")+IFERROR(Y299/H299,"0")+IFERROR(Y300/H300,"0")+IFERROR(Y301/H301,"0")+IFERROR(Y302/H302,"0")</f>
        <v>6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3.9059999999999997E-2</v>
      </c>
      <c r="AA303" s="548"/>
      <c r="AB303" s="548"/>
      <c r="AC303" s="548"/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70"/>
      <c r="P304" s="560" t="s">
        <v>71</v>
      </c>
      <c r="Q304" s="561"/>
      <c r="R304" s="561"/>
      <c r="S304" s="561"/>
      <c r="T304" s="561"/>
      <c r="U304" s="561"/>
      <c r="V304" s="562"/>
      <c r="W304" s="37" t="s">
        <v>69</v>
      </c>
      <c r="X304" s="547">
        <f>IFERROR(SUM(X296:X302),"0")</f>
        <v>10</v>
      </c>
      <c r="Y304" s="547">
        <f>IFERROR(SUM(Y296:Y302),"0")</f>
        <v>10.8</v>
      </c>
      <c r="Z304" s="37"/>
      <c r="AA304" s="548"/>
      <c r="AB304" s="548"/>
      <c r="AC304" s="548"/>
    </row>
    <row r="305" spans="1:68" ht="14.25" customHeight="1" x14ac:dyDescent="0.25">
      <c r="A305" s="568" t="s">
        <v>73</v>
      </c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4"/>
      <c r="P305" s="564"/>
      <c r="Q305" s="564"/>
      <c r="R305" s="564"/>
      <c r="S305" s="564"/>
      <c r="T305" s="564"/>
      <c r="U305" s="564"/>
      <c r="V305" s="564"/>
      <c r="W305" s="564"/>
      <c r="X305" s="564"/>
      <c r="Y305" s="564"/>
      <c r="Z305" s="564"/>
      <c r="AA305" s="541"/>
      <c r="AB305" s="541"/>
      <c r="AC305" s="541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 t="s">
        <v>103</v>
      </c>
      <c r="M306" s="33" t="s">
        <v>77</v>
      </c>
      <c r="N306" s="33"/>
      <c r="O306" s="32">
        <v>40</v>
      </c>
      <c r="P306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 t="s">
        <v>106</v>
      </c>
      <c r="AK306" s="68">
        <v>62.4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 t="s">
        <v>188</v>
      </c>
      <c r="M310" s="33" t="s">
        <v>84</v>
      </c>
      <c r="N310" s="33"/>
      <c r="O310" s="32">
        <v>40</v>
      </c>
      <c r="P310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 t="s">
        <v>106</v>
      </c>
      <c r="AK310" s="68">
        <v>37.799999999999997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9"/>
      <c r="B311" s="564"/>
      <c r="C311" s="564"/>
      <c r="D311" s="564"/>
      <c r="E311" s="564"/>
      <c r="F311" s="564"/>
      <c r="G311" s="564"/>
      <c r="H311" s="564"/>
      <c r="I311" s="564"/>
      <c r="J311" s="564"/>
      <c r="K311" s="564"/>
      <c r="L311" s="564"/>
      <c r="M311" s="564"/>
      <c r="N311" s="564"/>
      <c r="O311" s="570"/>
      <c r="P311" s="560" t="s">
        <v>71</v>
      </c>
      <c r="Q311" s="561"/>
      <c r="R311" s="561"/>
      <c r="S311" s="561"/>
      <c r="T311" s="561"/>
      <c r="U311" s="561"/>
      <c r="V311" s="562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70"/>
      <c r="P312" s="560" t="s">
        <v>71</v>
      </c>
      <c r="Q312" s="561"/>
      <c r="R312" s="561"/>
      <c r="S312" s="561"/>
      <c r="T312" s="561"/>
      <c r="U312" s="561"/>
      <c r="V312" s="562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customHeight="1" x14ac:dyDescent="0.25">
      <c r="A313" s="568" t="s">
        <v>165</v>
      </c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4"/>
      <c r="P313" s="564"/>
      <c r="Q313" s="564"/>
      <c r="R313" s="564"/>
      <c r="S313" s="564"/>
      <c r="T313" s="564"/>
      <c r="U313" s="564"/>
      <c r="V313" s="564"/>
      <c r="W313" s="564"/>
      <c r="X313" s="564"/>
      <c r="Y313" s="564"/>
      <c r="Z313" s="564"/>
      <c r="AA313" s="541"/>
      <c r="AB313" s="541"/>
      <c r="AC313" s="541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7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24</v>
      </c>
      <c r="Y314" s="546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1" t="s">
        <v>498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25.482857142857142</v>
      </c>
      <c r="BN314" s="64">
        <f>IFERROR(Y314*I314/H314,"0")</f>
        <v>26.757000000000001</v>
      </c>
      <c r="BO314" s="64">
        <f>IFERROR(1/J314*(X314/H314),"0")</f>
        <v>4.4642857142857144E-2</v>
      </c>
      <c r="BP314" s="64">
        <f>IFERROR(1/J314*(Y314/H314),"0")</f>
        <v>4.6875E-2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5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9"/>
      <c r="B317" s="564"/>
      <c r="C317" s="564"/>
      <c r="D317" s="564"/>
      <c r="E317" s="564"/>
      <c r="F317" s="564"/>
      <c r="G317" s="564"/>
      <c r="H317" s="564"/>
      <c r="I317" s="564"/>
      <c r="J317" s="564"/>
      <c r="K317" s="564"/>
      <c r="L317" s="564"/>
      <c r="M317" s="564"/>
      <c r="N317" s="564"/>
      <c r="O317" s="570"/>
      <c r="P317" s="560" t="s">
        <v>71</v>
      </c>
      <c r="Q317" s="561"/>
      <c r="R317" s="561"/>
      <c r="S317" s="561"/>
      <c r="T317" s="561"/>
      <c r="U317" s="561"/>
      <c r="V317" s="562"/>
      <c r="W317" s="37" t="s">
        <v>72</v>
      </c>
      <c r="X317" s="547">
        <f>IFERROR(X314/H314,"0")+IFERROR(X315/H315,"0")+IFERROR(X316/H316,"0")</f>
        <v>2.8571428571428572</v>
      </c>
      <c r="Y317" s="547">
        <f>IFERROR(Y314/H314,"0")+IFERROR(Y315/H315,"0")+IFERROR(Y316/H316,"0")</f>
        <v>3</v>
      </c>
      <c r="Z317" s="547">
        <f>IFERROR(IF(Z314="",0,Z314),"0")+IFERROR(IF(Z315="",0,Z315),"0")+IFERROR(IF(Z316="",0,Z316),"0")</f>
        <v>5.6940000000000004E-2</v>
      </c>
      <c r="AA317" s="548"/>
      <c r="AB317" s="548"/>
      <c r="AC317" s="548"/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70"/>
      <c r="P318" s="560" t="s">
        <v>71</v>
      </c>
      <c r="Q318" s="561"/>
      <c r="R318" s="561"/>
      <c r="S318" s="561"/>
      <c r="T318" s="561"/>
      <c r="U318" s="561"/>
      <c r="V318" s="562"/>
      <c r="W318" s="37" t="s">
        <v>69</v>
      </c>
      <c r="X318" s="547">
        <f>IFERROR(SUM(X314:X316),"0")</f>
        <v>24</v>
      </c>
      <c r="Y318" s="547">
        <f>IFERROR(SUM(Y314:Y316),"0")</f>
        <v>25.200000000000003</v>
      </c>
      <c r="Z318" s="37"/>
      <c r="AA318" s="548"/>
      <c r="AB318" s="548"/>
      <c r="AC318" s="548"/>
    </row>
    <row r="319" spans="1:68" ht="14.25" customHeight="1" x14ac:dyDescent="0.25">
      <c r="A319" s="568" t="s">
        <v>91</v>
      </c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4"/>
      <c r="P319" s="564"/>
      <c r="Q319" s="564"/>
      <c r="R319" s="564"/>
      <c r="S319" s="564"/>
      <c r="T319" s="564"/>
      <c r="U319" s="564"/>
      <c r="V319" s="564"/>
      <c r="W319" s="564"/>
      <c r="X319" s="564"/>
      <c r="Y319" s="564"/>
      <c r="Z319" s="564"/>
      <c r="AA319" s="541"/>
      <c r="AB319" s="541"/>
      <c r="AC319" s="541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4</v>
      </c>
      <c r="Y320" s="546">
        <f>IFERROR(IF(X320="",0,CEILING((X320/$H320),1)*$H320),"")</f>
        <v>6.08</v>
      </c>
      <c r="Z320" s="36">
        <f>IFERROR(IF(Y320=0,"",ROUNDUP(Y320/H320,0)*0.00902),"")</f>
        <v>1.804E-2</v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4.3815789473684212</v>
      </c>
      <c r="BN320" s="64">
        <f>IFERROR(Y320*I320/H320,"0")</f>
        <v>6.66</v>
      </c>
      <c r="BO320" s="64">
        <f>IFERROR(1/J320*(X320/H320),"0")</f>
        <v>9.9681020733652318E-3</v>
      </c>
      <c r="BP320" s="64">
        <f>IFERROR(1/J320*(Y320/H320),"0")</f>
        <v>1.5151515151515152E-2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4</v>
      </c>
      <c r="Y321" s="546">
        <f>IFERROR(IF(X321="",0,CEILING((X321/$H321),1)*$H321),"")</f>
        <v>6.08</v>
      </c>
      <c r="Z321" s="36">
        <f>IFERROR(IF(Y321=0,"",ROUNDUP(Y321/H321,0)*0.00902),"")</f>
        <v>1.804E-2</v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4.3289473684210522</v>
      </c>
      <c r="BN321" s="64">
        <f>IFERROR(Y321*I321/H321,"0")</f>
        <v>6.58</v>
      </c>
      <c r="BO321" s="64">
        <f>IFERROR(1/J321*(X321/H321),"0")</f>
        <v>9.9681020733652318E-3</v>
      </c>
      <c r="BP321" s="64">
        <f>IFERROR(1/J321*(Y321/H321),"0")</f>
        <v>1.5151515151515152E-2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188</v>
      </c>
      <c r="M322" s="33" t="s">
        <v>94</v>
      </c>
      <c r="N322" s="33"/>
      <c r="O322" s="32">
        <v>180</v>
      </c>
      <c r="P322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8</v>
      </c>
      <c r="Y323" s="546">
        <f>IFERROR(IF(X323="",0,CEILING((X323/$H323),1)*$H323),"")</f>
        <v>10.199999999999999</v>
      </c>
      <c r="Z323" s="36">
        <f>IFERROR(IF(Y323=0,"",ROUNDUP(Y323/H323,0)*0.00651),"")</f>
        <v>2.6040000000000001E-2</v>
      </c>
      <c r="AA323" s="56"/>
      <c r="AB323" s="57"/>
      <c r="AC323" s="373" t="s">
        <v>507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9.0352941176470587</v>
      </c>
      <c r="BN323" s="64">
        <f>IFERROR(Y323*I323/H323,"0")</f>
        <v>11.52</v>
      </c>
      <c r="BO323" s="64">
        <f>IFERROR(1/J323*(X323/H323),"0")</f>
        <v>1.7237664296487831E-2</v>
      </c>
      <c r="BP323" s="64">
        <f>IFERROR(1/J323*(Y323/H323),"0")</f>
        <v>2.197802197802198E-2</v>
      </c>
    </row>
    <row r="324" spans="1:68" x14ac:dyDescent="0.2">
      <c r="A324" s="569"/>
      <c r="B324" s="564"/>
      <c r="C324" s="564"/>
      <c r="D324" s="564"/>
      <c r="E324" s="564"/>
      <c r="F324" s="564"/>
      <c r="G324" s="564"/>
      <c r="H324" s="564"/>
      <c r="I324" s="564"/>
      <c r="J324" s="564"/>
      <c r="K324" s="564"/>
      <c r="L324" s="564"/>
      <c r="M324" s="564"/>
      <c r="N324" s="564"/>
      <c r="O324" s="570"/>
      <c r="P324" s="560" t="s">
        <v>71</v>
      </c>
      <c r="Q324" s="561"/>
      <c r="R324" s="561"/>
      <c r="S324" s="561"/>
      <c r="T324" s="561"/>
      <c r="U324" s="561"/>
      <c r="V324" s="562"/>
      <c r="W324" s="37" t="s">
        <v>72</v>
      </c>
      <c r="X324" s="547">
        <f>IFERROR(X320/H320,"0")+IFERROR(X321/H321,"0")+IFERROR(X322/H322,"0")+IFERROR(X323/H323,"0")</f>
        <v>5.768833849329206</v>
      </c>
      <c r="Y324" s="547">
        <f>IFERROR(Y320/H320,"0")+IFERROR(Y321/H321,"0")+IFERROR(Y322/H322,"0")+IFERROR(Y323/H323,"0")</f>
        <v>8</v>
      </c>
      <c r="Z324" s="547">
        <f>IFERROR(IF(Z320="",0,Z320),"0")+IFERROR(IF(Z321="",0,Z321),"0")+IFERROR(IF(Z322="",0,Z322),"0")+IFERROR(IF(Z323="",0,Z323),"0")</f>
        <v>6.2120000000000002E-2</v>
      </c>
      <c r="AA324" s="548"/>
      <c r="AB324" s="548"/>
      <c r="AC324" s="548"/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70"/>
      <c r="P325" s="560" t="s">
        <v>71</v>
      </c>
      <c r="Q325" s="561"/>
      <c r="R325" s="561"/>
      <c r="S325" s="561"/>
      <c r="T325" s="561"/>
      <c r="U325" s="561"/>
      <c r="V325" s="562"/>
      <c r="W325" s="37" t="s">
        <v>69</v>
      </c>
      <c r="X325" s="547">
        <f>IFERROR(SUM(X320:X323),"0")</f>
        <v>16</v>
      </c>
      <c r="Y325" s="547">
        <f>IFERROR(SUM(Y320:Y323),"0")</f>
        <v>22.36</v>
      </c>
      <c r="Z325" s="37"/>
      <c r="AA325" s="548"/>
      <c r="AB325" s="548"/>
      <c r="AC325" s="548"/>
    </row>
    <row r="326" spans="1:68" ht="14.25" customHeight="1" x14ac:dyDescent="0.25">
      <c r="A326" s="568" t="s">
        <v>516</v>
      </c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4"/>
      <c r="P326" s="564"/>
      <c r="Q326" s="564"/>
      <c r="R326" s="564"/>
      <c r="S326" s="564"/>
      <c r="T326" s="564"/>
      <c r="U326" s="564"/>
      <c r="V326" s="564"/>
      <c r="W326" s="564"/>
      <c r="X326" s="564"/>
      <c r="Y326" s="564"/>
      <c r="Z326" s="564"/>
      <c r="AA326" s="541"/>
      <c r="AB326" s="541"/>
      <c r="AC326" s="541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 t="s">
        <v>188</v>
      </c>
      <c r="M327" s="33" t="s">
        <v>519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 t="s">
        <v>106</v>
      </c>
      <c r="AK327" s="68">
        <v>28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 t="s">
        <v>188</v>
      </c>
      <c r="M329" s="33" t="s">
        <v>519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 t="s">
        <v>106</v>
      </c>
      <c r="AK329" s="68">
        <v>28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9"/>
      <c r="B330" s="564"/>
      <c r="C330" s="564"/>
      <c r="D330" s="564"/>
      <c r="E330" s="564"/>
      <c r="F330" s="564"/>
      <c r="G330" s="564"/>
      <c r="H330" s="564"/>
      <c r="I330" s="564"/>
      <c r="J330" s="564"/>
      <c r="K330" s="564"/>
      <c r="L330" s="564"/>
      <c r="M330" s="564"/>
      <c r="N330" s="564"/>
      <c r="O330" s="570"/>
      <c r="P330" s="560" t="s">
        <v>71</v>
      </c>
      <c r="Q330" s="561"/>
      <c r="R330" s="561"/>
      <c r="S330" s="561"/>
      <c r="T330" s="561"/>
      <c r="U330" s="561"/>
      <c r="V330" s="562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70"/>
      <c r="P331" s="560" t="s">
        <v>71</v>
      </c>
      <c r="Q331" s="561"/>
      <c r="R331" s="561"/>
      <c r="S331" s="561"/>
      <c r="T331" s="561"/>
      <c r="U331" s="561"/>
      <c r="V331" s="562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3" t="s">
        <v>525</v>
      </c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4"/>
      <c r="P332" s="564"/>
      <c r="Q332" s="564"/>
      <c r="R332" s="564"/>
      <c r="S332" s="564"/>
      <c r="T332" s="564"/>
      <c r="U332" s="564"/>
      <c r="V332" s="564"/>
      <c r="W332" s="564"/>
      <c r="X332" s="564"/>
      <c r="Y332" s="564"/>
      <c r="Z332" s="564"/>
      <c r="AA332" s="540"/>
      <c r="AB332" s="540"/>
      <c r="AC332" s="540"/>
    </row>
    <row r="333" spans="1:68" ht="14.25" customHeight="1" x14ac:dyDescent="0.25">
      <c r="A333" s="568" t="s">
        <v>73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1"/>
      <c r="AB333" s="541"/>
      <c r="AC333" s="541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 t="s">
        <v>103</v>
      </c>
      <c r="M334" s="33" t="s">
        <v>84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 t="s">
        <v>106</v>
      </c>
      <c r="AK334" s="68">
        <v>64.8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188</v>
      </c>
      <c r="M335" s="33" t="s">
        <v>77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188</v>
      </c>
      <c r="M336" s="33" t="s">
        <v>84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9"/>
      <c r="B337" s="564"/>
      <c r="C337" s="564"/>
      <c r="D337" s="564"/>
      <c r="E337" s="564"/>
      <c r="F337" s="564"/>
      <c r="G337" s="564"/>
      <c r="H337" s="564"/>
      <c r="I337" s="564"/>
      <c r="J337" s="564"/>
      <c r="K337" s="564"/>
      <c r="L337" s="564"/>
      <c r="M337" s="564"/>
      <c r="N337" s="564"/>
      <c r="O337" s="570"/>
      <c r="P337" s="560" t="s">
        <v>71</v>
      </c>
      <c r="Q337" s="561"/>
      <c r="R337" s="561"/>
      <c r="S337" s="561"/>
      <c r="T337" s="561"/>
      <c r="U337" s="561"/>
      <c r="V337" s="562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70"/>
      <c r="P338" s="560" t="s">
        <v>71</v>
      </c>
      <c r="Q338" s="561"/>
      <c r="R338" s="561"/>
      <c r="S338" s="561"/>
      <c r="T338" s="561"/>
      <c r="U338" s="561"/>
      <c r="V338" s="562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customHeight="1" x14ac:dyDescent="0.2">
      <c r="A339" s="602" t="s">
        <v>535</v>
      </c>
      <c r="B339" s="603"/>
      <c r="C339" s="603"/>
      <c r="D339" s="603"/>
      <c r="E339" s="603"/>
      <c r="F339" s="603"/>
      <c r="G339" s="603"/>
      <c r="H339" s="603"/>
      <c r="I339" s="603"/>
      <c r="J339" s="603"/>
      <c r="K339" s="603"/>
      <c r="L339" s="603"/>
      <c r="M339" s="603"/>
      <c r="N339" s="603"/>
      <c r="O339" s="603"/>
      <c r="P339" s="603"/>
      <c r="Q339" s="603"/>
      <c r="R339" s="603"/>
      <c r="S339" s="603"/>
      <c r="T339" s="603"/>
      <c r="U339" s="603"/>
      <c r="V339" s="603"/>
      <c r="W339" s="603"/>
      <c r="X339" s="603"/>
      <c r="Y339" s="603"/>
      <c r="Z339" s="603"/>
      <c r="AA339" s="48"/>
      <c r="AB339" s="48"/>
      <c r="AC339" s="48"/>
    </row>
    <row r="340" spans="1:68" ht="16.5" customHeight="1" x14ac:dyDescent="0.25">
      <c r="A340" s="563" t="s">
        <v>536</v>
      </c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64"/>
      <c r="P340" s="564"/>
      <c r="Q340" s="564"/>
      <c r="R340" s="564"/>
      <c r="S340" s="564"/>
      <c r="T340" s="564"/>
      <c r="U340" s="564"/>
      <c r="V340" s="564"/>
      <c r="W340" s="564"/>
      <c r="X340" s="564"/>
      <c r="Y340" s="564"/>
      <c r="Z340" s="564"/>
      <c r="AA340" s="540"/>
      <c r="AB340" s="540"/>
      <c r="AC340" s="540"/>
    </row>
    <row r="341" spans="1:68" ht="14.25" customHeight="1" x14ac:dyDescent="0.25">
      <c r="A341" s="568" t="s">
        <v>99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183</v>
      </c>
      <c r="Y342" s="546">
        <f t="shared" ref="Y342:Y348" si="32">IFERROR(IF(X342="",0,CEILING((X342/$H342),1)*$H342),"")</f>
        <v>195</v>
      </c>
      <c r="Z342" s="36">
        <f>IFERROR(IF(Y342=0,"",ROUNDUP(Y342/H342,0)*0.02175),"")</f>
        <v>0.28275</v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188.85600000000002</v>
      </c>
      <c r="BN342" s="64">
        <f t="shared" ref="BN342:BN348" si="34">IFERROR(Y342*I342/H342,"0")</f>
        <v>201.23999999999998</v>
      </c>
      <c r="BO342" s="64">
        <f t="shared" ref="BO342:BO348" si="35">IFERROR(1/J342*(X342/H342),"0")</f>
        <v>0.25416666666666665</v>
      </c>
      <c r="BP342" s="64">
        <f t="shared" ref="BP342:BP348" si="36">IFERROR(1/J342*(Y342/H342),"0")</f>
        <v>0.27083333333333331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308</v>
      </c>
      <c r="Y343" s="546">
        <f t="shared" si="32"/>
        <v>315</v>
      </c>
      <c r="Z343" s="36">
        <f>IFERROR(IF(Y343=0,"",ROUNDUP(Y343/H343,0)*0.02175),"")</f>
        <v>0.45674999999999999</v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317.85599999999999</v>
      </c>
      <c r="BN343" s="64">
        <f t="shared" si="34"/>
        <v>325.08</v>
      </c>
      <c r="BO343" s="64">
        <f t="shared" si="35"/>
        <v>0.42777777777777781</v>
      </c>
      <c r="BP343" s="64">
        <f t="shared" si="36"/>
        <v>0.4375</v>
      </c>
    </row>
    <row r="344" spans="1:68" ht="37.5" customHeight="1" x14ac:dyDescent="0.25">
      <c r="A344" s="54" t="s">
        <v>543</v>
      </c>
      <c r="B344" s="54" t="s">
        <v>544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0</v>
      </c>
      <c r="Y344" s="546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149</v>
      </c>
      <c r="Y345" s="546">
        <f t="shared" si="32"/>
        <v>150</v>
      </c>
      <c r="Z345" s="36">
        <f>IFERROR(IF(Y345=0,"",ROUNDUP(Y345/H345,0)*0.02175),"")</f>
        <v>0.21749999999999997</v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153.768</v>
      </c>
      <c r="BN345" s="64">
        <f t="shared" si="34"/>
        <v>154.80000000000001</v>
      </c>
      <c r="BO345" s="64">
        <f t="shared" si="35"/>
        <v>0.20694444444444443</v>
      </c>
      <c r="BP345" s="64">
        <f t="shared" si="36"/>
        <v>0.20833333333333331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7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69"/>
      <c r="B349" s="564"/>
      <c r="C349" s="564"/>
      <c r="D349" s="564"/>
      <c r="E349" s="564"/>
      <c r="F349" s="564"/>
      <c r="G349" s="564"/>
      <c r="H349" s="564"/>
      <c r="I349" s="564"/>
      <c r="J349" s="564"/>
      <c r="K349" s="564"/>
      <c r="L349" s="564"/>
      <c r="M349" s="564"/>
      <c r="N349" s="564"/>
      <c r="O349" s="570"/>
      <c r="P349" s="560" t="s">
        <v>71</v>
      </c>
      <c r="Q349" s="561"/>
      <c r="R349" s="561"/>
      <c r="S349" s="561"/>
      <c r="T349" s="561"/>
      <c r="U349" s="561"/>
      <c r="V349" s="562"/>
      <c r="W349" s="37" t="s">
        <v>72</v>
      </c>
      <c r="X349" s="547">
        <f>IFERROR(X342/H342,"0")+IFERROR(X343/H343,"0")+IFERROR(X344/H344,"0")+IFERROR(X345/H345,"0")+IFERROR(X346/H346,"0")+IFERROR(X347/H347,"0")+IFERROR(X348/H348,"0")</f>
        <v>42.666666666666671</v>
      </c>
      <c r="Y349" s="547">
        <f>IFERROR(Y342/H342,"0")+IFERROR(Y343/H343,"0")+IFERROR(Y344/H344,"0")+IFERROR(Y345/H345,"0")+IFERROR(Y346/H346,"0")+IFERROR(Y347/H347,"0")+IFERROR(Y348/H348,"0")</f>
        <v>44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0.95700000000000007</v>
      </c>
      <c r="AA349" s="548"/>
      <c r="AB349" s="548"/>
      <c r="AC349" s="548"/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70"/>
      <c r="P350" s="560" t="s">
        <v>71</v>
      </c>
      <c r="Q350" s="561"/>
      <c r="R350" s="561"/>
      <c r="S350" s="561"/>
      <c r="T350" s="561"/>
      <c r="U350" s="561"/>
      <c r="V350" s="562"/>
      <c r="W350" s="37" t="s">
        <v>69</v>
      </c>
      <c r="X350" s="547">
        <f>IFERROR(SUM(X342:X348),"0")</f>
        <v>640</v>
      </c>
      <c r="Y350" s="547">
        <f>IFERROR(SUM(Y342:Y348),"0")</f>
        <v>660</v>
      </c>
      <c r="Z350" s="37"/>
      <c r="AA350" s="548"/>
      <c r="AB350" s="548"/>
      <c r="AC350" s="548"/>
    </row>
    <row r="351" spans="1:68" ht="14.25" customHeight="1" x14ac:dyDescent="0.25">
      <c r="A351" s="568" t="s">
        <v>135</v>
      </c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4"/>
      <c r="P351" s="564"/>
      <c r="Q351" s="564"/>
      <c r="R351" s="564"/>
      <c r="S351" s="564"/>
      <c r="T351" s="564"/>
      <c r="U351" s="564"/>
      <c r="V351" s="564"/>
      <c r="W351" s="564"/>
      <c r="X351" s="564"/>
      <c r="Y351" s="564"/>
      <c r="Z351" s="564"/>
      <c r="AA351" s="541"/>
      <c r="AB351" s="541"/>
      <c r="AC351" s="541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42</v>
      </c>
      <c r="Y352" s="546">
        <f>IFERROR(IF(X352="",0,CEILING((X352/$H352),1)*$H352),"")</f>
        <v>45</v>
      </c>
      <c r="Z352" s="36">
        <f>IFERROR(IF(Y352=0,"",ROUNDUP(Y352/H352,0)*0.02175),"")</f>
        <v>6.5250000000000002E-2</v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43.344000000000001</v>
      </c>
      <c r="BN352" s="64">
        <f>IFERROR(Y352*I352/H352,"0")</f>
        <v>46.440000000000005</v>
      </c>
      <c r="BO352" s="64">
        <f>IFERROR(1/J352*(X352/H352),"0")</f>
        <v>5.8333333333333327E-2</v>
      </c>
      <c r="BP352" s="64">
        <f>IFERROR(1/J352*(Y352/H352),"0")</f>
        <v>6.25E-2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70"/>
      <c r="P354" s="560" t="s">
        <v>71</v>
      </c>
      <c r="Q354" s="561"/>
      <c r="R354" s="561"/>
      <c r="S354" s="561"/>
      <c r="T354" s="561"/>
      <c r="U354" s="561"/>
      <c r="V354" s="562"/>
      <c r="W354" s="37" t="s">
        <v>72</v>
      </c>
      <c r="X354" s="547">
        <f>IFERROR(X352/H352,"0")+IFERROR(X353/H353,"0")</f>
        <v>2.8</v>
      </c>
      <c r="Y354" s="547">
        <f>IFERROR(Y352/H352,"0")+IFERROR(Y353/H353,"0")</f>
        <v>3</v>
      </c>
      <c r="Z354" s="547">
        <f>IFERROR(IF(Z352="",0,Z352),"0")+IFERROR(IF(Z353="",0,Z353),"0")</f>
        <v>6.5250000000000002E-2</v>
      </c>
      <c r="AA354" s="548"/>
      <c r="AB354" s="548"/>
      <c r="AC354" s="548"/>
    </row>
    <row r="355" spans="1:68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70"/>
      <c r="P355" s="560" t="s">
        <v>71</v>
      </c>
      <c r="Q355" s="561"/>
      <c r="R355" s="561"/>
      <c r="S355" s="561"/>
      <c r="T355" s="561"/>
      <c r="U355" s="561"/>
      <c r="V355" s="562"/>
      <c r="W355" s="37" t="s">
        <v>69</v>
      </c>
      <c r="X355" s="547">
        <f>IFERROR(SUM(X352:X353),"0")</f>
        <v>42</v>
      </c>
      <c r="Y355" s="547">
        <f>IFERROR(SUM(Y352:Y353),"0")</f>
        <v>45</v>
      </c>
      <c r="Z355" s="37"/>
      <c r="AA355" s="548"/>
      <c r="AB355" s="548"/>
      <c r="AC355" s="548"/>
    </row>
    <row r="356" spans="1:68" ht="14.25" customHeight="1" x14ac:dyDescent="0.25">
      <c r="A356" s="568" t="s">
        <v>73</v>
      </c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4"/>
      <c r="P356" s="564"/>
      <c r="Q356" s="564"/>
      <c r="R356" s="564"/>
      <c r="S356" s="564"/>
      <c r="T356" s="564"/>
      <c r="U356" s="564"/>
      <c r="V356" s="564"/>
      <c r="W356" s="564"/>
      <c r="X356" s="564"/>
      <c r="Y356" s="564"/>
      <c r="Z356" s="564"/>
      <c r="AA356" s="541"/>
      <c r="AB356" s="541"/>
      <c r="AC356" s="541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4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 t="s">
        <v>103</v>
      </c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39</v>
      </c>
      <c r="Y358" s="546">
        <f>IFERROR(IF(X358="",0,CEILING((X358/$H358),1)*$H358),"")</f>
        <v>45</v>
      </c>
      <c r="Z358" s="36">
        <f>IFERROR(IF(Y358=0,"",ROUNDUP(Y358/H358,0)*0.01898),"")</f>
        <v>9.4899999999999998E-2</v>
      </c>
      <c r="AA358" s="56"/>
      <c r="AB358" s="57"/>
      <c r="AC358" s="407" t="s">
        <v>566</v>
      </c>
      <c r="AG358" s="64"/>
      <c r="AJ358" s="68" t="s">
        <v>106</v>
      </c>
      <c r="AK358" s="68">
        <v>72</v>
      </c>
      <c r="BB358" s="408" t="s">
        <v>1</v>
      </c>
      <c r="BM358" s="64">
        <f>IFERROR(X358*I358/H358,"0")</f>
        <v>41.248999999999995</v>
      </c>
      <c r="BN358" s="64">
        <f>IFERROR(Y358*I358/H358,"0")</f>
        <v>47.594999999999999</v>
      </c>
      <c r="BO358" s="64">
        <f>IFERROR(1/J358*(X358/H358),"0")</f>
        <v>6.7708333333333329E-2</v>
      </c>
      <c r="BP358" s="64">
        <f>IFERROR(1/J358*(Y358/H358),"0")</f>
        <v>7.8125E-2</v>
      </c>
    </row>
    <row r="359" spans="1:68" x14ac:dyDescent="0.2">
      <c r="A359" s="569"/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70"/>
      <c r="P359" s="560" t="s">
        <v>71</v>
      </c>
      <c r="Q359" s="561"/>
      <c r="R359" s="561"/>
      <c r="S359" s="561"/>
      <c r="T359" s="561"/>
      <c r="U359" s="561"/>
      <c r="V359" s="562"/>
      <c r="W359" s="37" t="s">
        <v>72</v>
      </c>
      <c r="X359" s="547">
        <f>IFERROR(X357/H357,"0")+IFERROR(X358/H358,"0")</f>
        <v>4.333333333333333</v>
      </c>
      <c r="Y359" s="547">
        <f>IFERROR(Y357/H357,"0")+IFERROR(Y358/H358,"0")</f>
        <v>5</v>
      </c>
      <c r="Z359" s="547">
        <f>IFERROR(IF(Z357="",0,Z357),"0")+IFERROR(IF(Z358="",0,Z358),"0")</f>
        <v>9.4899999999999998E-2</v>
      </c>
      <c r="AA359" s="548"/>
      <c r="AB359" s="548"/>
      <c r="AC359" s="548"/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70"/>
      <c r="P360" s="560" t="s">
        <v>71</v>
      </c>
      <c r="Q360" s="561"/>
      <c r="R360" s="561"/>
      <c r="S360" s="561"/>
      <c r="T360" s="561"/>
      <c r="U360" s="561"/>
      <c r="V360" s="562"/>
      <c r="W360" s="37" t="s">
        <v>69</v>
      </c>
      <c r="X360" s="547">
        <f>IFERROR(SUM(X357:X358),"0")</f>
        <v>39</v>
      </c>
      <c r="Y360" s="547">
        <f>IFERROR(SUM(Y357:Y358),"0")</f>
        <v>45</v>
      </c>
      <c r="Z360" s="37"/>
      <c r="AA360" s="548"/>
      <c r="AB360" s="548"/>
      <c r="AC360" s="548"/>
    </row>
    <row r="361" spans="1:68" ht="14.25" customHeight="1" x14ac:dyDescent="0.25">
      <c r="A361" s="568" t="s">
        <v>165</v>
      </c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4"/>
      <c r="P361" s="564"/>
      <c r="Q361" s="564"/>
      <c r="R361" s="564"/>
      <c r="S361" s="564"/>
      <c r="T361" s="564"/>
      <c r="U361" s="564"/>
      <c r="V361" s="564"/>
      <c r="W361" s="564"/>
      <c r="X361" s="564"/>
      <c r="Y361" s="564"/>
      <c r="Z361" s="564"/>
      <c r="AA361" s="541"/>
      <c r="AB361" s="541"/>
      <c r="AC361" s="541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2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74</v>
      </c>
      <c r="Y362" s="546">
        <f>IFERROR(IF(X362="",0,CEILING((X362/$H362),1)*$H362),"")</f>
        <v>81</v>
      </c>
      <c r="Z362" s="36">
        <f>IFERROR(IF(Y362=0,"",ROUNDUP(Y362/H362,0)*0.01898),"")</f>
        <v>0.17082</v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78.26733333333334</v>
      </c>
      <c r="BN362" s="64">
        <f>IFERROR(Y362*I362/H362,"0")</f>
        <v>85.670999999999992</v>
      </c>
      <c r="BO362" s="64">
        <f>IFERROR(1/J362*(X362/H362),"0")</f>
        <v>0.12847222222222221</v>
      </c>
      <c r="BP362" s="64">
        <f>IFERROR(1/J362*(Y362/H362),"0")</f>
        <v>0.140625</v>
      </c>
    </row>
    <row r="363" spans="1:68" x14ac:dyDescent="0.2">
      <c r="A363" s="569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0"/>
      <c r="P363" s="560" t="s">
        <v>71</v>
      </c>
      <c r="Q363" s="561"/>
      <c r="R363" s="561"/>
      <c r="S363" s="561"/>
      <c r="T363" s="561"/>
      <c r="U363" s="561"/>
      <c r="V363" s="562"/>
      <c r="W363" s="37" t="s">
        <v>72</v>
      </c>
      <c r="X363" s="547">
        <f>IFERROR(X362/H362,"0")</f>
        <v>8.2222222222222214</v>
      </c>
      <c r="Y363" s="547">
        <f>IFERROR(Y362/H362,"0")</f>
        <v>9</v>
      </c>
      <c r="Z363" s="547">
        <f>IFERROR(IF(Z362="",0,Z362),"0")</f>
        <v>0.17082</v>
      </c>
      <c r="AA363" s="548"/>
      <c r="AB363" s="548"/>
      <c r="AC363" s="548"/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70"/>
      <c r="P364" s="560" t="s">
        <v>71</v>
      </c>
      <c r="Q364" s="561"/>
      <c r="R364" s="561"/>
      <c r="S364" s="561"/>
      <c r="T364" s="561"/>
      <c r="U364" s="561"/>
      <c r="V364" s="562"/>
      <c r="W364" s="37" t="s">
        <v>69</v>
      </c>
      <c r="X364" s="547">
        <f>IFERROR(SUM(X362:X362),"0")</f>
        <v>74</v>
      </c>
      <c r="Y364" s="547">
        <f>IFERROR(SUM(Y362:Y362),"0")</f>
        <v>81</v>
      </c>
      <c r="Z364" s="37"/>
      <c r="AA364" s="548"/>
      <c r="AB364" s="548"/>
      <c r="AC364" s="548"/>
    </row>
    <row r="365" spans="1:68" ht="16.5" customHeight="1" x14ac:dyDescent="0.25">
      <c r="A365" s="563" t="s">
        <v>570</v>
      </c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4"/>
      <c r="P365" s="564"/>
      <c r="Q365" s="564"/>
      <c r="R365" s="564"/>
      <c r="S365" s="564"/>
      <c r="T365" s="564"/>
      <c r="U365" s="564"/>
      <c r="V365" s="564"/>
      <c r="W365" s="564"/>
      <c r="X365" s="564"/>
      <c r="Y365" s="564"/>
      <c r="Z365" s="564"/>
      <c r="AA365" s="540"/>
      <c r="AB365" s="540"/>
      <c r="AC365" s="540"/>
    </row>
    <row r="366" spans="1:68" ht="14.25" customHeight="1" x14ac:dyDescent="0.25">
      <c r="A366" s="568" t="s">
        <v>99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64"/>
      <c r="C370" s="564"/>
      <c r="D370" s="564"/>
      <c r="E370" s="564"/>
      <c r="F370" s="564"/>
      <c r="G370" s="564"/>
      <c r="H370" s="564"/>
      <c r="I370" s="564"/>
      <c r="J370" s="564"/>
      <c r="K370" s="564"/>
      <c r="L370" s="564"/>
      <c r="M370" s="564"/>
      <c r="N370" s="564"/>
      <c r="O370" s="570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70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customHeight="1" x14ac:dyDescent="0.25">
      <c r="A372" s="568" t="s">
        <v>64</v>
      </c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4"/>
      <c r="P372" s="564"/>
      <c r="Q372" s="564"/>
      <c r="R372" s="564"/>
      <c r="S372" s="564"/>
      <c r="T372" s="564"/>
      <c r="U372" s="564"/>
      <c r="V372" s="564"/>
      <c r="W372" s="564"/>
      <c r="X372" s="564"/>
      <c r="Y372" s="564"/>
      <c r="Z372" s="564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9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70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70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customHeight="1" x14ac:dyDescent="0.25">
      <c r="A377" s="568" t="s">
        <v>73</v>
      </c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4"/>
      <c r="P377" s="564"/>
      <c r="Q377" s="564"/>
      <c r="R377" s="564"/>
      <c r="S377" s="564"/>
      <c r="T377" s="564"/>
      <c r="U377" s="564"/>
      <c r="V377" s="564"/>
      <c r="W377" s="564"/>
      <c r="X377" s="564"/>
      <c r="Y377" s="564"/>
      <c r="Z377" s="564"/>
      <c r="AA377" s="541"/>
      <c r="AB377" s="541"/>
      <c r="AC377" s="541"/>
    </row>
    <row r="378" spans="1:68" ht="27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9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70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70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customHeight="1" x14ac:dyDescent="0.25">
      <c r="A382" s="568" t="s">
        <v>165</v>
      </c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4"/>
      <c r="P382" s="564"/>
      <c r="Q382" s="564"/>
      <c r="R382" s="564"/>
      <c r="S382" s="564"/>
      <c r="T382" s="564"/>
      <c r="U382" s="564"/>
      <c r="V382" s="564"/>
      <c r="W382" s="564"/>
      <c r="X382" s="564"/>
      <c r="Y382" s="564"/>
      <c r="Z382" s="564"/>
      <c r="AA382" s="541"/>
      <c r="AB382" s="541"/>
      <c r="AC382" s="541"/>
    </row>
    <row r="383" spans="1:68" ht="27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9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70"/>
      <c r="P384" s="560" t="s">
        <v>71</v>
      </c>
      <c r="Q384" s="561"/>
      <c r="R384" s="561"/>
      <c r="S384" s="561"/>
      <c r="T384" s="561"/>
      <c r="U384" s="561"/>
      <c r="V384" s="562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64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70"/>
      <c r="P385" s="560" t="s">
        <v>71</v>
      </c>
      <c r="Q385" s="561"/>
      <c r="R385" s="561"/>
      <c r="S385" s="561"/>
      <c r="T385" s="561"/>
      <c r="U385" s="561"/>
      <c r="V385" s="562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2" t="s">
        <v>592</v>
      </c>
      <c r="B386" s="603"/>
      <c r="C386" s="603"/>
      <c r="D386" s="603"/>
      <c r="E386" s="603"/>
      <c r="F386" s="603"/>
      <c r="G386" s="603"/>
      <c r="H386" s="603"/>
      <c r="I386" s="603"/>
      <c r="J386" s="603"/>
      <c r="K386" s="603"/>
      <c r="L386" s="603"/>
      <c r="M386" s="603"/>
      <c r="N386" s="603"/>
      <c r="O386" s="603"/>
      <c r="P386" s="603"/>
      <c r="Q386" s="603"/>
      <c r="R386" s="603"/>
      <c r="S386" s="603"/>
      <c r="T386" s="603"/>
      <c r="U386" s="603"/>
      <c r="V386" s="603"/>
      <c r="W386" s="603"/>
      <c r="X386" s="603"/>
      <c r="Y386" s="603"/>
      <c r="Z386" s="603"/>
      <c r="AA386" s="48"/>
      <c r="AB386" s="48"/>
      <c r="AC386" s="48"/>
    </row>
    <row r="387" spans="1:68" ht="16.5" customHeight="1" x14ac:dyDescent="0.25">
      <c r="A387" s="563" t="s">
        <v>593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540"/>
      <c r="AB387" s="540"/>
      <c r="AC387" s="540"/>
    </row>
    <row r="388" spans="1:68" ht="14.25" customHeight="1" x14ac:dyDescent="0.25">
      <c r="A388" s="568" t="s">
        <v>64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1"/>
      <c r="AB388" s="541"/>
      <c r="AC388" s="541"/>
    </row>
    <row r="389" spans="1:68" ht="27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 t="s">
        <v>110</v>
      </c>
      <c r="M389" s="33" t="s">
        <v>68</v>
      </c>
      <c r="N389" s="33"/>
      <c r="O389" s="32">
        <v>50</v>
      </c>
      <c r="P389" s="5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72</v>
      </c>
      <c r="Y389" s="546">
        <f t="shared" ref="Y389:Y398" si="37">IFERROR(IF(X389="",0,CEILING((X389/$H389),1)*$H389),"")</f>
        <v>75.600000000000009</v>
      </c>
      <c r="Z389" s="36">
        <f>IFERROR(IF(Y389=0,"",ROUNDUP(Y389/H389,0)*0.00902),"")</f>
        <v>0.12628</v>
      </c>
      <c r="AA389" s="56"/>
      <c r="AB389" s="57"/>
      <c r="AC389" s="427" t="s">
        <v>596</v>
      </c>
      <c r="AG389" s="64"/>
      <c r="AJ389" s="68" t="s">
        <v>106</v>
      </c>
      <c r="AK389" s="68">
        <v>64.8</v>
      </c>
      <c r="BB389" s="428" t="s">
        <v>1</v>
      </c>
      <c r="BM389" s="64">
        <f t="shared" ref="BM389:BM398" si="38">IFERROR(X389*I389/H389,"0")</f>
        <v>74.8</v>
      </c>
      <c r="BN389" s="64">
        <f t="shared" ref="BN389:BN398" si="39">IFERROR(Y389*I389/H389,"0")</f>
        <v>78.540000000000006</v>
      </c>
      <c r="BO389" s="64">
        <f t="shared" ref="BO389:BO398" si="40">IFERROR(1/J389*(X389/H389),"0")</f>
        <v>0.10101010101010101</v>
      </c>
      <c r="BP389" s="64">
        <f t="shared" ref="BP389:BP398" si="41">IFERROR(1/J389*(Y389/H389),"0")</f>
        <v>0.10606060606060606</v>
      </c>
    </row>
    <row r="390" spans="1:68" ht="27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 t="s">
        <v>110</v>
      </c>
      <c r="M392" s="33" t="s">
        <v>68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 t="s">
        <v>106</v>
      </c>
      <c r="AK392" s="68">
        <v>64.8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 t="s">
        <v>266</v>
      </c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 t="s">
        <v>106</v>
      </c>
      <c r="AK397" s="68">
        <v>37.799999999999997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69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70"/>
      <c r="P399" s="560" t="s">
        <v>71</v>
      </c>
      <c r="Q399" s="561"/>
      <c r="R399" s="561"/>
      <c r="S399" s="561"/>
      <c r="T399" s="561"/>
      <c r="U399" s="561"/>
      <c r="V399" s="562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13.333333333333332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14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0.12628</v>
      </c>
      <c r="AA399" s="548"/>
      <c r="AB399" s="548"/>
      <c r="AC399" s="548"/>
    </row>
    <row r="400" spans="1:68" x14ac:dyDescent="0.2">
      <c r="A400" s="564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70"/>
      <c r="P400" s="560" t="s">
        <v>71</v>
      </c>
      <c r="Q400" s="561"/>
      <c r="R400" s="561"/>
      <c r="S400" s="561"/>
      <c r="T400" s="561"/>
      <c r="U400" s="561"/>
      <c r="V400" s="562"/>
      <c r="W400" s="37" t="s">
        <v>69</v>
      </c>
      <c r="X400" s="547">
        <f>IFERROR(SUM(X389:X398),"0")</f>
        <v>72</v>
      </c>
      <c r="Y400" s="547">
        <f>IFERROR(SUM(Y389:Y398),"0")</f>
        <v>75.600000000000009</v>
      </c>
      <c r="Z400" s="37"/>
      <c r="AA400" s="548"/>
      <c r="AB400" s="548"/>
      <c r="AC400" s="548"/>
    </row>
    <row r="401" spans="1:68" ht="14.25" customHeight="1" x14ac:dyDescent="0.25">
      <c r="A401" s="568" t="s">
        <v>73</v>
      </c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4"/>
      <c r="P401" s="564"/>
      <c r="Q401" s="564"/>
      <c r="R401" s="564"/>
      <c r="S401" s="564"/>
      <c r="T401" s="564"/>
      <c r="U401" s="564"/>
      <c r="V401" s="564"/>
      <c r="W401" s="564"/>
      <c r="X401" s="564"/>
      <c r="Y401" s="564"/>
      <c r="Z401" s="564"/>
      <c r="AA401" s="541"/>
      <c r="AB401" s="541"/>
      <c r="AC401" s="541"/>
    </row>
    <row r="402" spans="1:68" ht="27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9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70"/>
      <c r="P404" s="560" t="s">
        <v>71</v>
      </c>
      <c r="Q404" s="561"/>
      <c r="R404" s="561"/>
      <c r="S404" s="561"/>
      <c r="T404" s="561"/>
      <c r="U404" s="561"/>
      <c r="V404" s="562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64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70"/>
      <c r="P405" s="560" t="s">
        <v>71</v>
      </c>
      <c r="Q405" s="561"/>
      <c r="R405" s="561"/>
      <c r="S405" s="561"/>
      <c r="T405" s="561"/>
      <c r="U405" s="561"/>
      <c r="V405" s="562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63" t="s">
        <v>625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540"/>
      <c r="AB406" s="540"/>
      <c r="AC406" s="540"/>
    </row>
    <row r="407" spans="1:68" ht="14.25" customHeight="1" x14ac:dyDescent="0.25">
      <c r="A407" s="568" t="s">
        <v>135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1"/>
      <c r="AB407" s="541"/>
      <c r="AC407" s="541"/>
    </row>
    <row r="408" spans="1:68" ht="27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9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70"/>
      <c r="P409" s="560" t="s">
        <v>71</v>
      </c>
      <c r="Q409" s="561"/>
      <c r="R409" s="561"/>
      <c r="S409" s="561"/>
      <c r="T409" s="561"/>
      <c r="U409" s="561"/>
      <c r="V409" s="562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64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70"/>
      <c r="P410" s="560" t="s">
        <v>71</v>
      </c>
      <c r="Q410" s="561"/>
      <c r="R410" s="561"/>
      <c r="S410" s="561"/>
      <c r="T410" s="561"/>
      <c r="U410" s="561"/>
      <c r="V410" s="562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68" t="s">
        <v>64</v>
      </c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4"/>
      <c r="P411" s="564"/>
      <c r="Q411" s="564"/>
      <c r="R411" s="564"/>
      <c r="S411" s="564"/>
      <c r="T411" s="564"/>
      <c r="U411" s="564"/>
      <c r="V411" s="564"/>
      <c r="W411" s="564"/>
      <c r="X411" s="564"/>
      <c r="Y411" s="564"/>
      <c r="Z411" s="564"/>
      <c r="AA411" s="541"/>
      <c r="AB411" s="541"/>
      <c r="AC411" s="541"/>
    </row>
    <row r="412" spans="1:68" ht="27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 t="s">
        <v>110</v>
      </c>
      <c r="M412" s="33" t="s">
        <v>104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4</v>
      </c>
      <c r="Y412" s="546">
        <f>IFERROR(IF(X412="",0,CEILING((X412/$H412),1)*$H412),"")</f>
        <v>5.4</v>
      </c>
      <c r="Z412" s="36">
        <f>IFERROR(IF(Y412=0,"",ROUNDUP(Y412/H412,0)*0.00902),"")</f>
        <v>9.0200000000000002E-3</v>
      </c>
      <c r="AA412" s="56"/>
      <c r="AB412" s="57"/>
      <c r="AC412" s="453" t="s">
        <v>631</v>
      </c>
      <c r="AG412" s="64"/>
      <c r="AJ412" s="68" t="s">
        <v>106</v>
      </c>
      <c r="AK412" s="68">
        <v>64.8</v>
      </c>
      <c r="BB412" s="454" t="s">
        <v>1</v>
      </c>
      <c r="BM412" s="64">
        <f>IFERROR(X412*I412/H412,"0")</f>
        <v>4.1555555555555559</v>
      </c>
      <c r="BN412" s="64">
        <f>IFERROR(Y412*I412/H412,"0")</f>
        <v>5.61</v>
      </c>
      <c r="BO412" s="64">
        <f>IFERROR(1/J412*(X412/H412),"0")</f>
        <v>5.6116722783389446E-3</v>
      </c>
      <c r="BP412" s="64">
        <f>IFERROR(1/J412*(Y412/H412),"0")</f>
        <v>7.575757575757576E-3</v>
      </c>
    </row>
    <row r="413" spans="1:68" ht="27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9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70"/>
      <c r="P416" s="560" t="s">
        <v>71</v>
      </c>
      <c r="Q416" s="561"/>
      <c r="R416" s="561"/>
      <c r="S416" s="561"/>
      <c r="T416" s="561"/>
      <c r="U416" s="561"/>
      <c r="V416" s="562"/>
      <c r="W416" s="37" t="s">
        <v>72</v>
      </c>
      <c r="X416" s="547">
        <f>IFERROR(X412/H412,"0")+IFERROR(X413/H413,"0")+IFERROR(X414/H414,"0")+IFERROR(X415/H415,"0")</f>
        <v>0.7407407407407407</v>
      </c>
      <c r="Y416" s="547">
        <f>IFERROR(Y412/H412,"0")+IFERROR(Y413/H413,"0")+IFERROR(Y414/H414,"0")+IFERROR(Y415/H415,"0")</f>
        <v>1</v>
      </c>
      <c r="Z416" s="547">
        <f>IFERROR(IF(Z412="",0,Z412),"0")+IFERROR(IF(Z413="",0,Z413),"0")+IFERROR(IF(Z414="",0,Z414),"0")+IFERROR(IF(Z415="",0,Z415),"0")</f>
        <v>9.0200000000000002E-3</v>
      </c>
      <c r="AA416" s="548"/>
      <c r="AB416" s="548"/>
      <c r="AC416" s="548"/>
    </row>
    <row r="417" spans="1:68" x14ac:dyDescent="0.2">
      <c r="A417" s="564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70"/>
      <c r="P417" s="560" t="s">
        <v>71</v>
      </c>
      <c r="Q417" s="561"/>
      <c r="R417" s="561"/>
      <c r="S417" s="561"/>
      <c r="T417" s="561"/>
      <c r="U417" s="561"/>
      <c r="V417" s="562"/>
      <c r="W417" s="37" t="s">
        <v>69</v>
      </c>
      <c r="X417" s="547">
        <f>IFERROR(SUM(X412:X415),"0")</f>
        <v>4</v>
      </c>
      <c r="Y417" s="547">
        <f>IFERROR(SUM(Y412:Y415),"0")</f>
        <v>5.4</v>
      </c>
      <c r="Z417" s="37"/>
      <c r="AA417" s="548"/>
      <c r="AB417" s="548"/>
      <c r="AC417" s="548"/>
    </row>
    <row r="418" spans="1:68" ht="16.5" customHeight="1" x14ac:dyDescent="0.25">
      <c r="A418" s="563" t="s">
        <v>640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540"/>
      <c r="AB418" s="540"/>
      <c r="AC418" s="540"/>
    </row>
    <row r="419" spans="1:68" ht="14.25" customHeight="1" x14ac:dyDescent="0.25">
      <c r="A419" s="568" t="s">
        <v>64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1"/>
      <c r="AB419" s="541"/>
      <c r="AC419" s="541"/>
    </row>
    <row r="420" spans="1:68" ht="27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2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9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70"/>
      <c r="P421" s="560" t="s">
        <v>71</v>
      </c>
      <c r="Q421" s="561"/>
      <c r="R421" s="561"/>
      <c r="S421" s="561"/>
      <c r="T421" s="561"/>
      <c r="U421" s="561"/>
      <c r="V421" s="562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x14ac:dyDescent="0.2">
      <c r="A422" s="564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70"/>
      <c r="P422" s="560" t="s">
        <v>71</v>
      </c>
      <c r="Q422" s="561"/>
      <c r="R422" s="561"/>
      <c r="S422" s="561"/>
      <c r="T422" s="561"/>
      <c r="U422" s="561"/>
      <c r="V422" s="562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customHeight="1" x14ac:dyDescent="0.2">
      <c r="A423" s="602" t="s">
        <v>644</v>
      </c>
      <c r="B423" s="603"/>
      <c r="C423" s="603"/>
      <c r="D423" s="603"/>
      <c r="E423" s="603"/>
      <c r="F423" s="603"/>
      <c r="G423" s="603"/>
      <c r="H423" s="603"/>
      <c r="I423" s="603"/>
      <c r="J423" s="603"/>
      <c r="K423" s="603"/>
      <c r="L423" s="603"/>
      <c r="M423" s="603"/>
      <c r="N423" s="603"/>
      <c r="O423" s="603"/>
      <c r="P423" s="603"/>
      <c r="Q423" s="603"/>
      <c r="R423" s="603"/>
      <c r="S423" s="603"/>
      <c r="T423" s="603"/>
      <c r="U423" s="603"/>
      <c r="V423" s="603"/>
      <c r="W423" s="603"/>
      <c r="X423" s="603"/>
      <c r="Y423" s="603"/>
      <c r="Z423" s="603"/>
      <c r="AA423" s="48"/>
      <c r="AB423" s="48"/>
      <c r="AC423" s="48"/>
    </row>
    <row r="424" spans="1:68" ht="16.5" customHeight="1" x14ac:dyDescent="0.25">
      <c r="A424" s="563" t="s">
        <v>644</v>
      </c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64"/>
      <c r="P424" s="564"/>
      <c r="Q424" s="564"/>
      <c r="R424" s="564"/>
      <c r="S424" s="564"/>
      <c r="T424" s="564"/>
      <c r="U424" s="564"/>
      <c r="V424" s="564"/>
      <c r="W424" s="564"/>
      <c r="X424" s="564"/>
      <c r="Y424" s="564"/>
      <c r="Z424" s="564"/>
      <c r="AA424" s="540"/>
      <c r="AB424" s="540"/>
      <c r="AC424" s="540"/>
    </row>
    <row r="425" spans="1:68" ht="14.25" customHeight="1" x14ac:dyDescent="0.25">
      <c r="A425" s="568" t="s">
        <v>99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1"/>
      <c r="AB425" s="541"/>
      <c r="AC425" s="541"/>
    </row>
    <row r="426" spans="1:68" ht="27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53</v>
      </c>
      <c r="Y426" s="546">
        <f t="shared" ref="Y426:Y437" si="43">IFERROR(IF(X426="",0,CEILING((X426/$H426),1)*$H426),"")</f>
        <v>58.080000000000005</v>
      </c>
      <c r="Z426" s="36">
        <f t="shared" ref="Z426:Z432" si="44">IFERROR(IF(Y426=0,"",ROUNDUP(Y426/H426,0)*0.01196),"")</f>
        <v>0.13156000000000001</v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56.613636363636353</v>
      </c>
      <c r="BN426" s="64">
        <f t="shared" ref="BN426:BN437" si="46">IFERROR(Y426*I426/H426,"0")</f>
        <v>62.040000000000006</v>
      </c>
      <c r="BO426" s="64">
        <f t="shared" ref="BO426:BO437" si="47">IFERROR(1/J426*(X426/H426),"0")</f>
        <v>9.6518065268065265E-2</v>
      </c>
      <c r="BP426" s="64">
        <f t="shared" ref="BP426:BP437" si="48">IFERROR(1/J426*(Y426/H426),"0")</f>
        <v>0.10576923076923078</v>
      </c>
    </row>
    <row r="427" spans="1:68" ht="27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649</v>
      </c>
      <c r="AG427" s="64"/>
      <c r="AJ427" s="68" t="s">
        <v>106</v>
      </c>
      <c r="AK427" s="68">
        <v>42.24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customHeight="1" x14ac:dyDescent="0.25">
      <c r="A428" s="54" t="s">
        <v>650</v>
      </c>
      <c r="B428" s="54" t="s">
        <v>651</v>
      </c>
      <c r="C428" s="31">
        <v>4301012145</v>
      </c>
      <c r="D428" s="549">
        <v>4607091383522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/>
      <c r="M428" s="33" t="s">
        <v>104</v>
      </c>
      <c r="N428" s="33"/>
      <c r="O428" s="32">
        <v>60</v>
      </c>
      <c r="P428" s="647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3"/>
        <v>0</v>
      </c>
      <c r="Z428" s="36" t="str">
        <f t="shared" si="44"/>
        <v/>
      </c>
      <c r="AA428" s="56"/>
      <c r="AB428" s="57"/>
      <c r="AC428" s="467" t="s">
        <v>652</v>
      </c>
      <c r="AG428" s="64"/>
      <c r="AJ428" s="68"/>
      <c r="AK428" s="68">
        <v>0</v>
      </c>
      <c r="BB428" s="468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653</v>
      </c>
      <c r="B429" s="54" t="s">
        <v>654</v>
      </c>
      <c r="C429" s="31">
        <v>4301011376</v>
      </c>
      <c r="D429" s="549">
        <v>4680115885226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 t="s">
        <v>103</v>
      </c>
      <c r="M429" s="33" t="s">
        <v>77</v>
      </c>
      <c r="N429" s="33"/>
      <c r="O429" s="32">
        <v>60</v>
      </c>
      <c r="P429" s="6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655</v>
      </c>
      <c r="AG429" s="64"/>
      <c r="AJ429" s="68" t="s">
        <v>106</v>
      </c>
      <c r="AK429" s="68">
        <v>42.24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16</v>
      </c>
      <c r="Y431" s="546">
        <f t="shared" si="43"/>
        <v>21.12</v>
      </c>
      <c r="Z431" s="36">
        <f t="shared" si="44"/>
        <v>4.7840000000000001E-2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17.09090909090909</v>
      </c>
      <c r="BN431" s="64">
        <f t="shared" si="46"/>
        <v>22.56</v>
      </c>
      <c r="BO431" s="64">
        <f t="shared" si="47"/>
        <v>2.913752913752914E-2</v>
      </c>
      <c r="BP431" s="64">
        <f t="shared" si="48"/>
        <v>3.8461538461538464E-2</v>
      </c>
    </row>
    <row r="432" spans="1:68" ht="16.5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 t="s">
        <v>110</v>
      </c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 t="s">
        <v>106</v>
      </c>
      <c r="AK437" s="68">
        <v>57.6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69"/>
      <c r="B438" s="564"/>
      <c r="C438" s="564"/>
      <c r="D438" s="564"/>
      <c r="E438" s="564"/>
      <c r="F438" s="564"/>
      <c r="G438" s="564"/>
      <c r="H438" s="564"/>
      <c r="I438" s="564"/>
      <c r="J438" s="564"/>
      <c r="K438" s="564"/>
      <c r="L438" s="564"/>
      <c r="M438" s="564"/>
      <c r="N438" s="564"/>
      <c r="O438" s="570"/>
      <c r="P438" s="560" t="s">
        <v>71</v>
      </c>
      <c r="Q438" s="561"/>
      <c r="R438" s="561"/>
      <c r="S438" s="561"/>
      <c r="T438" s="561"/>
      <c r="U438" s="561"/>
      <c r="V438" s="562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13.068181818181817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15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0.1794</v>
      </c>
      <c r="AA438" s="548"/>
      <c r="AB438" s="548"/>
      <c r="AC438" s="548"/>
    </row>
    <row r="439" spans="1:68" x14ac:dyDescent="0.2">
      <c r="A439" s="564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70"/>
      <c r="P439" s="560" t="s">
        <v>71</v>
      </c>
      <c r="Q439" s="561"/>
      <c r="R439" s="561"/>
      <c r="S439" s="561"/>
      <c r="T439" s="561"/>
      <c r="U439" s="561"/>
      <c r="V439" s="562"/>
      <c r="W439" s="37" t="s">
        <v>69</v>
      </c>
      <c r="X439" s="547">
        <f>IFERROR(SUM(X426:X437),"0")</f>
        <v>69</v>
      </c>
      <c r="Y439" s="547">
        <f>IFERROR(SUM(Y426:Y437),"0")</f>
        <v>79.2</v>
      </c>
      <c r="Z439" s="37"/>
      <c r="AA439" s="548"/>
      <c r="AB439" s="548"/>
      <c r="AC439" s="548"/>
    </row>
    <row r="440" spans="1:68" ht="14.25" customHeight="1" x14ac:dyDescent="0.25">
      <c r="A440" s="568" t="s">
        <v>135</v>
      </c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4"/>
      <c r="P440" s="564"/>
      <c r="Q440" s="564"/>
      <c r="R440" s="564"/>
      <c r="S440" s="564"/>
      <c r="T440" s="564"/>
      <c r="U440" s="564"/>
      <c r="V440" s="564"/>
      <c r="W440" s="564"/>
      <c r="X440" s="564"/>
      <c r="Y440" s="564"/>
      <c r="Z440" s="564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19</v>
      </c>
      <c r="Y441" s="546">
        <f>IFERROR(IF(X441="",0,CEILING((X441/$H441),1)*$H441),"")</f>
        <v>21.12</v>
      </c>
      <c r="Z441" s="36">
        <f>IFERROR(IF(Y441=0,"",ROUNDUP(Y441/H441,0)*0.01196),"")</f>
        <v>4.7840000000000001E-2</v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20.295454545454543</v>
      </c>
      <c r="BN441" s="64">
        <f>IFERROR(Y441*I441/H441,"0")</f>
        <v>22.56</v>
      </c>
      <c r="BO441" s="64">
        <f>IFERROR(1/J441*(X441/H441),"0")</f>
        <v>3.4600815850815848E-2</v>
      </c>
      <c r="BP441" s="64">
        <f>IFERROR(1/J441*(Y441/H441),"0")</f>
        <v>3.8461538461538464E-2</v>
      </c>
    </row>
    <row r="442" spans="1:68" ht="16.5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67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 t="s">
        <v>110</v>
      </c>
      <c r="M443" s="33" t="s">
        <v>104</v>
      </c>
      <c r="N443" s="33"/>
      <c r="O443" s="32">
        <v>70</v>
      </c>
      <c r="P443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677</v>
      </c>
      <c r="AG443" s="64"/>
      <c r="AJ443" s="68" t="s">
        <v>106</v>
      </c>
      <c r="AK443" s="68">
        <v>57.6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69"/>
      <c r="B444" s="564"/>
      <c r="C444" s="564"/>
      <c r="D444" s="564"/>
      <c r="E444" s="564"/>
      <c r="F444" s="564"/>
      <c r="G444" s="564"/>
      <c r="H444" s="564"/>
      <c r="I444" s="564"/>
      <c r="J444" s="564"/>
      <c r="K444" s="564"/>
      <c r="L444" s="564"/>
      <c r="M444" s="564"/>
      <c r="N444" s="564"/>
      <c r="O444" s="570"/>
      <c r="P444" s="560" t="s">
        <v>71</v>
      </c>
      <c r="Q444" s="561"/>
      <c r="R444" s="561"/>
      <c r="S444" s="561"/>
      <c r="T444" s="561"/>
      <c r="U444" s="561"/>
      <c r="V444" s="562"/>
      <c r="W444" s="37" t="s">
        <v>72</v>
      </c>
      <c r="X444" s="547">
        <f>IFERROR(X441/H441,"0")+IFERROR(X442/H442,"0")+IFERROR(X443/H443,"0")</f>
        <v>3.5984848484848482</v>
      </c>
      <c r="Y444" s="547">
        <f>IFERROR(Y441/H441,"0")+IFERROR(Y442/H442,"0")+IFERROR(Y443/H443,"0")</f>
        <v>4</v>
      </c>
      <c r="Z444" s="547">
        <f>IFERROR(IF(Z441="",0,Z441),"0")+IFERROR(IF(Z442="",0,Z442),"0")+IFERROR(IF(Z443="",0,Z443),"0")</f>
        <v>4.7840000000000001E-2</v>
      </c>
      <c r="AA444" s="548"/>
      <c r="AB444" s="548"/>
      <c r="AC444" s="548"/>
    </row>
    <row r="445" spans="1:68" x14ac:dyDescent="0.2">
      <c r="A445" s="564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70"/>
      <c r="P445" s="560" t="s">
        <v>71</v>
      </c>
      <c r="Q445" s="561"/>
      <c r="R445" s="561"/>
      <c r="S445" s="561"/>
      <c r="T445" s="561"/>
      <c r="U445" s="561"/>
      <c r="V445" s="562"/>
      <c r="W445" s="37" t="s">
        <v>69</v>
      </c>
      <c r="X445" s="547">
        <f>IFERROR(SUM(X441:X443),"0")</f>
        <v>19</v>
      </c>
      <c r="Y445" s="547">
        <f>IFERROR(SUM(Y441:Y443),"0")</f>
        <v>21.12</v>
      </c>
      <c r="Z445" s="37"/>
      <c r="AA445" s="548"/>
      <c r="AB445" s="548"/>
      <c r="AC445" s="548"/>
    </row>
    <row r="446" spans="1:68" ht="14.25" customHeight="1" x14ac:dyDescent="0.25">
      <c r="A446" s="568" t="s">
        <v>64</v>
      </c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4"/>
      <c r="P446" s="564"/>
      <c r="Q446" s="564"/>
      <c r="R446" s="564"/>
      <c r="S446" s="564"/>
      <c r="T446" s="564"/>
      <c r="U446" s="564"/>
      <c r="V446" s="564"/>
      <c r="W446" s="564"/>
      <c r="X446" s="564"/>
      <c r="Y446" s="564"/>
      <c r="Z446" s="564"/>
      <c r="AA446" s="541"/>
      <c r="AB446" s="541"/>
      <c r="AC446" s="541"/>
    </row>
    <row r="447" spans="1:68" ht="27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ref="Y447:Y452" si="49"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0</v>
      </c>
      <c r="BN447" s="64">
        <f t="shared" ref="BN447:BN452" si="51">IFERROR(Y447*I447/H447,"0")</f>
        <v>0</v>
      </c>
      <c r="BO447" s="64">
        <f t="shared" ref="BO447:BO452" si="52">IFERROR(1/J447*(X447/H447),"0")</f>
        <v>0</v>
      </c>
      <c r="BP447" s="64">
        <f t="shared" ref="BP447:BP452" si="53">IFERROR(1/J447*(Y447/H447),"0")</f>
        <v>0</v>
      </c>
    </row>
    <row r="448" spans="1:68" ht="27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6</v>
      </c>
      <c r="Y448" s="546">
        <f t="shared" si="49"/>
        <v>10.56</v>
      </c>
      <c r="Z448" s="36">
        <f>IFERROR(IF(Y448=0,"",ROUNDUP(Y448/H448,0)*0.01196),"")</f>
        <v>2.392E-2</v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6.4090909090909083</v>
      </c>
      <c r="BN448" s="64">
        <f t="shared" si="51"/>
        <v>11.28</v>
      </c>
      <c r="BO448" s="64">
        <f t="shared" si="52"/>
        <v>1.0926573426573426E-2</v>
      </c>
      <c r="BP448" s="64">
        <f t="shared" si="53"/>
        <v>1.9230769230769232E-2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4</v>
      </c>
      <c r="Y449" s="546">
        <f t="shared" si="49"/>
        <v>5.28</v>
      </c>
      <c r="Z449" s="36">
        <f>IFERROR(IF(Y449=0,"",ROUNDUP(Y449/H449,0)*0.01196),"")</f>
        <v>1.196E-2</v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4.2727272727272725</v>
      </c>
      <c r="BN449" s="64">
        <f t="shared" si="51"/>
        <v>5.64</v>
      </c>
      <c r="BO449" s="64">
        <f t="shared" si="52"/>
        <v>7.2843822843822849E-3</v>
      </c>
      <c r="BP449" s="64">
        <f t="shared" si="53"/>
        <v>9.6153846153846159E-3</v>
      </c>
    </row>
    <row r="450" spans="1:68" ht="27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6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0"/>
      <c r="P453" s="560" t="s">
        <v>71</v>
      </c>
      <c r="Q453" s="561"/>
      <c r="R453" s="561"/>
      <c r="S453" s="561"/>
      <c r="T453" s="561"/>
      <c r="U453" s="561"/>
      <c r="V453" s="562"/>
      <c r="W453" s="37" t="s">
        <v>72</v>
      </c>
      <c r="X453" s="547">
        <f>IFERROR(X447/H447,"0")+IFERROR(X448/H448,"0")+IFERROR(X449/H449,"0")+IFERROR(X450/H450,"0")+IFERROR(X451/H451,"0")+IFERROR(X452/H452,"0")</f>
        <v>1.8939393939393938</v>
      </c>
      <c r="Y453" s="547">
        <f>IFERROR(Y447/H447,"0")+IFERROR(Y448/H448,"0")+IFERROR(Y449/H449,"0")+IFERROR(Y450/H450,"0")+IFERROR(Y451/H451,"0")+IFERROR(Y452/H452,"0")</f>
        <v>3</v>
      </c>
      <c r="Z453" s="547">
        <f>IFERROR(IF(Z447="",0,Z447),"0")+IFERROR(IF(Z448="",0,Z448),"0")+IFERROR(IF(Z449="",0,Z449),"0")+IFERROR(IF(Z450="",0,Z450),"0")+IFERROR(IF(Z451="",0,Z451),"0")+IFERROR(IF(Z452="",0,Z452),"0")</f>
        <v>3.5880000000000002E-2</v>
      </c>
      <c r="AA453" s="548"/>
      <c r="AB453" s="548"/>
      <c r="AC453" s="548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0"/>
      <c r="P454" s="560" t="s">
        <v>71</v>
      </c>
      <c r="Q454" s="561"/>
      <c r="R454" s="561"/>
      <c r="S454" s="561"/>
      <c r="T454" s="561"/>
      <c r="U454" s="561"/>
      <c r="V454" s="562"/>
      <c r="W454" s="37" t="s">
        <v>69</v>
      </c>
      <c r="X454" s="547">
        <f>IFERROR(SUM(X447:X452),"0")</f>
        <v>10</v>
      </c>
      <c r="Y454" s="547">
        <f>IFERROR(SUM(Y447:Y452),"0")</f>
        <v>15.84</v>
      </c>
      <c r="Z454" s="37"/>
      <c r="AA454" s="548"/>
      <c r="AB454" s="548"/>
      <c r="AC454" s="548"/>
    </row>
    <row r="455" spans="1:68" ht="14.25" customHeight="1" x14ac:dyDescent="0.25">
      <c r="A455" s="568" t="s">
        <v>73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41"/>
      <c r="AB455" s="541"/>
      <c r="AC455" s="541"/>
    </row>
    <row r="456" spans="1:68" ht="16.5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69"/>
      <c r="B459" s="564"/>
      <c r="C459" s="564"/>
      <c r="D459" s="564"/>
      <c r="E459" s="564"/>
      <c r="F459" s="564"/>
      <c r="G459" s="564"/>
      <c r="H459" s="564"/>
      <c r="I459" s="564"/>
      <c r="J459" s="564"/>
      <c r="K459" s="564"/>
      <c r="L459" s="564"/>
      <c r="M459" s="564"/>
      <c r="N459" s="564"/>
      <c r="O459" s="570"/>
      <c r="P459" s="560" t="s">
        <v>71</v>
      </c>
      <c r="Q459" s="561"/>
      <c r="R459" s="561"/>
      <c r="S459" s="561"/>
      <c r="T459" s="561"/>
      <c r="U459" s="561"/>
      <c r="V459" s="562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x14ac:dyDescent="0.2">
      <c r="A460" s="564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70"/>
      <c r="P460" s="560" t="s">
        <v>71</v>
      </c>
      <c r="Q460" s="561"/>
      <c r="R460" s="561"/>
      <c r="S460" s="561"/>
      <c r="T460" s="561"/>
      <c r="U460" s="561"/>
      <c r="V460" s="562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customHeight="1" x14ac:dyDescent="0.2">
      <c r="A461" s="602" t="s">
        <v>706</v>
      </c>
      <c r="B461" s="603"/>
      <c r="C461" s="603"/>
      <c r="D461" s="603"/>
      <c r="E461" s="603"/>
      <c r="F461" s="603"/>
      <c r="G461" s="603"/>
      <c r="H461" s="603"/>
      <c r="I461" s="603"/>
      <c r="J461" s="603"/>
      <c r="K461" s="603"/>
      <c r="L461" s="603"/>
      <c r="M461" s="603"/>
      <c r="N461" s="603"/>
      <c r="O461" s="603"/>
      <c r="P461" s="603"/>
      <c r="Q461" s="603"/>
      <c r="R461" s="603"/>
      <c r="S461" s="603"/>
      <c r="T461" s="603"/>
      <c r="U461" s="603"/>
      <c r="V461" s="603"/>
      <c r="W461" s="603"/>
      <c r="X461" s="603"/>
      <c r="Y461" s="603"/>
      <c r="Z461" s="603"/>
      <c r="AA461" s="48"/>
      <c r="AB461" s="48"/>
      <c r="AC461" s="48"/>
    </row>
    <row r="462" spans="1:68" ht="16.5" customHeight="1" x14ac:dyDescent="0.25">
      <c r="A462" s="563" t="s">
        <v>706</v>
      </c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4"/>
      <c r="P462" s="564"/>
      <c r="Q462" s="564"/>
      <c r="R462" s="564"/>
      <c r="S462" s="564"/>
      <c r="T462" s="564"/>
      <c r="U462" s="564"/>
      <c r="V462" s="564"/>
      <c r="W462" s="564"/>
      <c r="X462" s="564"/>
      <c r="Y462" s="564"/>
      <c r="Z462" s="564"/>
      <c r="AA462" s="540"/>
      <c r="AB462" s="540"/>
      <c r="AC462" s="540"/>
    </row>
    <row r="463" spans="1:68" ht="14.25" customHeight="1" x14ac:dyDescent="0.25">
      <c r="A463" s="568" t="s">
        <v>99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1"/>
      <c r="AB463" s="541"/>
      <c r="AC463" s="541"/>
    </row>
    <row r="464" spans="1:68" ht="27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63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 t="s">
        <v>103</v>
      </c>
      <c r="M466" s="33" t="s">
        <v>104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 t="s">
        <v>106</v>
      </c>
      <c r="AK466" s="68">
        <v>96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68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9"/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70"/>
      <c r="P468" s="560" t="s">
        <v>71</v>
      </c>
      <c r="Q468" s="561"/>
      <c r="R468" s="561"/>
      <c r="S468" s="561"/>
      <c r="T468" s="561"/>
      <c r="U468" s="561"/>
      <c r="V468" s="562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x14ac:dyDescent="0.2">
      <c r="A469" s="564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0"/>
      <c r="P469" s="560" t="s">
        <v>71</v>
      </c>
      <c r="Q469" s="561"/>
      <c r="R469" s="561"/>
      <c r="S469" s="561"/>
      <c r="T469" s="561"/>
      <c r="U469" s="561"/>
      <c r="V469" s="562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customHeight="1" x14ac:dyDescent="0.25">
      <c r="A470" s="568" t="s">
        <v>135</v>
      </c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4"/>
      <c r="P470" s="564"/>
      <c r="Q470" s="564"/>
      <c r="R470" s="564"/>
      <c r="S470" s="564"/>
      <c r="T470" s="564"/>
      <c r="U470" s="564"/>
      <c r="V470" s="564"/>
      <c r="W470" s="564"/>
      <c r="X470" s="564"/>
      <c r="Y470" s="564"/>
      <c r="Z470" s="564"/>
      <c r="AA470" s="541"/>
      <c r="AB470" s="541"/>
      <c r="AC470" s="541"/>
    </row>
    <row r="471" spans="1:68" ht="27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755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6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9"/>
      <c r="B474" s="564"/>
      <c r="C474" s="564"/>
      <c r="D474" s="564"/>
      <c r="E474" s="564"/>
      <c r="F474" s="564"/>
      <c r="G474" s="564"/>
      <c r="H474" s="564"/>
      <c r="I474" s="564"/>
      <c r="J474" s="564"/>
      <c r="K474" s="564"/>
      <c r="L474" s="564"/>
      <c r="M474" s="564"/>
      <c r="N474" s="564"/>
      <c r="O474" s="570"/>
      <c r="P474" s="560" t="s">
        <v>71</v>
      </c>
      <c r="Q474" s="561"/>
      <c r="R474" s="561"/>
      <c r="S474" s="561"/>
      <c r="T474" s="561"/>
      <c r="U474" s="561"/>
      <c r="V474" s="562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x14ac:dyDescent="0.2">
      <c r="A475" s="564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70"/>
      <c r="P475" s="560" t="s">
        <v>71</v>
      </c>
      <c r="Q475" s="561"/>
      <c r="R475" s="561"/>
      <c r="S475" s="561"/>
      <c r="T475" s="561"/>
      <c r="U475" s="561"/>
      <c r="V475" s="562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customHeight="1" x14ac:dyDescent="0.25">
      <c r="A476" s="568" t="s">
        <v>64</v>
      </c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4"/>
      <c r="P476" s="564"/>
      <c r="Q476" s="564"/>
      <c r="R476" s="564"/>
      <c r="S476" s="564"/>
      <c r="T476" s="564"/>
      <c r="U476" s="564"/>
      <c r="V476" s="564"/>
      <c r="W476" s="564"/>
      <c r="X476" s="564"/>
      <c r="Y476" s="564"/>
      <c r="Z476" s="564"/>
      <c r="AA476" s="541"/>
      <c r="AB476" s="541"/>
      <c r="AC476" s="541"/>
    </row>
    <row r="477" spans="1:68" ht="27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 t="s">
        <v>110</v>
      </c>
      <c r="M477" s="33" t="s">
        <v>68</v>
      </c>
      <c r="N477" s="33"/>
      <c r="O477" s="32">
        <v>40</v>
      </c>
      <c r="P477" s="7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730</v>
      </c>
      <c r="AG477" s="64"/>
      <c r="AJ477" s="68" t="s">
        <v>106</v>
      </c>
      <c r="AK477" s="68">
        <v>50.4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 t="s">
        <v>110</v>
      </c>
      <c r="M478" s="33" t="s">
        <v>68</v>
      </c>
      <c r="N478" s="33"/>
      <c r="O478" s="32">
        <v>40</v>
      </c>
      <c r="P478" s="80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106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9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0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x14ac:dyDescent="0.2">
      <c r="A480" s="564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70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customHeight="1" x14ac:dyDescent="0.25">
      <c r="A481" s="568" t="s">
        <v>73</v>
      </c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4"/>
      <c r="P481" s="564"/>
      <c r="Q481" s="564"/>
      <c r="R481" s="564"/>
      <c r="S481" s="564"/>
      <c r="T481" s="564"/>
      <c r="U481" s="564"/>
      <c r="V481" s="564"/>
      <c r="W481" s="564"/>
      <c r="X481" s="564"/>
      <c r="Y481" s="564"/>
      <c r="Z481" s="564"/>
      <c r="AA481" s="541"/>
      <c r="AB481" s="541"/>
      <c r="AC481" s="541"/>
    </row>
    <row r="482" spans="1:68" ht="27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71</v>
      </c>
      <c r="Y482" s="546">
        <f>IFERROR(IF(X482="",0,CEILING((X482/$H482),1)*$H482),"")</f>
        <v>72</v>
      </c>
      <c r="Z482" s="36">
        <f>IFERROR(IF(Y482=0,"",ROUNDUP(Y482/H482,0)*0.01898),"")</f>
        <v>0.15184</v>
      </c>
      <c r="AA482" s="56"/>
      <c r="AB482" s="57"/>
      <c r="AC482" s="529" t="s">
        <v>736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75.094333333333338</v>
      </c>
      <c r="BN482" s="64">
        <f>IFERROR(Y482*I482/H482,"0")</f>
        <v>76.152000000000001</v>
      </c>
      <c r="BO482" s="64">
        <f>IFERROR(1/J482*(X482/H482),"0")</f>
        <v>0.1232638888888889</v>
      </c>
      <c r="BP482" s="64">
        <f>IFERROR(1/J482*(Y482/H482),"0")</f>
        <v>0.125</v>
      </c>
    </row>
    <row r="483" spans="1:68" x14ac:dyDescent="0.2">
      <c r="A483" s="569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70"/>
      <c r="P483" s="560" t="s">
        <v>71</v>
      </c>
      <c r="Q483" s="561"/>
      <c r="R483" s="561"/>
      <c r="S483" s="561"/>
      <c r="T483" s="561"/>
      <c r="U483" s="561"/>
      <c r="V483" s="562"/>
      <c r="W483" s="37" t="s">
        <v>72</v>
      </c>
      <c r="X483" s="547">
        <f>IFERROR(X482/H482,"0")</f>
        <v>7.8888888888888893</v>
      </c>
      <c r="Y483" s="547">
        <f>IFERROR(Y482/H482,"0")</f>
        <v>8</v>
      </c>
      <c r="Z483" s="547">
        <f>IFERROR(IF(Z482="",0,Z482),"0")</f>
        <v>0.15184</v>
      </c>
      <c r="AA483" s="548"/>
      <c r="AB483" s="548"/>
      <c r="AC483" s="548"/>
    </row>
    <row r="484" spans="1:68" x14ac:dyDescent="0.2">
      <c r="A484" s="564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0"/>
      <c r="P484" s="560" t="s">
        <v>71</v>
      </c>
      <c r="Q484" s="561"/>
      <c r="R484" s="561"/>
      <c r="S484" s="561"/>
      <c r="T484" s="561"/>
      <c r="U484" s="561"/>
      <c r="V484" s="562"/>
      <c r="W484" s="37" t="s">
        <v>69</v>
      </c>
      <c r="X484" s="547">
        <f>IFERROR(SUM(X482:X482),"0")</f>
        <v>71</v>
      </c>
      <c r="Y484" s="547">
        <f>IFERROR(SUM(Y482:Y482),"0")</f>
        <v>72</v>
      </c>
      <c r="Z484" s="37"/>
      <c r="AA484" s="548"/>
      <c r="AB484" s="548"/>
      <c r="AC484" s="548"/>
    </row>
    <row r="485" spans="1:68" ht="14.25" customHeight="1" x14ac:dyDescent="0.25">
      <c r="A485" s="568" t="s">
        <v>165</v>
      </c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4"/>
      <c r="P485" s="564"/>
      <c r="Q485" s="564"/>
      <c r="R485" s="564"/>
      <c r="S485" s="564"/>
      <c r="T485" s="564"/>
      <c r="U485" s="564"/>
      <c r="V485" s="564"/>
      <c r="W485" s="564"/>
      <c r="X485" s="564"/>
      <c r="Y485" s="564"/>
      <c r="Z485" s="564"/>
      <c r="AA485" s="541"/>
      <c r="AB485" s="541"/>
      <c r="AC485" s="541"/>
    </row>
    <row r="486" spans="1:68" ht="27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9"/>
      <c r="B488" s="564"/>
      <c r="C488" s="564"/>
      <c r="D488" s="564"/>
      <c r="E488" s="564"/>
      <c r="F488" s="564"/>
      <c r="G488" s="564"/>
      <c r="H488" s="564"/>
      <c r="I488" s="564"/>
      <c r="J488" s="564"/>
      <c r="K488" s="564"/>
      <c r="L488" s="564"/>
      <c r="M488" s="564"/>
      <c r="N488" s="564"/>
      <c r="O488" s="570"/>
      <c r="P488" s="560" t="s">
        <v>71</v>
      </c>
      <c r="Q488" s="561"/>
      <c r="R488" s="561"/>
      <c r="S488" s="561"/>
      <c r="T488" s="561"/>
      <c r="U488" s="561"/>
      <c r="V488" s="562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x14ac:dyDescent="0.2">
      <c r="A489" s="564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0"/>
      <c r="P489" s="560" t="s">
        <v>71</v>
      </c>
      <c r="Q489" s="561"/>
      <c r="R489" s="561"/>
      <c r="S489" s="561"/>
      <c r="T489" s="561"/>
      <c r="U489" s="561"/>
      <c r="V489" s="562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customHeight="1" x14ac:dyDescent="0.25">
      <c r="A490" s="563" t="s">
        <v>743</v>
      </c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4"/>
      <c r="P490" s="564"/>
      <c r="Q490" s="564"/>
      <c r="R490" s="564"/>
      <c r="S490" s="564"/>
      <c r="T490" s="564"/>
      <c r="U490" s="564"/>
      <c r="V490" s="564"/>
      <c r="W490" s="564"/>
      <c r="X490" s="564"/>
      <c r="Y490" s="564"/>
      <c r="Z490" s="564"/>
      <c r="AA490" s="540"/>
      <c r="AB490" s="540"/>
      <c r="AC490" s="540"/>
    </row>
    <row r="491" spans="1:68" ht="14.25" customHeight="1" x14ac:dyDescent="0.25">
      <c r="A491" s="568" t="s">
        <v>135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1"/>
      <c r="AB491" s="541"/>
      <c r="AC491" s="541"/>
    </row>
    <row r="492" spans="1:68" ht="27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9"/>
      <c r="B493" s="564"/>
      <c r="C493" s="564"/>
      <c r="D493" s="564"/>
      <c r="E493" s="564"/>
      <c r="F493" s="564"/>
      <c r="G493" s="564"/>
      <c r="H493" s="564"/>
      <c r="I493" s="564"/>
      <c r="J493" s="564"/>
      <c r="K493" s="564"/>
      <c r="L493" s="564"/>
      <c r="M493" s="564"/>
      <c r="N493" s="564"/>
      <c r="O493" s="570"/>
      <c r="P493" s="560" t="s">
        <v>71</v>
      </c>
      <c r="Q493" s="561"/>
      <c r="R493" s="561"/>
      <c r="S493" s="561"/>
      <c r="T493" s="561"/>
      <c r="U493" s="561"/>
      <c r="V493" s="562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x14ac:dyDescent="0.2">
      <c r="A494" s="564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0"/>
      <c r="P494" s="560" t="s">
        <v>71</v>
      </c>
      <c r="Q494" s="561"/>
      <c r="R494" s="561"/>
      <c r="S494" s="561"/>
      <c r="T494" s="561"/>
      <c r="U494" s="561"/>
      <c r="V494" s="562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0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709"/>
      <c r="P495" s="702" t="s">
        <v>747</v>
      </c>
      <c r="Q495" s="671"/>
      <c r="R495" s="671"/>
      <c r="S495" s="671"/>
      <c r="T495" s="671"/>
      <c r="U495" s="671"/>
      <c r="V495" s="672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2138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2264.83</v>
      </c>
      <c r="Z495" s="37"/>
      <c r="AA495" s="548"/>
      <c r="AB495" s="548"/>
      <c r="AC495" s="548"/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709"/>
      <c r="P496" s="702" t="s">
        <v>748</v>
      </c>
      <c r="Q496" s="671"/>
      <c r="R496" s="671"/>
      <c r="S496" s="671"/>
      <c r="T496" s="671"/>
      <c r="U496" s="671"/>
      <c r="V496" s="672"/>
      <c r="W496" s="37" t="s">
        <v>69</v>
      </c>
      <c r="X496" s="547">
        <f>IFERROR(SUM(BM22:BM492),"0")</f>
        <v>2260.7053404299568</v>
      </c>
      <c r="Y496" s="547">
        <f>IFERROR(SUM(BN22:BN492),"0")</f>
        <v>2394.8540000000003</v>
      </c>
      <c r="Z496" s="37"/>
      <c r="AA496" s="548"/>
      <c r="AB496" s="548"/>
      <c r="AC496" s="548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709"/>
      <c r="P497" s="702" t="s">
        <v>749</v>
      </c>
      <c r="Q497" s="671"/>
      <c r="R497" s="671"/>
      <c r="S497" s="671"/>
      <c r="T497" s="671"/>
      <c r="U497" s="671"/>
      <c r="V497" s="672"/>
      <c r="W497" s="37" t="s">
        <v>750</v>
      </c>
      <c r="X497" s="38">
        <f>ROUNDUP(SUM(BO22:BO492),0)</f>
        <v>4</v>
      </c>
      <c r="Y497" s="38">
        <f>ROUNDUP(SUM(BP22:BP492),0)</f>
        <v>4</v>
      </c>
      <c r="Z497" s="37"/>
      <c r="AA497" s="548"/>
      <c r="AB497" s="548"/>
      <c r="AC497" s="548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709"/>
      <c r="P498" s="702" t="s">
        <v>751</v>
      </c>
      <c r="Q498" s="671"/>
      <c r="R498" s="671"/>
      <c r="S498" s="671"/>
      <c r="T498" s="671"/>
      <c r="U498" s="671"/>
      <c r="V498" s="672"/>
      <c r="W498" s="37" t="s">
        <v>69</v>
      </c>
      <c r="X498" s="547">
        <f>GrossWeightTotal+PalletQtyTotal*25</f>
        <v>2360.7053404299568</v>
      </c>
      <c r="Y498" s="547">
        <f>GrossWeightTotalR+PalletQtyTotalR*25</f>
        <v>2494.8540000000003</v>
      </c>
      <c r="Z498" s="37"/>
      <c r="AA498" s="548"/>
      <c r="AB498" s="548"/>
      <c r="AC498" s="548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709"/>
      <c r="P499" s="702" t="s">
        <v>752</v>
      </c>
      <c r="Q499" s="671"/>
      <c r="R499" s="671"/>
      <c r="S499" s="671"/>
      <c r="T499" s="671"/>
      <c r="U499" s="671"/>
      <c r="V499" s="672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438.17426870476407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462</v>
      </c>
      <c r="Z499" s="37"/>
      <c r="AA499" s="548"/>
      <c r="AB499" s="548"/>
      <c r="AC499" s="548"/>
    </row>
    <row r="500" spans="1:32" ht="14.25" customHeight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709"/>
      <c r="P500" s="702" t="s">
        <v>753</v>
      </c>
      <c r="Q500" s="671"/>
      <c r="R500" s="671"/>
      <c r="S500" s="671"/>
      <c r="T500" s="671"/>
      <c r="U500" s="671"/>
      <c r="V500" s="672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4.5850200000000001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88" t="s">
        <v>97</v>
      </c>
      <c r="D502" s="621"/>
      <c r="E502" s="621"/>
      <c r="F502" s="621"/>
      <c r="G502" s="621"/>
      <c r="H502" s="622"/>
      <c r="I502" s="588" t="s">
        <v>250</v>
      </c>
      <c r="J502" s="621"/>
      <c r="K502" s="621"/>
      <c r="L502" s="621"/>
      <c r="M502" s="621"/>
      <c r="N502" s="621"/>
      <c r="O502" s="621"/>
      <c r="P502" s="621"/>
      <c r="Q502" s="621"/>
      <c r="R502" s="621"/>
      <c r="S502" s="622"/>
      <c r="T502" s="588" t="s">
        <v>535</v>
      </c>
      <c r="U502" s="622"/>
      <c r="V502" s="588" t="s">
        <v>592</v>
      </c>
      <c r="W502" s="621"/>
      <c r="X502" s="622"/>
      <c r="Y502" s="542" t="s">
        <v>644</v>
      </c>
      <c r="Z502" s="588" t="s">
        <v>706</v>
      </c>
      <c r="AA502" s="622"/>
      <c r="AB502" s="52"/>
      <c r="AC502" s="52"/>
      <c r="AF502" s="543"/>
    </row>
    <row r="503" spans="1:32" ht="14.25" customHeight="1" thickTop="1" x14ac:dyDescent="0.2">
      <c r="A503" s="594" t="s">
        <v>756</v>
      </c>
      <c r="B503" s="588" t="s">
        <v>63</v>
      </c>
      <c r="C503" s="588" t="s">
        <v>98</v>
      </c>
      <c r="D503" s="588" t="s">
        <v>116</v>
      </c>
      <c r="E503" s="588" t="s">
        <v>172</v>
      </c>
      <c r="F503" s="588" t="s">
        <v>192</v>
      </c>
      <c r="G503" s="588" t="s">
        <v>222</v>
      </c>
      <c r="H503" s="588" t="s">
        <v>97</v>
      </c>
      <c r="I503" s="588" t="s">
        <v>251</v>
      </c>
      <c r="J503" s="588" t="s">
        <v>292</v>
      </c>
      <c r="K503" s="588" t="s">
        <v>352</v>
      </c>
      <c r="L503" s="588" t="s">
        <v>397</v>
      </c>
      <c r="M503" s="588" t="s">
        <v>413</v>
      </c>
      <c r="N503" s="543"/>
      <c r="O503" s="588" t="s">
        <v>425</v>
      </c>
      <c r="P503" s="588" t="s">
        <v>435</v>
      </c>
      <c r="Q503" s="588" t="s">
        <v>442</v>
      </c>
      <c r="R503" s="588" t="s">
        <v>447</v>
      </c>
      <c r="S503" s="588" t="s">
        <v>525</v>
      </c>
      <c r="T503" s="588" t="s">
        <v>536</v>
      </c>
      <c r="U503" s="588" t="s">
        <v>570</v>
      </c>
      <c r="V503" s="588" t="s">
        <v>593</v>
      </c>
      <c r="W503" s="588" t="s">
        <v>625</v>
      </c>
      <c r="X503" s="588" t="s">
        <v>640</v>
      </c>
      <c r="Y503" s="588" t="s">
        <v>644</v>
      </c>
      <c r="Z503" s="588" t="s">
        <v>706</v>
      </c>
      <c r="AA503" s="588" t="s">
        <v>743</v>
      </c>
      <c r="AB503" s="52"/>
      <c r="AC503" s="52"/>
      <c r="AF503" s="543"/>
    </row>
    <row r="504" spans="1:32" ht="13.5" customHeight="1" thickBot="1" x14ac:dyDescent="0.25">
      <c r="A504" s="595"/>
      <c r="B504" s="589"/>
      <c r="C504" s="589"/>
      <c r="D504" s="589"/>
      <c r="E504" s="589"/>
      <c r="F504" s="589"/>
      <c r="G504" s="589"/>
      <c r="H504" s="589"/>
      <c r="I504" s="589"/>
      <c r="J504" s="589"/>
      <c r="K504" s="589"/>
      <c r="L504" s="589"/>
      <c r="M504" s="589"/>
      <c r="N504" s="543"/>
      <c r="O504" s="589"/>
      <c r="P504" s="589"/>
      <c r="Q504" s="589"/>
      <c r="R504" s="589"/>
      <c r="S504" s="589"/>
      <c r="T504" s="589"/>
      <c r="U504" s="589"/>
      <c r="V504" s="589"/>
      <c r="W504" s="589"/>
      <c r="X504" s="589"/>
      <c r="Y504" s="589"/>
      <c r="Z504" s="589"/>
      <c r="AA504" s="589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91.9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85.399999999999991</v>
      </c>
      <c r="E505" s="46">
        <f>IFERROR(Y86*1,"0")+IFERROR(Y87*1,"0")+IFERROR(Y88*1,"0")+IFERROR(Y92*1,"0")+IFERROR(Y93*1,"0")+IFERROR(Y94*1,"0")+IFERROR(Y95*1,"0")</f>
        <v>144.9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254.70000000000002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37.86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472.8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18.75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0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58.36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831</v>
      </c>
      <c r="U505" s="46">
        <f>IFERROR(Y367*1,"0")+IFERROR(Y368*1,"0")+IFERROR(Y369*1,"0")+IFERROR(Y373*1,"0")+IFERROR(Y374*1,"0")+IFERROR(Y378*1,"0")+IFERROR(Y379*1,"0")+IFERROR(Y383*1,"0")</f>
        <v>0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75.600000000000009</v>
      </c>
      <c r="W505" s="46">
        <f>IFERROR(Y408*1,"0")+IFERROR(Y412*1,"0")+IFERROR(Y413*1,"0")+IFERROR(Y414*1,"0")+IFERROR(Y415*1,"0")</f>
        <v>5.4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116.16000000000001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72</v>
      </c>
      <c r="AA505" s="46">
        <f>IFERROR(Y492*1,"0")</f>
        <v>0</v>
      </c>
      <c r="AB505" s="52"/>
      <c r="AC505" s="52"/>
      <c r="AF505" s="543"/>
    </row>
  </sheetData>
  <sheetProtection algorithmName="SHA-512" hashValue="8GwBd1xfXdr1XWtjIAnwWKBEpE9ZxFiNvy9Q7vyJFicGgUh1pgsohotitDCt8VaX499l2NpmczUK68Q40JGx1A==" saltValue="foRg99y3YLNjlnLbISiMu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U17:V17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D433:E433"/>
    <mergeCell ref="D262:E262"/>
    <mergeCell ref="P368:T368"/>
    <mergeCell ref="P122:V122"/>
    <mergeCell ref="D237:E237"/>
    <mergeCell ref="P43:V43"/>
    <mergeCell ref="P285:V285"/>
    <mergeCell ref="A39:Z39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Q6:R6"/>
    <mergeCell ref="P243:T243"/>
    <mergeCell ref="D29:E29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75:T75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P357:T357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F5:G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V11:W11"/>
    <mergeCell ref="A370:O371"/>
    <mergeCell ref="D457:E457"/>
    <mergeCell ref="P367:T367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D321:E321"/>
    <mergeCell ref="P278:T278"/>
    <mergeCell ref="P107:T107"/>
    <mergeCell ref="P101:T101"/>
    <mergeCell ref="P63:V63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A9:C9"/>
    <mergeCell ref="D373:E373"/>
    <mergeCell ref="D202:E202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32:V32"/>
    <mergeCell ref="P474:V474"/>
    <mergeCell ref="Q13:R13"/>
    <mergeCell ref="P97:V97"/>
    <mergeCell ref="D389:E389"/>
    <mergeCell ref="P47:V47"/>
    <mergeCell ref="P176:T176"/>
    <mergeCell ref="P114:T114"/>
    <mergeCell ref="P241:T241"/>
    <mergeCell ref="P41:T41"/>
    <mergeCell ref="A157:Z157"/>
    <mergeCell ref="A35:O36"/>
    <mergeCell ref="A481:Z481"/>
    <mergeCell ref="A399:O400"/>
    <mergeCell ref="P61:T61"/>
    <mergeCell ref="A273:Z273"/>
    <mergeCell ref="D436:E436"/>
    <mergeCell ref="D292:E292"/>
    <mergeCell ref="P346:T346"/>
    <mergeCell ref="D227:E227"/>
    <mergeCell ref="P321:T321"/>
    <mergeCell ref="P125:T125"/>
    <mergeCell ref="A455:Z455"/>
    <mergeCell ref="D320:E320"/>
    <mergeCell ref="D447:E447"/>
    <mergeCell ref="A127:O128"/>
    <mergeCell ref="P301:T301"/>
    <mergeCell ref="P255:V255"/>
    <mergeCell ref="A175:Z175"/>
    <mergeCell ref="P410:V410"/>
    <mergeCell ref="P174:V174"/>
    <mergeCell ref="P102:T102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A461:Z461"/>
    <mergeCell ref="D288:E288"/>
    <mergeCell ref="P130:T130"/>
    <mergeCell ref="P421:V421"/>
    <mergeCell ref="D136:E136"/>
    <mergeCell ref="D434:E434"/>
    <mergeCell ref="P46:T46"/>
    <mergeCell ref="D154:E154"/>
    <mergeCell ref="D225:E225"/>
    <mergeCell ref="D22:E22"/>
    <mergeCell ref="M17:M18"/>
    <mergeCell ref="O17:O18"/>
    <mergeCell ref="A106:Z106"/>
    <mergeCell ref="D164:E164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D383:E383"/>
    <mergeCell ref="P164:T164"/>
    <mergeCell ref="D299:E299"/>
    <mergeCell ref="D222:E222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D415:E415"/>
    <mergeCell ref="P80:T80"/>
    <mergeCell ref="D194:E194"/>
    <mergeCell ref="P173:V173"/>
    <mergeCell ref="AA17:AA18"/>
    <mergeCell ref="H10:M10"/>
    <mergeCell ref="A377:Z377"/>
    <mergeCell ref="AC17:AC18"/>
    <mergeCell ref="A409:O410"/>
    <mergeCell ref="P108:T108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A12:M12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D206:E206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384:V384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P150:V150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A401:Z401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A470:Z470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P149:V149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A483:O484"/>
    <mergeCell ref="P353:T353"/>
    <mergeCell ref="P82:V82"/>
    <mergeCell ref="A134:Z134"/>
    <mergeCell ref="A265:Z26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H503:H504"/>
    <mergeCell ref="P442:T442"/>
    <mergeCell ref="P467:T467"/>
    <mergeCell ref="P489:V489"/>
    <mergeCell ref="D448:E448"/>
    <mergeCell ref="P354:V354"/>
    <mergeCell ref="P183:V183"/>
    <mergeCell ref="A43:O44"/>
    <mergeCell ref="P133:V133"/>
    <mergeCell ref="D390:E390"/>
    <mergeCell ref="A123:Z123"/>
    <mergeCell ref="P127:V127"/>
    <mergeCell ref="Y503:Y504"/>
    <mergeCell ref="D492:E492"/>
    <mergeCell ref="Z503:Z504"/>
    <mergeCell ref="A132:O133"/>
    <mergeCell ref="P439:V439"/>
    <mergeCell ref="A438:O439"/>
    <mergeCell ref="P427:T427"/>
    <mergeCell ref="P497:V497"/>
    <mergeCell ref="P484:V484"/>
    <mergeCell ref="E503:E504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P417:V417"/>
    <mergeCell ref="Q12:R12"/>
    <mergeCell ref="I17:I18"/>
    <mergeCell ref="D141:E141"/>
    <mergeCell ref="D306:E306"/>
    <mergeCell ref="D135:E135"/>
    <mergeCell ref="P456:T456"/>
    <mergeCell ref="A246:O247"/>
    <mergeCell ref="P414:T414"/>
    <mergeCell ref="P352:T352"/>
    <mergeCell ref="D72:E72"/>
    <mergeCell ref="A326:Z326"/>
    <mergeCell ref="P178:V178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P245:T245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369:E369"/>
    <mergeCell ref="P223:T223"/>
    <mergeCell ref="D160:E160"/>
    <mergeCell ref="A493:O494"/>
    <mergeCell ref="P35:V35"/>
    <mergeCell ref="P399:V399"/>
    <mergeCell ref="D316:E316"/>
    <mergeCell ref="A218:Z218"/>
    <mergeCell ref="D443:E443"/>
    <mergeCell ref="D210:E210"/>
    <mergeCell ref="A421:O422"/>
    <mergeCell ref="D308:E308"/>
    <mergeCell ref="D209:E209"/>
    <mergeCell ref="P166:T166"/>
    <mergeCell ref="A282:Z282"/>
    <mergeCell ref="P103:T103"/>
    <mergeCell ref="D108:E108"/>
    <mergeCell ref="P52:T52"/>
    <mergeCell ref="P224:T224"/>
    <mergeCell ref="P322:T322"/>
    <mergeCell ref="P260:T260"/>
    <mergeCell ref="P309:T309"/>
    <mergeCell ref="D172:E172"/>
    <mergeCell ref="P88:T88"/>
    <mergeCell ref="P51:T51"/>
    <mergeCell ref="A295:Z295"/>
    <mergeCell ref="P57:V57"/>
    <mergeCell ref="D397:E397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281:Z281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53:E353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A211:O212"/>
    <mergeCell ref="D8:M8"/>
    <mergeCell ref="D300:E300"/>
    <mergeCell ref="P279:V279"/>
    <mergeCell ref="P237:T237"/>
    <mergeCell ref="P329:T329"/>
    <mergeCell ref="P158:T15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H9:I9"/>
    <mergeCell ref="P24:V24"/>
    <mergeCell ref="A49:Z49"/>
    <mergeCell ref="P211:V211"/>
    <mergeCell ref="P89:V89"/>
    <mergeCell ref="P453:V453"/>
    <mergeCell ref="P389:T389"/>
    <mergeCell ref="D297:E297"/>
    <mergeCell ref="P324:V324"/>
    <mergeCell ref="P391:T391"/>
    <mergeCell ref="P220:T220"/>
    <mergeCell ref="A65:Z65"/>
    <mergeCell ref="D426:E426"/>
    <mergeCell ref="A77:O78"/>
    <mergeCell ref="P56:T56"/>
    <mergeCell ref="D66:E66"/>
    <mergeCell ref="D53:E53"/>
    <mergeCell ref="A50:Z50"/>
    <mergeCell ref="W17:W18"/>
    <mergeCell ref="D92:E92"/>
    <mergeCell ref="D55:E55"/>
    <mergeCell ref="D30:E30"/>
    <mergeCell ref="D67:E67"/>
    <mergeCell ref="A140:Z140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2 X51:X52 X54 X56 X60 X73 X80 X86 X88 X92 X94:X95 X100:X102 X107 X109 X113 X115 X125:X126 X131 X158 X160:X161 X163:X164 X187 X191:X196 X198 X202:X205 X207:X210 X214:X215 X221 X250 X268:X269 X297 X300 X306 X310 X314:X316 X322:X323 X327 X329 X334:X336 X342:X345 X352 X358 X368 X373 X378:X379 X389 X392 X397 X412 X426:X427 X429 X431 X437 X441 X443 X447:X449 X466 X477:X478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Sc6h+AwqirU+vMwqU8mXN3oGNdAg0MUfc+q52AcHQjwmEkjo5dKqw3zRuQL/jgvhl97E9c1z7zb7Cft1FaJ++w==" saltValue="B+Bo+Ev2s7InS/7vDMOf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2025-10-17T08:09:22Z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