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UZ\"/>
    </mc:Choice>
  </mc:AlternateContent>
  <xr:revisionPtr revIDLastSave="0" documentId="13_ncr:1_{A055873B-BF04-4E5C-B3BF-5DFA86BC19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заказа'!$X$356:$X$356</definedName>
    <definedName name="GrossWeightTotalR">'Бланк заказа'!$Y$356:$Y$356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заказа'!$X$357:$X$357</definedName>
    <definedName name="PalletQtyTotalR">'Бланк заказа'!$Y$357:$Y$357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заказа'!$B$227:$B$227</definedName>
    <definedName name="ProductId101">'Бланк заказа'!$B$228:$B$228</definedName>
    <definedName name="ProductId102">'Бланк заказа'!$B$232:$B$232</definedName>
    <definedName name="ProductId103">'Бланк заказа'!$B$233:$B$233</definedName>
    <definedName name="ProductId104">'Бланк заказа'!$B$234:$B$234</definedName>
    <definedName name="ProductId105">'Бланк заказа'!$B$238:$B$238</definedName>
    <definedName name="ProductId106">'Бланк заказа'!$B$239:$B$239</definedName>
    <definedName name="ProductId107">'Бланк заказа'!$B$240:$B$240</definedName>
    <definedName name="ProductId108">'Бланк заказа'!$B$241:$B$241</definedName>
    <definedName name="ProductId109">'Бланк заказа'!$B$245:$B$245</definedName>
    <definedName name="ProductId11">'Бланк заказа'!$B$44:$B$44</definedName>
    <definedName name="ProductId110">'Бланк заказа'!$B$246:$B$246</definedName>
    <definedName name="ProductId111">'Бланк заказа'!$B$247:$B$247</definedName>
    <definedName name="ProductId112">'Бланк заказа'!$B$252:$B$252</definedName>
    <definedName name="ProductId113">'Бланк заказа'!$B$253:$B$253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заказа'!$B$263:$B$263</definedName>
    <definedName name="ProductId119">'Бланк заказа'!$B$264:$B$264</definedName>
    <definedName name="ProductId12">'Бланк заказа'!$B$45:$B$45</definedName>
    <definedName name="ProductId120">'Бланк заказа'!$B$268:$B$268</definedName>
    <definedName name="ProductId121">'Бланк заказа'!$B$269:$B$269</definedName>
    <definedName name="ProductId122">'Бланк заказа'!$B$273:$B$273</definedName>
    <definedName name="ProductId123">'Бланк заказа'!$B$274:$B$274</definedName>
    <definedName name="ProductId124">'Бланк заказа'!$B$278:$B$278</definedName>
    <definedName name="ProductId125">'Бланк заказа'!$B$283:$B$283</definedName>
    <definedName name="ProductId126">'Бланк заказа'!$B$284:$B$284</definedName>
    <definedName name="ProductId127">'Бланк заказа'!$B$285:$B$285</definedName>
    <definedName name="ProductId128">'Бланк заказа'!$B$289:$B$289</definedName>
    <definedName name="ProductId129">'Бланк заказа'!$B$293:$B$293</definedName>
    <definedName name="ProductId13">'Бланк заказа'!$B$49:$B$49</definedName>
    <definedName name="ProductId130">'Бланк заказа'!$B$294:$B$294</definedName>
    <definedName name="ProductId131">'Бланк заказа'!$B$298:$B$298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заказа'!$B$307:$B$307</definedName>
    <definedName name="ProductId136">'Бланк заказа'!$B$311:$B$311</definedName>
    <definedName name="ProductId137">'Бланк заказа'!$B$312:$B$312</definedName>
    <definedName name="ProductId138">'Бланк заказа'!$B$317:$B$317</definedName>
    <definedName name="ProductId139">'Бланк заказа'!$B$321:$B$321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заказа'!$B$337:$B$337</definedName>
    <definedName name="ProductId148">'Бланк заказа'!$B$338:$B$338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заказа'!$B$347:$B$347</definedName>
    <definedName name="ProductId155">'Бланк заказа'!$B$351:$B$351</definedName>
    <definedName name="ProductId156">'Бланк заказа'!$B$352:$B$352</definedName>
    <definedName name="ProductId16">'Бланк заказа'!$B$55:$B$55</definedName>
    <definedName name="ProductId17">'Бланк заказа'!$B$56:$B$56</definedName>
    <definedName name="ProductId18">'Бланк заказа'!$B$61:$B$61</definedName>
    <definedName name="ProductId19">'Бланк заказа'!$B$62:$B$62</definedName>
    <definedName name="ProductId2">'Бланк заказа'!$B$23:$B$23</definedName>
    <definedName name="ProductId20">'Бланк заказа'!$B$66:$B$66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заказа'!$B$80:$B$80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заказа'!$B$86:$B$86</definedName>
    <definedName name="ProductId31">'Бланк заказа'!$B$87:$B$87</definedName>
    <definedName name="ProductId32">'Бланк заказа'!$B$88:$B$88</definedName>
    <definedName name="ProductId33">'Бланк заказа'!$B$92:$B$92</definedName>
    <definedName name="ProductId34">'Бланк заказа'!$B$97:$B$97</definedName>
    <definedName name="ProductId35">'Бланк заказа'!$B$98:$B$98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заказа'!$B$127:$B$127</definedName>
    <definedName name="ProductId51">'Бланк заказа'!$B$132:$B$132</definedName>
    <definedName name="ProductId52">'Бланк заказа'!$B$133:$B$133</definedName>
    <definedName name="ProductId53">'Бланк заказа'!$B$137:$B$137</definedName>
    <definedName name="ProductId54">'Бланк заказа'!$B$138:$B$138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заказа'!$B$160:$B$160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заказа'!$B$172:$B$172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заказа'!$B$181:$B$181</definedName>
    <definedName name="ProductId81">'Бланк заказа'!$B$186:$B$186</definedName>
    <definedName name="ProductId82">'Бланк заказа'!$B$187:$B$187</definedName>
    <definedName name="ProductId83">'Бланк заказа'!$B$192:$B$192</definedName>
    <definedName name="ProductId84">'Бланк заказа'!$B$197:$B$197</definedName>
    <definedName name="ProductId85">'Бланк заказа'!$B$202:$B$202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заказа'!$B$210:$B$210</definedName>
    <definedName name="ProductId9">'Бланк заказа'!$B$42:$B$42</definedName>
    <definedName name="ProductId90">'Бланк заказа'!$B$211:$B$211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заказа'!$B$219:$B$219</definedName>
    <definedName name="ProductId96">'Бланк заказа'!$B$220:$B$220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заказа'!$X$227:$X$227</definedName>
    <definedName name="SalesQty101">'Бланк заказа'!$X$228:$X$228</definedName>
    <definedName name="SalesQty102">'Бланк заказа'!$X$232:$X$232</definedName>
    <definedName name="SalesQty103">'Бланк заказа'!$X$233:$X$233</definedName>
    <definedName name="SalesQty104">'Бланк заказа'!$X$234:$X$234</definedName>
    <definedName name="SalesQty105">'Бланк заказа'!$X$238:$X$238</definedName>
    <definedName name="SalesQty106">'Бланк заказа'!$X$239:$X$239</definedName>
    <definedName name="SalesQty107">'Бланк заказа'!$X$240:$X$240</definedName>
    <definedName name="SalesQty108">'Бланк заказа'!$X$241:$X$241</definedName>
    <definedName name="SalesQty109">'Бланк заказа'!$X$245:$X$245</definedName>
    <definedName name="SalesQty11">'Бланк заказа'!$X$44:$X$44</definedName>
    <definedName name="SalesQty110">'Бланк заказа'!$X$246:$X$246</definedName>
    <definedName name="SalesQty111">'Бланк заказа'!$X$247:$X$247</definedName>
    <definedName name="SalesQty112">'Бланк заказа'!$X$252:$X$252</definedName>
    <definedName name="SalesQty113">'Бланк заказа'!$X$253:$X$253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заказа'!$X$263:$X$263</definedName>
    <definedName name="SalesQty119">'Бланк заказа'!$X$264:$X$264</definedName>
    <definedName name="SalesQty12">'Бланк заказа'!$X$45:$X$45</definedName>
    <definedName name="SalesQty120">'Бланк заказа'!$X$268:$X$268</definedName>
    <definedName name="SalesQty121">'Бланк заказа'!$X$269:$X$269</definedName>
    <definedName name="SalesQty122">'Бланк заказа'!$X$273:$X$273</definedName>
    <definedName name="SalesQty123">'Бланк заказа'!$X$274:$X$274</definedName>
    <definedName name="SalesQty124">'Бланк заказа'!$X$278:$X$278</definedName>
    <definedName name="SalesQty125">'Бланк заказа'!$X$283:$X$283</definedName>
    <definedName name="SalesQty126">'Бланк заказа'!$X$284:$X$284</definedName>
    <definedName name="SalesQty127">'Бланк заказа'!$X$285:$X$285</definedName>
    <definedName name="SalesQty128">'Бланк заказа'!$X$289:$X$289</definedName>
    <definedName name="SalesQty129">'Бланк заказа'!$X$293:$X$293</definedName>
    <definedName name="SalesQty13">'Бланк заказа'!$X$49:$X$49</definedName>
    <definedName name="SalesQty130">'Бланк заказа'!$X$294:$X$294</definedName>
    <definedName name="SalesQty131">'Бланк заказа'!$X$298:$X$298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заказа'!$X$307:$X$307</definedName>
    <definedName name="SalesQty136">'Бланк заказа'!$X$311:$X$311</definedName>
    <definedName name="SalesQty137">'Бланк заказа'!$X$312:$X$312</definedName>
    <definedName name="SalesQty138">'Бланк заказа'!$X$317:$X$317</definedName>
    <definedName name="SalesQty139">'Бланк заказа'!$X$321:$X$321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заказа'!$X$337:$X$337</definedName>
    <definedName name="SalesQty148">'Бланк заказа'!$X$338:$X$338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заказа'!$X$347:$X$347</definedName>
    <definedName name="SalesQty155">'Бланк заказа'!$X$351:$X$351</definedName>
    <definedName name="SalesQty156">'Бланк заказа'!$X$352:$X$352</definedName>
    <definedName name="SalesQty16">'Бланк заказа'!$X$55:$X$55</definedName>
    <definedName name="SalesQty17">'Бланк заказа'!$X$56:$X$56</definedName>
    <definedName name="SalesQty18">'Бланк заказа'!$X$61:$X$61</definedName>
    <definedName name="SalesQty19">'Бланк заказа'!$X$62:$X$62</definedName>
    <definedName name="SalesQty2">'Бланк заказа'!$X$23:$X$23</definedName>
    <definedName name="SalesQty20">'Бланк заказа'!$X$66:$X$66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заказа'!$X$80:$X$80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заказа'!$X$86:$X$86</definedName>
    <definedName name="SalesQty31">'Бланк заказа'!$X$87:$X$87</definedName>
    <definedName name="SalesQty32">'Бланк заказа'!$X$88:$X$88</definedName>
    <definedName name="SalesQty33">'Бланк заказа'!$X$92:$X$92</definedName>
    <definedName name="SalesQty34">'Бланк заказа'!$X$97:$X$97</definedName>
    <definedName name="SalesQty35">'Бланк заказа'!$X$98:$X$98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заказа'!$X$127:$X$127</definedName>
    <definedName name="SalesQty51">'Бланк заказа'!$X$132:$X$132</definedName>
    <definedName name="SalesQty52">'Бланк заказа'!$X$133:$X$133</definedName>
    <definedName name="SalesQty53">'Бланк заказа'!$X$137:$X$137</definedName>
    <definedName name="SalesQty54">'Бланк заказа'!$X$138:$X$138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заказа'!$X$160:$X$160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заказа'!$X$172:$X$172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заказа'!$X$181:$X$181</definedName>
    <definedName name="SalesQty81">'Бланк заказа'!$X$186:$X$186</definedName>
    <definedName name="SalesQty82">'Бланк заказа'!$X$187:$X$187</definedName>
    <definedName name="SalesQty83">'Бланк заказа'!$X$192:$X$192</definedName>
    <definedName name="SalesQty84">'Бланк заказа'!$X$197:$X$197</definedName>
    <definedName name="SalesQty85">'Бланк заказа'!$X$202:$X$202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заказа'!$X$210:$X$210</definedName>
    <definedName name="SalesQty9">'Бланк заказа'!$X$42:$X$42</definedName>
    <definedName name="SalesQty90">'Бланк заказа'!$X$211:$X$211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заказа'!$X$219:$X$219</definedName>
    <definedName name="SalesQty96">'Бланк заказа'!$X$220:$X$220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заказа'!$Y$227:$Y$227</definedName>
    <definedName name="SalesRoundBox101">'Бланк заказа'!$Y$228:$Y$228</definedName>
    <definedName name="SalesRoundBox102">'Бланк заказа'!$Y$232:$Y$232</definedName>
    <definedName name="SalesRoundBox103">'Бланк заказа'!$Y$233:$Y$233</definedName>
    <definedName name="SalesRoundBox104">'Бланк заказа'!$Y$234:$Y$234</definedName>
    <definedName name="SalesRoundBox105">'Бланк заказа'!$Y$238:$Y$238</definedName>
    <definedName name="SalesRoundBox106">'Бланк заказа'!$Y$239:$Y$239</definedName>
    <definedName name="SalesRoundBox107">'Бланк заказа'!$Y$240:$Y$240</definedName>
    <definedName name="SalesRoundBox108">'Бланк заказа'!$Y$241:$Y$241</definedName>
    <definedName name="SalesRoundBox109">'Бланк заказа'!$Y$245:$Y$245</definedName>
    <definedName name="SalesRoundBox11">'Бланк заказа'!$Y$44:$Y$44</definedName>
    <definedName name="SalesRoundBox110">'Бланк заказа'!$Y$246:$Y$246</definedName>
    <definedName name="SalesRoundBox111">'Бланк заказа'!$Y$247:$Y$247</definedName>
    <definedName name="SalesRoundBox112">'Бланк заказа'!$Y$252:$Y$252</definedName>
    <definedName name="SalesRoundBox113">'Бланк заказа'!$Y$253:$Y$253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заказа'!$Y$263:$Y$263</definedName>
    <definedName name="SalesRoundBox119">'Бланк заказа'!$Y$264:$Y$264</definedName>
    <definedName name="SalesRoundBox12">'Бланк заказа'!$Y$45:$Y$45</definedName>
    <definedName name="SalesRoundBox120">'Бланк заказа'!$Y$268:$Y$268</definedName>
    <definedName name="SalesRoundBox121">'Бланк заказа'!$Y$269:$Y$269</definedName>
    <definedName name="SalesRoundBox122">'Бланк заказа'!$Y$273:$Y$273</definedName>
    <definedName name="SalesRoundBox123">'Бланк заказа'!$Y$274:$Y$274</definedName>
    <definedName name="SalesRoundBox124">'Бланк заказа'!$Y$278:$Y$278</definedName>
    <definedName name="SalesRoundBox125">'Бланк заказа'!$Y$283:$Y$283</definedName>
    <definedName name="SalesRoundBox126">'Бланк заказа'!$Y$284:$Y$284</definedName>
    <definedName name="SalesRoundBox127">'Бланк заказа'!$Y$285:$Y$285</definedName>
    <definedName name="SalesRoundBox128">'Бланк заказа'!$Y$289:$Y$289</definedName>
    <definedName name="SalesRoundBox129">'Бланк заказа'!$Y$293:$Y$293</definedName>
    <definedName name="SalesRoundBox13">'Бланк заказа'!$Y$49:$Y$49</definedName>
    <definedName name="SalesRoundBox130">'Бланк заказа'!$Y$294:$Y$294</definedName>
    <definedName name="SalesRoundBox131">'Бланк заказа'!$Y$298:$Y$298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заказа'!$Y$307:$Y$307</definedName>
    <definedName name="SalesRoundBox136">'Бланк заказа'!$Y$311:$Y$311</definedName>
    <definedName name="SalesRoundBox137">'Бланк заказа'!$Y$312:$Y$312</definedName>
    <definedName name="SalesRoundBox138">'Бланк заказа'!$Y$317:$Y$317</definedName>
    <definedName name="SalesRoundBox139">'Бланк заказа'!$Y$321:$Y$321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заказа'!$Y$337:$Y$337</definedName>
    <definedName name="SalesRoundBox148">'Бланк заказа'!$Y$338:$Y$338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заказа'!$Y$347:$Y$347</definedName>
    <definedName name="SalesRoundBox155">'Бланк заказа'!$Y$351:$Y$351</definedName>
    <definedName name="SalesRoundBox156">'Бланк заказа'!$Y$352:$Y$352</definedName>
    <definedName name="SalesRoundBox16">'Бланк заказа'!$Y$55:$Y$55</definedName>
    <definedName name="SalesRoundBox17">'Бланк заказа'!$Y$56:$Y$56</definedName>
    <definedName name="SalesRoundBox18">'Бланк заказа'!$Y$61:$Y$61</definedName>
    <definedName name="SalesRoundBox19">'Бланк заказа'!$Y$62:$Y$62</definedName>
    <definedName name="SalesRoundBox2">'Бланк заказа'!$Y$23:$Y$23</definedName>
    <definedName name="SalesRoundBox20">'Бланк заказа'!$Y$66:$Y$66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заказа'!$Y$80:$Y$80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заказа'!$Y$86:$Y$86</definedName>
    <definedName name="SalesRoundBox31">'Бланк заказа'!$Y$87:$Y$87</definedName>
    <definedName name="SalesRoundBox32">'Бланк заказа'!$Y$88:$Y$88</definedName>
    <definedName name="SalesRoundBox33">'Бланк заказа'!$Y$92:$Y$92</definedName>
    <definedName name="SalesRoundBox34">'Бланк заказа'!$Y$97:$Y$97</definedName>
    <definedName name="SalesRoundBox35">'Бланк заказа'!$Y$98:$Y$98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заказа'!$Y$127:$Y$127</definedName>
    <definedName name="SalesRoundBox51">'Бланк заказа'!$Y$132:$Y$132</definedName>
    <definedName name="SalesRoundBox52">'Бланк заказа'!$Y$133:$Y$133</definedName>
    <definedName name="SalesRoundBox53">'Бланк заказа'!$Y$137:$Y$137</definedName>
    <definedName name="SalesRoundBox54">'Бланк заказа'!$Y$138:$Y$138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заказа'!$Y$160:$Y$160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заказа'!$Y$172:$Y$172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заказа'!$Y$181:$Y$181</definedName>
    <definedName name="SalesRoundBox81">'Бланк заказа'!$Y$186:$Y$186</definedName>
    <definedName name="SalesRoundBox82">'Бланк заказа'!$Y$187:$Y$187</definedName>
    <definedName name="SalesRoundBox83">'Бланк заказа'!$Y$192:$Y$192</definedName>
    <definedName name="SalesRoundBox84">'Бланк заказа'!$Y$197:$Y$197</definedName>
    <definedName name="SalesRoundBox85">'Бланк заказа'!$Y$202:$Y$202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заказа'!$Y$210:$Y$210</definedName>
    <definedName name="SalesRoundBox9">'Бланк заказа'!$Y$42:$Y$42</definedName>
    <definedName name="SalesRoundBox90">'Бланк заказа'!$Y$211:$Y$211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заказа'!$Y$219:$Y$219</definedName>
    <definedName name="SalesRoundBox96">'Бланк заказа'!$Y$220:$Y$220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заказа'!$W$227:$W$227</definedName>
    <definedName name="UnitOfMeasure101">'Бланк заказа'!$W$228:$W$228</definedName>
    <definedName name="UnitOfMeasure102">'Бланк заказа'!$W$232:$W$232</definedName>
    <definedName name="UnitOfMeasure103">'Бланк заказа'!$W$233:$W$233</definedName>
    <definedName name="UnitOfMeasure104">'Бланк заказа'!$W$234:$W$234</definedName>
    <definedName name="UnitOfMeasure105">'Бланк заказа'!$W$238:$W$238</definedName>
    <definedName name="UnitOfMeasure106">'Бланк заказа'!$W$239:$W$239</definedName>
    <definedName name="UnitOfMeasure107">'Бланк заказа'!$W$240:$W$240</definedName>
    <definedName name="UnitOfMeasure108">'Бланк заказа'!$W$241:$W$241</definedName>
    <definedName name="UnitOfMeasure109">'Бланк заказа'!$W$245:$W$245</definedName>
    <definedName name="UnitOfMeasure11">'Бланк заказа'!$W$44:$W$44</definedName>
    <definedName name="UnitOfMeasure110">'Бланк заказа'!$W$246:$W$246</definedName>
    <definedName name="UnitOfMeasure111">'Бланк заказа'!$W$247:$W$247</definedName>
    <definedName name="UnitOfMeasure112">'Бланк заказа'!$W$252:$W$252</definedName>
    <definedName name="UnitOfMeasure113">'Бланк заказа'!$W$253:$W$253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заказа'!$W$263:$W$263</definedName>
    <definedName name="UnitOfMeasure119">'Бланк заказа'!$W$264:$W$264</definedName>
    <definedName name="UnitOfMeasure12">'Бланк заказа'!$W$45:$W$45</definedName>
    <definedName name="UnitOfMeasure120">'Бланк заказа'!$W$268:$W$268</definedName>
    <definedName name="UnitOfMeasure121">'Бланк заказа'!$W$269:$W$269</definedName>
    <definedName name="UnitOfMeasure122">'Бланк заказа'!$W$273:$W$273</definedName>
    <definedName name="UnitOfMeasure123">'Бланк заказа'!$W$274:$W$274</definedName>
    <definedName name="UnitOfMeasure124">'Бланк заказа'!$W$278:$W$278</definedName>
    <definedName name="UnitOfMeasure125">'Бланк заказа'!$W$283:$W$283</definedName>
    <definedName name="UnitOfMeasure126">'Бланк заказа'!$W$284:$W$284</definedName>
    <definedName name="UnitOfMeasure127">'Бланк заказа'!$W$285:$W$285</definedName>
    <definedName name="UnitOfMeasure128">'Бланк заказа'!$W$289:$W$289</definedName>
    <definedName name="UnitOfMeasure129">'Бланк заказа'!$W$293:$W$293</definedName>
    <definedName name="UnitOfMeasure13">'Бланк заказа'!$W$49:$W$49</definedName>
    <definedName name="UnitOfMeasure130">'Бланк заказа'!$W$294:$W$294</definedName>
    <definedName name="UnitOfMeasure131">'Бланк заказа'!$W$298:$W$298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заказа'!$W$307:$W$307</definedName>
    <definedName name="UnitOfMeasure136">'Бланк заказа'!$W$311:$W$311</definedName>
    <definedName name="UnitOfMeasure137">'Бланк заказа'!$W$312:$W$312</definedName>
    <definedName name="UnitOfMeasure138">'Бланк заказа'!$W$317:$W$317</definedName>
    <definedName name="UnitOfMeasure139">'Бланк заказа'!$W$321:$W$321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заказа'!$W$337:$W$337</definedName>
    <definedName name="UnitOfMeasure148">'Бланк заказа'!$W$338:$W$338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заказа'!$W$347:$W$347</definedName>
    <definedName name="UnitOfMeasure155">'Бланк заказа'!$W$351:$W$351</definedName>
    <definedName name="UnitOfMeasure156">'Бланк заказа'!$W$352:$W$352</definedName>
    <definedName name="UnitOfMeasure16">'Бланк заказа'!$W$55:$W$55</definedName>
    <definedName name="UnitOfMeasure17">'Бланк заказа'!$W$56:$W$56</definedName>
    <definedName name="UnitOfMeasure18">'Бланк заказа'!$W$61:$W$61</definedName>
    <definedName name="UnitOfMeasure19">'Бланк заказа'!$W$62:$W$62</definedName>
    <definedName name="UnitOfMeasure2">'Бланк заказа'!$W$23:$W$23</definedName>
    <definedName name="UnitOfMeasure20">'Бланк заказа'!$W$66:$W$66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заказа'!$W$80:$W$80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заказа'!$W$86:$W$86</definedName>
    <definedName name="UnitOfMeasure31">'Бланк заказа'!$W$87:$W$87</definedName>
    <definedName name="UnitOfMeasure32">'Бланк заказа'!$W$88:$W$88</definedName>
    <definedName name="UnitOfMeasure33">'Бланк заказа'!$W$92:$W$92</definedName>
    <definedName name="UnitOfMeasure34">'Бланк заказа'!$W$97:$W$97</definedName>
    <definedName name="UnitOfMeasure35">'Бланк заказа'!$W$98:$W$98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заказа'!$W$127:$W$127</definedName>
    <definedName name="UnitOfMeasure51">'Бланк заказа'!$W$132:$W$132</definedName>
    <definedName name="UnitOfMeasure52">'Бланк заказа'!$W$133:$W$133</definedName>
    <definedName name="UnitOfMeasure53">'Бланк заказа'!$W$137:$W$137</definedName>
    <definedName name="UnitOfMeasure54">'Бланк заказа'!$W$138:$W$138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заказа'!$W$160:$W$160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заказа'!$W$172:$W$172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заказа'!$W$181:$W$181</definedName>
    <definedName name="UnitOfMeasure81">'Бланк заказа'!$W$186:$W$186</definedName>
    <definedName name="UnitOfMeasure82">'Бланк заказа'!$W$187:$W$187</definedName>
    <definedName name="UnitOfMeasure83">'Бланк заказа'!$W$192:$W$192</definedName>
    <definedName name="UnitOfMeasure84">'Бланк заказа'!$W$197:$W$197</definedName>
    <definedName name="UnitOfMeasure85">'Бланк заказа'!$W$202:$W$202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заказа'!$W$210:$W$210</definedName>
    <definedName name="UnitOfMeasure9">'Бланк заказа'!$W$42:$W$42</definedName>
    <definedName name="UnitOfMeasure90">'Бланк заказа'!$W$211:$W$211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заказа'!$W$219:$W$219</definedName>
    <definedName name="UnitOfMeasure96">'Бланк заказа'!$W$220:$W$220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54" i="1" l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X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0" i="1"/>
  <c r="X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Y28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X276" i="1"/>
  <c r="X275" i="1"/>
  <c r="BO274" i="1"/>
  <c r="BM274" i="1"/>
  <c r="Y274" i="1"/>
  <c r="P274" i="1"/>
  <c r="BP273" i="1"/>
  <c r="BO273" i="1"/>
  <c r="BN273" i="1"/>
  <c r="BM273" i="1"/>
  <c r="Z273" i="1"/>
  <c r="Y273" i="1"/>
  <c r="Y275" i="1" s="1"/>
  <c r="P273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X266" i="1"/>
  <c r="X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5" i="1"/>
  <c r="Y254" i="1"/>
  <c r="X254" i="1"/>
  <c r="BP253" i="1"/>
  <c r="BO253" i="1"/>
  <c r="BN253" i="1"/>
  <c r="BM253" i="1"/>
  <c r="Z253" i="1"/>
  <c r="Y253" i="1"/>
  <c r="P253" i="1"/>
  <c r="BO252" i="1"/>
  <c r="BM252" i="1"/>
  <c r="Y252" i="1"/>
  <c r="R365" i="1" s="1"/>
  <c r="P252" i="1"/>
  <c r="X249" i="1"/>
  <c r="X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BO238" i="1"/>
  <c r="BM238" i="1"/>
  <c r="Y238" i="1"/>
  <c r="X236" i="1"/>
  <c r="Y235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Y236" i="1" s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Y230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4" i="1"/>
  <c r="Y203" i="1"/>
  <c r="X203" i="1"/>
  <c r="BP202" i="1"/>
  <c r="BO202" i="1"/>
  <c r="BN202" i="1"/>
  <c r="BM202" i="1"/>
  <c r="Z202" i="1"/>
  <c r="Z203" i="1" s="1"/>
  <c r="Y202" i="1"/>
  <c r="P365" i="1" s="1"/>
  <c r="P202" i="1"/>
  <c r="X199" i="1"/>
  <c r="Y198" i="1"/>
  <c r="X198" i="1"/>
  <c r="BP197" i="1"/>
  <c r="BO197" i="1"/>
  <c r="BN197" i="1"/>
  <c r="BM197" i="1"/>
  <c r="Z197" i="1"/>
  <c r="Z198" i="1" s="1"/>
  <c r="Y197" i="1"/>
  <c r="O365" i="1" s="1"/>
  <c r="P197" i="1"/>
  <c r="X194" i="1"/>
  <c r="Y193" i="1"/>
  <c r="X193" i="1"/>
  <c r="BP192" i="1"/>
  <c r="BO192" i="1"/>
  <c r="BN192" i="1"/>
  <c r="BM192" i="1"/>
  <c r="Z192" i="1"/>
  <c r="Z193" i="1" s="1"/>
  <c r="Y192" i="1"/>
  <c r="M365" i="1" s="1"/>
  <c r="P192" i="1"/>
  <c r="X189" i="1"/>
  <c r="Y188" i="1"/>
  <c r="X188" i="1"/>
  <c r="BP187" i="1"/>
  <c r="BO187" i="1"/>
  <c r="BN187" i="1"/>
  <c r="BM187" i="1"/>
  <c r="Z187" i="1"/>
  <c r="Y187" i="1"/>
  <c r="BP186" i="1"/>
  <c r="BO186" i="1"/>
  <c r="BN186" i="1"/>
  <c r="BM186" i="1"/>
  <c r="Z186" i="1"/>
  <c r="Z188" i="1" s="1"/>
  <c r="Y186" i="1"/>
  <c r="L365" i="1" s="1"/>
  <c r="P186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X174" i="1"/>
  <c r="X173" i="1"/>
  <c r="BP172" i="1"/>
  <c r="BO172" i="1"/>
  <c r="BN172" i="1"/>
  <c r="BM172" i="1"/>
  <c r="Z172" i="1"/>
  <c r="Y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J365" i="1" s="1"/>
  <c r="P165" i="1"/>
  <c r="X162" i="1"/>
  <c r="X161" i="1"/>
  <c r="BO160" i="1"/>
  <c r="BM160" i="1"/>
  <c r="Y160" i="1"/>
  <c r="Y161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BP150" i="1" s="1"/>
  <c r="P150" i="1"/>
  <c r="BP149" i="1"/>
  <c r="BO149" i="1"/>
  <c r="BN149" i="1"/>
  <c r="BM149" i="1"/>
  <c r="Z149" i="1"/>
  <c r="Y149" i="1"/>
  <c r="Y157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Y147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5" i="1" s="1"/>
  <c r="P132" i="1"/>
  <c r="X129" i="1"/>
  <c r="X128" i="1"/>
  <c r="BO127" i="1"/>
  <c r="BM127" i="1"/>
  <c r="Y127" i="1"/>
  <c r="Y128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Y124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9" i="1" s="1"/>
  <c r="P110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Y106" i="1" s="1"/>
  <c r="P102" i="1"/>
  <c r="X100" i="1"/>
  <c r="Y99" i="1"/>
  <c r="X99" i="1"/>
  <c r="BP98" i="1"/>
  <c r="BO98" i="1"/>
  <c r="BN98" i="1"/>
  <c r="BM98" i="1"/>
  <c r="Z98" i="1"/>
  <c r="Y98" i="1"/>
  <c r="BP97" i="1"/>
  <c r="BO97" i="1"/>
  <c r="BN97" i="1"/>
  <c r="BM97" i="1"/>
  <c r="Z97" i="1"/>
  <c r="Z99" i="1" s="1"/>
  <c r="Y97" i="1"/>
  <c r="P97" i="1"/>
  <c r="X94" i="1"/>
  <c r="Y93" i="1"/>
  <c r="X93" i="1"/>
  <c r="BP92" i="1"/>
  <c r="BO92" i="1"/>
  <c r="BN92" i="1"/>
  <c r="BM92" i="1"/>
  <c r="Z92" i="1"/>
  <c r="Z93" i="1" s="1"/>
  <c r="Y92" i="1"/>
  <c r="Y94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Y90" i="1" s="1"/>
  <c r="P86" i="1"/>
  <c r="X84" i="1"/>
  <c r="X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F365" i="1" s="1"/>
  <c r="P73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69" i="1" s="1"/>
  <c r="X64" i="1"/>
  <c r="X63" i="1"/>
  <c r="BP62" i="1"/>
  <c r="BO62" i="1"/>
  <c r="BN62" i="1"/>
  <c r="BM62" i="1"/>
  <c r="Z62" i="1"/>
  <c r="Y62" i="1"/>
  <c r="P62" i="1"/>
  <c r="BO61" i="1"/>
  <c r="BM61" i="1"/>
  <c r="Y61" i="1"/>
  <c r="E365" i="1" s="1"/>
  <c r="P61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Y57" i="1" s="1"/>
  <c r="P55" i="1"/>
  <c r="X53" i="1"/>
  <c r="Y52" i="1"/>
  <c r="X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Y53" i="1" s="1"/>
  <c r="P49" i="1"/>
  <c r="X47" i="1"/>
  <c r="X46" i="1"/>
  <c r="BP45" i="1"/>
  <c r="BO45" i="1"/>
  <c r="BN45" i="1"/>
  <c r="BM45" i="1"/>
  <c r="Z45" i="1"/>
  <c r="Y45" i="1"/>
  <c r="P45" i="1"/>
  <c r="BO44" i="1"/>
  <c r="BM44" i="1"/>
  <c r="Y44" i="1"/>
  <c r="P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BO40" i="1"/>
  <c r="BM40" i="1"/>
  <c r="Y40" i="1"/>
  <c r="Y46" i="1" s="1"/>
  <c r="P40" i="1"/>
  <c r="X37" i="1"/>
  <c r="X36" i="1"/>
  <c r="BP35" i="1"/>
  <c r="BO35" i="1"/>
  <c r="BN35" i="1"/>
  <c r="BM35" i="1"/>
  <c r="Z35" i="1"/>
  <c r="Y35" i="1"/>
  <c r="P35" i="1"/>
  <c r="BO34" i="1"/>
  <c r="BM34" i="1"/>
  <c r="Y34" i="1"/>
  <c r="Y37" i="1" s="1"/>
  <c r="P34" i="1"/>
  <c r="BP33" i="1"/>
  <c r="BO33" i="1"/>
  <c r="BN33" i="1"/>
  <c r="BM33" i="1"/>
  <c r="Z33" i="1"/>
  <c r="Y33" i="1"/>
  <c r="P33" i="1"/>
  <c r="X29" i="1"/>
  <c r="Y28" i="1"/>
  <c r="X28" i="1"/>
  <c r="BP27" i="1"/>
  <c r="BO27" i="1"/>
  <c r="BN27" i="1"/>
  <c r="BM27" i="1"/>
  <c r="Z27" i="1"/>
  <c r="Z28" i="1" s="1"/>
  <c r="Y27" i="1"/>
  <c r="Y29" i="1" s="1"/>
  <c r="P27" i="1"/>
  <c r="X25" i="1"/>
  <c r="X355" i="1" s="1"/>
  <c r="X24" i="1"/>
  <c r="X359" i="1" s="1"/>
  <c r="BP23" i="1"/>
  <c r="BO23" i="1"/>
  <c r="BN23" i="1"/>
  <c r="BM23" i="1"/>
  <c r="Z23" i="1"/>
  <c r="Y23" i="1"/>
  <c r="P23" i="1"/>
  <c r="BO22" i="1"/>
  <c r="X357" i="1" s="1"/>
  <c r="BM22" i="1"/>
  <c r="X356" i="1" s="1"/>
  <c r="X358" i="1" s="1"/>
  <c r="Y22" i="1"/>
  <c r="B365" i="1" s="1"/>
  <c r="P22" i="1"/>
  <c r="H10" i="1"/>
  <c r="A9" i="1"/>
  <c r="A10" i="1" s="1"/>
  <c r="D7" i="1"/>
  <c r="Q6" i="1"/>
  <c r="P2" i="1"/>
  <c r="F9" i="1" l="1"/>
  <c r="J9" i="1"/>
  <c r="F10" i="1"/>
  <c r="Z22" i="1"/>
  <c r="Z24" i="1" s="1"/>
  <c r="BN22" i="1"/>
  <c r="BP22" i="1"/>
  <c r="Y25" i="1"/>
  <c r="C365" i="1"/>
  <c r="Y36" i="1"/>
  <c r="Z34" i="1"/>
  <c r="Z36" i="1" s="1"/>
  <c r="BN34" i="1"/>
  <c r="BP34" i="1"/>
  <c r="BP42" i="1"/>
  <c r="BN42" i="1"/>
  <c r="Z42" i="1"/>
  <c r="Z52" i="1"/>
  <c r="BP50" i="1"/>
  <c r="BN50" i="1"/>
  <c r="Z50" i="1"/>
  <c r="H9" i="1"/>
  <c r="Y24" i="1"/>
  <c r="D365" i="1"/>
  <c r="Y47" i="1"/>
  <c r="BP40" i="1"/>
  <c r="BN40" i="1"/>
  <c r="Z40" i="1"/>
  <c r="Z46" i="1" s="1"/>
  <c r="BP44" i="1"/>
  <c r="BN44" i="1"/>
  <c r="Z44" i="1"/>
  <c r="Y58" i="1"/>
  <c r="Y63" i="1"/>
  <c r="Y70" i="1"/>
  <c r="Y77" i="1"/>
  <c r="Y83" i="1"/>
  <c r="Y89" i="1"/>
  <c r="Y105" i="1"/>
  <c r="Y125" i="1"/>
  <c r="Y129" i="1"/>
  <c r="Y134" i="1"/>
  <c r="Y140" i="1"/>
  <c r="Y146" i="1"/>
  <c r="Y158" i="1"/>
  <c r="Y162" i="1"/>
  <c r="Y173" i="1"/>
  <c r="Y182" i="1"/>
  <c r="Y213" i="1"/>
  <c r="Y222" i="1"/>
  <c r="BP215" i="1"/>
  <c r="BN215" i="1"/>
  <c r="Z215" i="1"/>
  <c r="BP219" i="1"/>
  <c r="BN219" i="1"/>
  <c r="Z219" i="1"/>
  <c r="BP227" i="1"/>
  <c r="BN227" i="1"/>
  <c r="Z227" i="1"/>
  <c r="Y242" i="1"/>
  <c r="BP238" i="1"/>
  <c r="BN238" i="1"/>
  <c r="Z238" i="1"/>
  <c r="BP241" i="1"/>
  <c r="BN241" i="1"/>
  <c r="Z241" i="1"/>
  <c r="Y243" i="1"/>
  <c r="Y248" i="1"/>
  <c r="BP245" i="1"/>
  <c r="BN245" i="1"/>
  <c r="Z245" i="1"/>
  <c r="BP260" i="1"/>
  <c r="BN260" i="1"/>
  <c r="Z260" i="1"/>
  <c r="Z265" i="1" s="1"/>
  <c r="BP264" i="1"/>
  <c r="BN264" i="1"/>
  <c r="Z264" i="1"/>
  <c r="Y266" i="1"/>
  <c r="Y271" i="1"/>
  <c r="BP268" i="1"/>
  <c r="BN268" i="1"/>
  <c r="Z268" i="1"/>
  <c r="Z270" i="1" s="1"/>
  <c r="BP294" i="1"/>
  <c r="BN294" i="1"/>
  <c r="Z294" i="1"/>
  <c r="Z295" i="1" s="1"/>
  <c r="Y296" i="1"/>
  <c r="Y299" i="1"/>
  <c r="BP298" i="1"/>
  <c r="BN298" i="1"/>
  <c r="Z298" i="1"/>
  <c r="Z299" i="1" s="1"/>
  <c r="Y300" i="1"/>
  <c r="U365" i="1"/>
  <c r="Y309" i="1"/>
  <c r="BP304" i="1"/>
  <c r="BN304" i="1"/>
  <c r="Z304" i="1"/>
  <c r="Y308" i="1"/>
  <c r="BP312" i="1"/>
  <c r="BN312" i="1"/>
  <c r="Z312" i="1"/>
  <c r="Z313" i="1" s="1"/>
  <c r="Y314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W365" i="1"/>
  <c r="Y334" i="1"/>
  <c r="BP327" i="1"/>
  <c r="BN327" i="1"/>
  <c r="Z327" i="1"/>
  <c r="Y335" i="1"/>
  <c r="BP331" i="1"/>
  <c r="BN331" i="1"/>
  <c r="Z331" i="1"/>
  <c r="BP343" i="1"/>
  <c r="BN343" i="1"/>
  <c r="Z343" i="1"/>
  <c r="Z348" i="1" s="1"/>
  <c r="BP347" i="1"/>
  <c r="BN347" i="1"/>
  <c r="Z347" i="1"/>
  <c r="Y349" i="1"/>
  <c r="Y354" i="1"/>
  <c r="BP351" i="1"/>
  <c r="BN351" i="1"/>
  <c r="Z351" i="1"/>
  <c r="Z353" i="1" s="1"/>
  <c r="Y353" i="1"/>
  <c r="I365" i="1"/>
  <c r="Z56" i="1"/>
  <c r="Z57" i="1" s="1"/>
  <c r="BN56" i="1"/>
  <c r="Z61" i="1"/>
  <c r="Z63" i="1" s="1"/>
  <c r="BN61" i="1"/>
  <c r="BP61" i="1"/>
  <c r="Y64" i="1"/>
  <c r="Z66" i="1"/>
  <c r="BN66" i="1"/>
  <c r="BP66" i="1"/>
  <c r="Z68" i="1"/>
  <c r="BN68" i="1"/>
  <c r="Z73" i="1"/>
  <c r="Z77" i="1" s="1"/>
  <c r="BN73" i="1"/>
  <c r="BP73" i="1"/>
  <c r="Z75" i="1"/>
  <c r="BN75" i="1"/>
  <c r="Y78" i="1"/>
  <c r="Z81" i="1"/>
  <c r="Z83" i="1" s="1"/>
  <c r="BN81" i="1"/>
  <c r="Z87" i="1"/>
  <c r="Z89" i="1" s="1"/>
  <c r="BN87" i="1"/>
  <c r="G365" i="1"/>
  <c r="Y100" i="1"/>
  <c r="Z103" i="1"/>
  <c r="Z105" i="1" s="1"/>
  <c r="BN103" i="1"/>
  <c r="H365" i="1"/>
  <c r="Z111" i="1"/>
  <c r="Z118" i="1" s="1"/>
  <c r="BN111" i="1"/>
  <c r="Z113" i="1"/>
  <c r="BN113" i="1"/>
  <c r="Z115" i="1"/>
  <c r="BN115" i="1"/>
  <c r="Z117" i="1"/>
  <c r="BN117" i="1"/>
  <c r="Y118" i="1"/>
  <c r="Z121" i="1"/>
  <c r="Z124" i="1" s="1"/>
  <c r="BN121" i="1"/>
  <c r="BP121" i="1"/>
  <c r="Z123" i="1"/>
  <c r="BN123" i="1"/>
  <c r="Z127" i="1"/>
  <c r="Z128" i="1" s="1"/>
  <c r="BN127" i="1"/>
  <c r="BP127" i="1"/>
  <c r="Z132" i="1"/>
  <c r="Z134" i="1" s="1"/>
  <c r="BN132" i="1"/>
  <c r="BP132" i="1"/>
  <c r="Z138" i="1"/>
  <c r="Z139" i="1" s="1"/>
  <c r="BN138" i="1"/>
  <c r="Z142" i="1"/>
  <c r="BN142" i="1"/>
  <c r="BP142" i="1"/>
  <c r="Z144" i="1"/>
  <c r="BN144" i="1"/>
  <c r="Z150" i="1"/>
  <c r="Z157" i="1" s="1"/>
  <c r="BN150" i="1"/>
  <c r="Z152" i="1"/>
  <c r="BN152" i="1"/>
  <c r="Z154" i="1"/>
  <c r="BN154" i="1"/>
  <c r="Z156" i="1"/>
  <c r="BN156" i="1"/>
  <c r="Z160" i="1"/>
  <c r="Z161" i="1" s="1"/>
  <c r="BN160" i="1"/>
  <c r="BP160" i="1"/>
  <c r="Z165" i="1"/>
  <c r="BN165" i="1"/>
  <c r="BP165" i="1"/>
  <c r="Z167" i="1"/>
  <c r="BN167" i="1"/>
  <c r="Z170" i="1"/>
  <c r="BN170" i="1"/>
  <c r="Y174" i="1"/>
  <c r="K365" i="1"/>
  <c r="Z178" i="1"/>
  <c r="Z182" i="1" s="1"/>
  <c r="BN178" i="1"/>
  <c r="Z180" i="1"/>
  <c r="BN180" i="1"/>
  <c r="Y183" i="1"/>
  <c r="Y189" i="1"/>
  <c r="Y194" i="1"/>
  <c r="Y199" i="1"/>
  <c r="Y204" i="1"/>
  <c r="Q365" i="1"/>
  <c r="Y212" i="1"/>
  <c r="Z208" i="1"/>
  <c r="Z212" i="1" s="1"/>
  <c r="BN208" i="1"/>
  <c r="Z210" i="1"/>
  <c r="BN210" i="1"/>
  <c r="BP217" i="1"/>
  <c r="BN217" i="1"/>
  <c r="Z217" i="1"/>
  <c r="Y221" i="1"/>
  <c r="BP225" i="1"/>
  <c r="BN225" i="1"/>
  <c r="Z225" i="1"/>
  <c r="Z229" i="1" s="1"/>
  <c r="Y229" i="1"/>
  <c r="Z235" i="1"/>
  <c r="BP233" i="1"/>
  <c r="BN233" i="1"/>
  <c r="Z233" i="1"/>
  <c r="BP239" i="1"/>
  <c r="BN239" i="1"/>
  <c r="Z239" i="1"/>
  <c r="BP247" i="1"/>
  <c r="BN247" i="1"/>
  <c r="Z247" i="1"/>
  <c r="Y249" i="1"/>
  <c r="Y255" i="1"/>
  <c r="BP252" i="1"/>
  <c r="BN252" i="1"/>
  <c r="Z252" i="1"/>
  <c r="Z254" i="1" s="1"/>
  <c r="BP262" i="1"/>
  <c r="BN262" i="1"/>
  <c r="Z262" i="1"/>
  <c r="Y270" i="1"/>
  <c r="BP274" i="1"/>
  <c r="BN274" i="1"/>
  <c r="Z274" i="1"/>
  <c r="Z275" i="1" s="1"/>
  <c r="Y276" i="1"/>
  <c r="V365" i="1"/>
  <c r="S365" i="1"/>
  <c r="Y265" i="1"/>
  <c r="Z286" i="1"/>
  <c r="BP284" i="1"/>
  <c r="BN284" i="1"/>
  <c r="Z284" i="1"/>
  <c r="Y295" i="1"/>
  <c r="BP306" i="1"/>
  <c r="BN306" i="1"/>
  <c r="Z306" i="1"/>
  <c r="Y313" i="1"/>
  <c r="BP329" i="1"/>
  <c r="BN329" i="1"/>
  <c r="Z329" i="1"/>
  <c r="BP333" i="1"/>
  <c r="BN333" i="1"/>
  <c r="Z333" i="1"/>
  <c r="Y340" i="1"/>
  <c r="BP337" i="1"/>
  <c r="BN337" i="1"/>
  <c r="Z337" i="1"/>
  <c r="Z339" i="1" s="1"/>
  <c r="Y348" i="1"/>
  <c r="BP345" i="1"/>
  <c r="BN345" i="1"/>
  <c r="Z345" i="1"/>
  <c r="T365" i="1"/>
  <c r="Z173" i="1" l="1"/>
  <c r="Z146" i="1"/>
  <c r="Z69" i="1"/>
  <c r="Z334" i="1"/>
  <c r="Z308" i="1"/>
  <c r="Y359" i="1"/>
  <c r="Y355" i="1"/>
  <c r="Y356" i="1"/>
  <c r="Z248" i="1"/>
  <c r="Z242" i="1"/>
  <c r="Z360" i="1" s="1"/>
  <c r="Z221" i="1"/>
  <c r="Y357" i="1"/>
  <c r="Y358" i="1" l="1"/>
</calcChain>
</file>

<file path=xl/sharedStrings.xml><?xml version="1.0" encoding="utf-8"?>
<sst xmlns="http://schemas.openxmlformats.org/spreadsheetml/2006/main" count="1509" uniqueCount="563">
  <si>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</si>
  <si>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</si>
  <si>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</si>
  <si>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</si>
  <si>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</si>
  <si>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</si>
  <si>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</si>
  <si>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</si>
  <si>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</si>
  <si>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</si>
  <si>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</si>
  <si>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</si>
  <si>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</si>
  <si>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</si>
  <si>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</si>
  <si>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</si>
  <si>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</si>
  <si>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</si>
  <si>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</si>
  <si>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</si>
  <si>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</si>
  <si>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</si>
  <si>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</si>
  <si>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</si>
  <si>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</si>
  <si>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</si>
  <si>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</si>
  <si>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</si>
  <si>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</si>
  <si>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</si>
  <si>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</si>
  <si>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</si>
  <si>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</si>
  <si>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</si>
  <si>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</si>
  <si>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</si>
  <si>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</si>
  <si>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</si>
  <si>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</si>
  <si>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</si>
  <si>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</si>
  <si>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</si>
  <si>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</si>
  <si>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</si>
  <si>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</si>
  <si>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</si>
  <si>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</si>
  <si>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</si>
  <si>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</si>
  <si>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</si>
  <si>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</si>
  <si>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</si>
  <si>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</si>
  <si>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</si>
  <si>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</si>
  <si>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</si>
  <si>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</si>
  <si>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</si>
  <si>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</si>
  <si>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</si>
  <si>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</si>
  <si>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</si>
  <si>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</si>
  <si>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</si>
  <si>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</si>
  <si>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</si>
  <si>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</si>
  <si>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</si>
  <si>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</si>
  <si>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</si>
  <si>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</si>
  <si>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</si>
  <si>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</si>
  <si>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</si>
  <si>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</si>
  <si>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</si>
  <si>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</si>
  <si>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</si>
  <si>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</si>
  <si>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</si>
  <si>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</si>
  <si>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</si>
  <si>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</si>
  <si>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</si>
  <si>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</si>
  <si>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</si>
  <si>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</si>
  <si>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</si>
  <si>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</si>
  <si>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</si>
  <si>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</si>
  <si>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</si>
  <si>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</si>
  <si>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</si>
  <si>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</si>
  <si>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</si>
  <si>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</si>
  <si>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</si>
  <si>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</si>
  <si>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</si>
  <si>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</si>
  <si>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</si>
  <si>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</si>
  <si>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</si>
  <si>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</si>
  <si>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</si>
  <si>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</si>
  <si>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</si>
  <si>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</si>
  <si>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</si>
  <si>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</si>
  <si>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</si>
  <si>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</si>
  <si>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</si>
  <si>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</si>
  <si>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</si>
  <si>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</si>
  <si>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</si>
  <si>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</si>
  <si>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</si>
  <si>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</si>
  <si>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</si>
  <si>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</si>
  <si>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</si>
  <si>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</si>
  <si>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</si>
  <si>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</si>
  <si>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</si>
  <si>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</si>
  <si>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</si>
  <si>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</si>
  <si>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</si>
  <si>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</si>
  <si>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</si>
  <si>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</si>
  <si>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</si>
  <si>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</si>
  <si>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</si>
  <si>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</si>
  <si>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</si>
  <si>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</si>
  <si>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</si>
  <si>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</si>
  <si>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</si>
  <si>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</si>
  <si>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</si>
  <si>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</si>
  <si>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</si>
  <si>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</si>
  <si>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</si>
  <si>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</si>
  <si>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</si>
  <si>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</si>
  <si>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</si>
  <si>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</si>
  <si>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</si>
  <si>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</si>
  <si>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</si>
  <si>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</si>
  <si>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</si>
  <si>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</si>
  <si>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</si>
  <si>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</si>
  <si>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</si>
  <si>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</si>
  <si>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</si>
  <si>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</si>
  <si>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</si>
  <si>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</si>
  <si>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</si>
  <si>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</si>
  <si>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</si>
  <si>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</si>
  <si>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</si>
  <si>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</si>
  <si>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</si>
  <si>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</si>
  <si>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</si>
  <si>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</si>
  <si>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</si>
  <si>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</si>
  <si>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</si>
  <si>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</si>
  <si>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</si>
  <si>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</si>
  <si>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</si>
  <si>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</si>
  <si>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</si>
  <si>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</si>
  <si>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</si>
  <si>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</si>
  <si>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</si>
  <si>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</si>
  <si>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</si>
  <si>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</si>
  <si>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</si>
  <si>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</si>
  <si>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</si>
  <si>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</si>
  <si>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</si>
  <si>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</si>
  <si>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</si>
  <si>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</si>
  <si>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</si>
  <si>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</si>
  <si>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</si>
  <si>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</si>
  <si>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</si>
  <si>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</si>
  <si>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</si>
  <si>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</si>
  <si>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</si>
  <si>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</si>
  <si>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</si>
  <si>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</si>
  <si>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</si>
  <si>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</si>
  <si>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</si>
  <si>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</si>
  <si>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</si>
  <si>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</si>
  <si>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</si>
  <si>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</si>
  <si>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</si>
  <si>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</si>
  <si>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</si>
  <si>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</si>
  <si>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</si>
  <si>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</si>
  <si>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</si>
  <si>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</si>
  <si>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</si>
  <si>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</si>
  <si>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</si>
  <si>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</si>
  <si>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</si>
  <si>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</si>
  <si>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</si>
  <si>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</si>
  <si>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</si>
  <si>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</si>
  <si>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</si>
  <si>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</si>
  <si>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</si>
  <si>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</si>
  <si>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</si>
  <si>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</si>
  <si>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</si>
  <si>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</si>
  <si>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</si>
  <si>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</si>
  <si>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</si>
  <si>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</si>
  <si>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</si>
  <si>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</si>
  <si>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</si>
  <si>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</si>
  <si>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</si>
  <si>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</si>
  <si>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</si>
  <si>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</si>
  <si>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</si>
  <si>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</si>
  <si>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</si>
  <si>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</si>
  <si>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</si>
  <si>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</si>
  <si>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</si>
  <si>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</si>
  <si>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</si>
  <si>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</si>
  <si>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</si>
  <si>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</si>
  <si>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</si>
  <si>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</si>
  <si>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</si>
  <si>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</si>
  <si>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</si>
  <si>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</si>
  <si>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</si>
  <si>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</si>
  <si>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</si>
  <si>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</si>
  <si>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</si>
  <si>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</si>
  <si>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</si>
  <si>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</si>
  <si>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</si>
  <si>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</si>
  <si>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</si>
  <si>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</si>
  <si>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</si>
  <si>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</si>
  <si>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</si>
  <si>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</si>
  <si>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</si>
  <si>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</si>
  <si>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</si>
  <si>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</si>
  <si>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</si>
  <si>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</si>
  <si>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</si>
  <si>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</si>
  <si>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</si>
  <si>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</si>
  <si>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</si>
  <si>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</si>
  <si>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</si>
  <si>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</si>
  <si>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</si>
  <si>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</si>
  <si>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</si>
  <si>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</si>
  <si>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</si>
  <si>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</si>
  <si>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</si>
  <si>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</si>
  <si>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</si>
  <si>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</si>
  <si>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</si>
  <si>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</si>
  <si>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</si>
  <si>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</si>
  <si>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</si>
  <si>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</si>
  <si>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</si>
  <si>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</si>
  <si>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</si>
  <si>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</si>
  <si>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</si>
  <si>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</si>
  <si>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</si>
  <si>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</si>
  <si>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</si>
  <si>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</si>
  <si>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</si>
  <si>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</si>
  <si>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</si>
  <si>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</si>
  <si>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</si>
  <si>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</si>
  <si>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</si>
  <si>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</si>
  <si>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</si>
  <si>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</si>
  <si>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</si>
  <si>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</si>
  <si>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</si>
  <si>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</si>
  <si>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</si>
  <si>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</si>
  <si>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</si>
  <si>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</si>
  <si>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</si>
  <si>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</si>
  <si>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</si>
  <si>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</si>
  <si>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</si>
  <si>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</si>
  <si>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</si>
  <si>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</si>
  <si>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</si>
  <si>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</si>
  <si>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</si>
  <si>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</si>
  <si>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</si>
  <si>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</si>
  <si>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</si>
  <si>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</si>
  <si>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</si>
  <si>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</si>
  <si>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</si>
  <si>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</si>
  <si>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</si>
  <si>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</si>
  <si>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</si>
  <si>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</si>
  <si>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</si>
  <si>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</si>
  <si>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</si>
  <si>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</si>
  <si>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</si>
  <si>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</si>
  <si>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</si>
  <si>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</si>
  <si>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</si>
  <si>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</si>
  <si>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</si>
  <si>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</si>
  <si>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</si>
  <si>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</si>
  <si>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</si>
  <si>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</si>
  <si>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</si>
  <si>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</si>
  <si>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</si>
  <si>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</si>
  <si>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</si>
  <si>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</si>
  <si>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</si>
  <si>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</si>
  <si>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</si>
  <si>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</si>
  <si>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</si>
  <si>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</si>
  <si>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</si>
  <si>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</si>
  <si>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</si>
  <si>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</si>
  <si>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</si>
  <si>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</si>
  <si>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</si>
  <si>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</si>
  <si>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</si>
  <si>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</si>
  <si>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</si>
  <si>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</si>
  <si>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</si>
  <si>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</si>
  <si>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</si>
  <si>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</si>
  <si>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</si>
  <si>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</si>
  <si>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</si>
  <si>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</si>
  <si>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</si>
  <si>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</si>
  <si>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</si>
  <si>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</si>
  <si>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</si>
  <si>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</si>
  <si>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</si>
  <si>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</si>
  <si>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</si>
  <si>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</si>
  <si>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</si>
  <si>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</si>
  <si>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</si>
  <si>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</si>
  <si>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</si>
  <si>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</si>
  <si>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</si>
  <si>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</si>
  <si>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</si>
  <si>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</si>
  <si>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</si>
  <si>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</si>
  <si>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</si>
  <si>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</si>
  <si>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</si>
  <si>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</si>
  <si>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</si>
  <si>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</si>
  <si>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</si>
  <si>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</si>
  <si>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</si>
  <si>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</si>
  <si>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</si>
  <si>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</si>
  <si>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</si>
  <si>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</si>
  <si>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</si>
  <si>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</si>
  <si>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</si>
  <si>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</si>
  <si>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</si>
  <si>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</si>
  <si>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</si>
  <si>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</si>
  <si>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</si>
  <si>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</si>
  <si>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</si>
  <si>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</si>
  <si>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</si>
  <si>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</si>
  <si>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</si>
  <si>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</si>
  <si>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</si>
  <si>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</si>
  <si>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</si>
  <si>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</si>
  <si>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</si>
  <si>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</si>
  <si>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</si>
  <si>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</si>
  <si>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</si>
  <si>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</si>
  <si>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</si>
  <si>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</si>
  <si>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</si>
  <si>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</si>
  <si>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</si>
  <si>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</si>
  <si>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</si>
  <si>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</si>
  <si>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</si>
  <si>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</si>
  <si>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</si>
  <si>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</si>
  <si>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</si>
  <si>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</si>
  <si>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</si>
  <si>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</si>
  <si>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</si>
  <si>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</si>
  <si>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SU002632</t>
  </si>
  <si>
    <t>P004689</t>
  </si>
  <si>
    <t>SU002635</t>
  </si>
  <si>
    <t>P004690</t>
  </si>
  <si>
    <t>ЕАЭС N RU Д-RU.РА02.В.51764/24</t>
  </si>
  <si>
    <t>SU002631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</si>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</sst>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27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51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4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6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0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92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67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5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2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4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92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1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5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5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6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65"/>
  <sheetViews>
    <sheetView showGridLines="0" tabSelected="1" topLeftCell="A339" zoomScaleNormal="100" zoomScaleSheetLayoutView="100" workbookViewId="0">
      <selection activeCell="Z363" sqref="Z36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23" customFormat="1" ht="45" customHeight="1" x14ac:dyDescent="0.2">
      <c r="A1" s="42"/>
      <c r="B1" s="42"/>
      <c r="C1" s="42"/>
      <c r="D1" s="447" t="s">
        <v>0</v>
      </c>
      <c r="E1" s="414"/>
      <c r="F1" s="414"/>
      <c r="G1" s="12" t="s">
        <v>1</v>
      </c>
      <c r="H1" s="447" t="s">
        <v>2</v>
      </c>
      <c r="I1" s="414"/>
      <c r="J1" s="414"/>
      <c r="K1" s="414"/>
      <c r="L1" s="414"/>
      <c r="M1" s="414"/>
      <c r="N1" s="414"/>
      <c r="O1" s="414"/>
      <c r="P1" s="414"/>
      <c r="Q1" s="414"/>
      <c r="R1" s="413" t="s">
        <v>3</v>
      </c>
      <c r="S1" s="414"/>
      <c r="T1" s="414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8"/>
      <c r="R2" s="408"/>
      <c r="S2" s="408"/>
      <c r="T2" s="408"/>
      <c r="U2" s="408"/>
      <c r="V2" s="408"/>
      <c r="W2" s="408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8"/>
      <c r="Q3" s="408"/>
      <c r="R3" s="408"/>
      <c r="S3" s="408"/>
      <c r="T3" s="408"/>
      <c r="U3" s="408"/>
      <c r="V3" s="408"/>
      <c r="W3" s="408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483" t="s">
        <v>8</v>
      </c>
      <c r="B5" s="463"/>
      <c r="C5" s="464"/>
      <c r="D5" s="449"/>
      <c r="E5" s="450"/>
      <c r="F5" s="611" t="s">
        <v>9</v>
      </c>
      <c r="G5" s="464"/>
      <c r="H5" s="449"/>
      <c r="I5" s="573"/>
      <c r="J5" s="573"/>
      <c r="K5" s="573"/>
      <c r="L5" s="573"/>
      <c r="M5" s="450"/>
      <c r="N5" s="59"/>
      <c r="P5" s="25" t="s">
        <v>10</v>
      </c>
      <c r="Q5" s="625">
        <v>45952</v>
      </c>
      <c r="R5" s="482"/>
      <c r="T5" s="520" t="s">
        <v>11</v>
      </c>
      <c r="U5" s="517"/>
      <c r="V5" s="522" t="s">
        <v>12</v>
      </c>
      <c r="W5" s="482"/>
      <c r="AB5" s="52"/>
      <c r="AC5" s="52"/>
      <c r="AD5" s="52"/>
      <c r="AE5" s="52"/>
    </row>
    <row r="6" spans="1:32" s="23" customFormat="1" ht="24" customHeight="1" x14ac:dyDescent="0.2">
      <c r="A6" s="483" t="s">
        <v>13</v>
      </c>
      <c r="B6" s="463"/>
      <c r="C6" s="464"/>
      <c r="D6" s="576" t="s">
        <v>14</v>
      </c>
      <c r="E6" s="577"/>
      <c r="F6" s="577"/>
      <c r="G6" s="577"/>
      <c r="H6" s="577"/>
      <c r="I6" s="577"/>
      <c r="J6" s="577"/>
      <c r="K6" s="577"/>
      <c r="L6" s="577"/>
      <c r="M6" s="482"/>
      <c r="N6" s="60"/>
      <c r="P6" s="25" t="s">
        <v>15</v>
      </c>
      <c r="Q6" s="629" t="str">
        <f>IF(Q5=0," ",CHOOSE(WEEKDAY(Q5,2),"Понедельник","Вторник","Среда","Четверг","Пятница","Суббота","Воскресенье"))</f>
        <v>Среда</v>
      </c>
      <c r="R6" s="398"/>
      <c r="T6" s="524" t="s">
        <v>16</v>
      </c>
      <c r="U6" s="517"/>
      <c r="V6" s="561" t="s">
        <v>17</v>
      </c>
      <c r="W6" s="430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437" t="str">
        <f>IFERROR(VLOOKUP(DeliveryAddress,Table,3,0),1)</f>
        <v>1</v>
      </c>
      <c r="E7" s="438"/>
      <c r="F7" s="438"/>
      <c r="G7" s="438"/>
      <c r="H7" s="438"/>
      <c r="I7" s="438"/>
      <c r="J7" s="438"/>
      <c r="K7" s="438"/>
      <c r="L7" s="438"/>
      <c r="M7" s="439"/>
      <c r="N7" s="61"/>
      <c r="P7" s="25"/>
      <c r="Q7" s="43"/>
      <c r="R7" s="43"/>
      <c r="T7" s="408"/>
      <c r="U7" s="517"/>
      <c r="V7" s="562"/>
      <c r="W7" s="563"/>
      <c r="AB7" s="52"/>
      <c r="AC7" s="52"/>
      <c r="AD7" s="52"/>
      <c r="AE7" s="52"/>
    </row>
    <row r="8" spans="1:32" s="23" customFormat="1" ht="25.5" customHeight="1" x14ac:dyDescent="0.2">
      <c r="A8" s="635" t="s">
        <v>18</v>
      </c>
      <c r="B8" s="402"/>
      <c r="C8" s="403"/>
      <c r="D8" s="441" t="s">
        <v>19</v>
      </c>
      <c r="E8" s="442"/>
      <c r="F8" s="442"/>
      <c r="G8" s="442"/>
      <c r="H8" s="442"/>
      <c r="I8" s="442"/>
      <c r="J8" s="442"/>
      <c r="K8" s="442"/>
      <c r="L8" s="442"/>
      <c r="M8" s="443"/>
      <c r="N8" s="62"/>
      <c r="P8" s="25" t="s">
        <v>20</v>
      </c>
      <c r="Q8" s="489">
        <v>0.41666666666666669</v>
      </c>
      <c r="R8" s="439"/>
      <c r="T8" s="408"/>
      <c r="U8" s="517"/>
      <c r="V8" s="562"/>
      <c r="W8" s="563"/>
      <c r="AB8" s="52"/>
      <c r="AC8" s="52"/>
      <c r="AD8" s="52"/>
      <c r="AE8" s="52"/>
    </row>
    <row r="9" spans="1:32" s="23" customFormat="1" ht="39.950000000000003" customHeight="1" x14ac:dyDescent="0.2">
      <c r="A9" s="4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8"/>
      <c r="C9" s="408"/>
      <c r="D9" s="494"/>
      <c r="E9" s="400"/>
      <c r="F9" s="4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87"/>
      <c r="P9" s="27" t="s">
        <v>21</v>
      </c>
      <c r="Q9" s="478"/>
      <c r="R9" s="479"/>
      <c r="T9" s="408"/>
      <c r="U9" s="517"/>
      <c r="V9" s="564"/>
      <c r="W9" s="565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4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8"/>
      <c r="C10" s="408"/>
      <c r="D10" s="494"/>
      <c r="E10" s="400"/>
      <c r="F10" s="4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8"/>
      <c r="H10" s="556" t="str">
        <f>IFERROR(VLOOKUP($D$10,Proxy,2,FALSE),"")</f>
        <v/>
      </c>
      <c r="I10" s="408"/>
      <c r="J10" s="408"/>
      <c r="K10" s="408"/>
      <c r="L10" s="408"/>
      <c r="M10" s="408"/>
      <c r="N10" s="386"/>
      <c r="P10" s="27" t="s">
        <v>22</v>
      </c>
      <c r="Q10" s="525"/>
      <c r="R10" s="526"/>
      <c r="U10" s="25" t="s">
        <v>23</v>
      </c>
      <c r="V10" s="429" t="s">
        <v>24</v>
      </c>
      <c r="W10" s="430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481"/>
      <c r="R11" s="482"/>
      <c r="U11" s="25" t="s">
        <v>27</v>
      </c>
      <c r="V11" s="590" t="s">
        <v>28</v>
      </c>
      <c r="W11" s="479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15" t="s">
        <v>29</v>
      </c>
      <c r="B12" s="463"/>
      <c r="C12" s="463"/>
      <c r="D12" s="463"/>
      <c r="E12" s="463"/>
      <c r="F12" s="463"/>
      <c r="G12" s="463"/>
      <c r="H12" s="463"/>
      <c r="I12" s="463"/>
      <c r="J12" s="463"/>
      <c r="K12" s="463"/>
      <c r="L12" s="463"/>
      <c r="M12" s="464"/>
      <c r="N12" s="63"/>
      <c r="P12" s="25" t="s">
        <v>30</v>
      </c>
      <c r="Q12" s="489"/>
      <c r="R12" s="439"/>
      <c r="S12" s="24"/>
      <c r="U12" s="25" t="s">
        <v>31</v>
      </c>
      <c r="V12" s="590" t="s">
        <v>32</v>
      </c>
      <c r="W12" s="479"/>
      <c r="AB12" s="52"/>
      <c r="AC12" s="52"/>
      <c r="AD12" s="52"/>
      <c r="AE12" s="52"/>
    </row>
    <row r="13" spans="1:32" s="23" customFormat="1" ht="23.25" customHeight="1" x14ac:dyDescent="0.2">
      <c r="A13" s="515" t="s">
        <v>33</v>
      </c>
      <c r="B13" s="463"/>
      <c r="C13" s="463"/>
      <c r="D13" s="463"/>
      <c r="E13" s="463"/>
      <c r="F13" s="463"/>
      <c r="G13" s="463"/>
      <c r="H13" s="463"/>
      <c r="I13" s="463"/>
      <c r="J13" s="463"/>
      <c r="K13" s="463"/>
      <c r="L13" s="463"/>
      <c r="M13" s="464"/>
      <c r="N13" s="63"/>
      <c r="O13" s="27"/>
      <c r="P13" s="27" t="s">
        <v>34</v>
      </c>
      <c r="Q13" s="590"/>
      <c r="R13" s="479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15" t="s">
        <v>35</v>
      </c>
      <c r="B14" s="463"/>
      <c r="C14" s="463"/>
      <c r="D14" s="463"/>
      <c r="E14" s="463"/>
      <c r="F14" s="463"/>
      <c r="G14" s="463"/>
      <c r="H14" s="463"/>
      <c r="I14" s="463"/>
      <c r="J14" s="463"/>
      <c r="K14" s="463"/>
      <c r="L14" s="463"/>
      <c r="M14" s="464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37" t="s">
        <v>36</v>
      </c>
      <c r="B15" s="463"/>
      <c r="C15" s="463"/>
      <c r="D15" s="463"/>
      <c r="E15" s="463"/>
      <c r="F15" s="463"/>
      <c r="G15" s="463"/>
      <c r="H15" s="463"/>
      <c r="I15" s="463"/>
      <c r="J15" s="463"/>
      <c r="K15" s="463"/>
      <c r="L15" s="463"/>
      <c r="M15" s="464"/>
      <c r="N15" s="64"/>
      <c r="P15" s="506" t="s">
        <v>37</v>
      </c>
      <c r="Q15" s="414"/>
      <c r="R15" s="414"/>
      <c r="S15" s="414"/>
      <c r="T15" s="41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07"/>
      <c r="Q16" s="507"/>
      <c r="R16" s="507"/>
      <c r="S16" s="507"/>
      <c r="T16" s="5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38</v>
      </c>
      <c r="B17" s="425" t="s">
        <v>39</v>
      </c>
      <c r="C17" s="492" t="s">
        <v>40</v>
      </c>
      <c r="D17" s="425" t="s">
        <v>41</v>
      </c>
      <c r="E17" s="469"/>
      <c r="F17" s="425" t="s">
        <v>42</v>
      </c>
      <c r="G17" s="425" t="s">
        <v>43</v>
      </c>
      <c r="H17" s="425" t="s">
        <v>44</v>
      </c>
      <c r="I17" s="425" t="s">
        <v>45</v>
      </c>
      <c r="J17" s="425" t="s">
        <v>46</v>
      </c>
      <c r="K17" s="425" t="s">
        <v>47</v>
      </c>
      <c r="L17" s="425" t="s">
        <v>48</v>
      </c>
      <c r="M17" s="425" t="s">
        <v>49</v>
      </c>
      <c r="N17" s="425" t="s">
        <v>50</v>
      </c>
      <c r="O17" s="425" t="s">
        <v>51</v>
      </c>
      <c r="P17" s="425" t="s">
        <v>52</v>
      </c>
      <c r="Q17" s="468"/>
      <c r="R17" s="468"/>
      <c r="S17" s="468"/>
      <c r="T17" s="469"/>
      <c r="U17" s="632" t="s">
        <v>53</v>
      </c>
      <c r="V17" s="464"/>
      <c r="W17" s="425" t="s">
        <v>54</v>
      </c>
      <c r="X17" s="425" t="s">
        <v>55</v>
      </c>
      <c r="Y17" s="633" t="s">
        <v>56</v>
      </c>
      <c r="Z17" s="571" t="s">
        <v>57</v>
      </c>
      <c r="AA17" s="557" t="s">
        <v>58</v>
      </c>
      <c r="AB17" s="557" t="s">
        <v>59</v>
      </c>
      <c r="AC17" s="557" t="s">
        <v>60</v>
      </c>
      <c r="AD17" s="557" t="s">
        <v>61</v>
      </c>
      <c r="AE17" s="606"/>
      <c r="AF17" s="607"/>
      <c r="AG17" s="67"/>
      <c r="BD17" s="66" t="s">
        <v>62</v>
      </c>
    </row>
    <row r="18" spans="1:68" ht="14.25" customHeight="1" x14ac:dyDescent="0.2">
      <c r="A18" s="426"/>
      <c r="B18" s="426"/>
      <c r="C18" s="426"/>
      <c r="D18" s="470"/>
      <c r="E18" s="472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470"/>
      <c r="Q18" s="471"/>
      <c r="R18" s="471"/>
      <c r="S18" s="471"/>
      <c r="T18" s="472"/>
      <c r="U18" s="68" t="s">
        <v>63</v>
      </c>
      <c r="V18" s="68" t="s">
        <v>64</v>
      </c>
      <c r="W18" s="426"/>
      <c r="X18" s="426"/>
      <c r="Y18" s="634"/>
      <c r="Z18" s="572"/>
      <c r="AA18" s="558"/>
      <c r="AB18" s="558"/>
      <c r="AC18" s="558"/>
      <c r="AD18" s="608"/>
      <c r="AE18" s="609"/>
      <c r="AF18" s="610"/>
      <c r="AG18" s="67"/>
      <c r="BD18" s="66"/>
    </row>
    <row r="19" spans="1:68" ht="27.75" customHeight="1" x14ac:dyDescent="0.2">
      <c r="A19" s="476" t="s">
        <v>65</v>
      </c>
      <c r="B19" s="477"/>
      <c r="C19" s="477"/>
      <c r="D19" s="477"/>
      <c r="E19" s="477"/>
      <c r="F19" s="477"/>
      <c r="G19" s="477"/>
      <c r="H19" s="477"/>
      <c r="I19" s="477"/>
      <c r="J19" s="477"/>
      <c r="K19" s="477"/>
      <c r="L19" s="477"/>
      <c r="M19" s="477"/>
      <c r="N19" s="477"/>
      <c r="O19" s="477"/>
      <c r="P19" s="477"/>
      <c r="Q19" s="477"/>
      <c r="R19" s="477"/>
      <c r="S19" s="477"/>
      <c r="T19" s="477"/>
      <c r="U19" s="477"/>
      <c r="V19" s="477"/>
      <c r="W19" s="477"/>
      <c r="X19" s="477"/>
      <c r="Y19" s="477"/>
      <c r="Z19" s="477"/>
      <c r="AA19" s="49"/>
      <c r="AB19" s="49"/>
      <c r="AC19" s="49"/>
    </row>
    <row r="20" spans="1:68" ht="16.5" customHeight="1" x14ac:dyDescent="0.25">
      <c r="A20" s="407" t="s">
        <v>65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A20" s="385"/>
      <c r="AB20" s="385"/>
      <c r="AC20" s="385"/>
    </row>
    <row r="21" spans="1:68" ht="14.25" customHeight="1" x14ac:dyDescent="0.25">
      <c r="A21" s="410" t="s">
        <v>66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  <c r="Z21" s="408"/>
      <c r="AA21" s="383"/>
      <c r="AB21" s="383"/>
      <c r="AC21" s="383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397">
        <v>4680115886230</v>
      </c>
      <c r="E22" s="398"/>
      <c r="F22" s="388">
        <v>0.3</v>
      </c>
      <c r="G22" s="33">
        <v>6</v>
      </c>
      <c r="H22" s="388">
        <v>1.8</v>
      </c>
      <c r="I22" s="388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56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394"/>
      <c r="R22" s="394"/>
      <c r="S22" s="394"/>
      <c r="T22" s="395"/>
      <c r="U22" s="35"/>
      <c r="V22" s="35"/>
      <c r="W22" s="36" t="s">
        <v>71</v>
      </c>
      <c r="X22" s="389">
        <v>0</v>
      </c>
      <c r="Y22" s="390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397">
        <v>4680115886247</v>
      </c>
      <c r="E23" s="398"/>
      <c r="F23" s="388">
        <v>0.3</v>
      </c>
      <c r="G23" s="33">
        <v>6</v>
      </c>
      <c r="H23" s="388">
        <v>1.8</v>
      </c>
      <c r="I23" s="388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394"/>
      <c r="R23" s="394"/>
      <c r="S23" s="394"/>
      <c r="T23" s="395"/>
      <c r="U23" s="35"/>
      <c r="V23" s="35"/>
      <c r="W23" s="36" t="s">
        <v>71</v>
      </c>
      <c r="X23" s="389">
        <v>0</v>
      </c>
      <c r="Y23" s="390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18"/>
      <c r="B24" s="408"/>
      <c r="C24" s="408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19"/>
      <c r="P24" s="401" t="s">
        <v>76</v>
      </c>
      <c r="Q24" s="402"/>
      <c r="R24" s="402"/>
      <c r="S24" s="402"/>
      <c r="T24" s="402"/>
      <c r="U24" s="402"/>
      <c r="V24" s="403"/>
      <c r="W24" s="38" t="s">
        <v>77</v>
      </c>
      <c r="X24" s="391">
        <f>IFERROR(X22/H22,"0")+IFERROR(X23/H23,"0")</f>
        <v>0</v>
      </c>
      <c r="Y24" s="391">
        <f>IFERROR(Y22/H22,"0")+IFERROR(Y23/H23,"0")</f>
        <v>0</v>
      </c>
      <c r="Z24" s="391">
        <f>IFERROR(IF(Z22="",0,Z22),"0")+IFERROR(IF(Z23="",0,Z23),"0")</f>
        <v>0</v>
      </c>
      <c r="AA24" s="392"/>
      <c r="AB24" s="392"/>
      <c r="AC24" s="392"/>
    </row>
    <row r="25" spans="1:68" x14ac:dyDescent="0.2">
      <c r="A25" s="408"/>
      <c r="B25" s="408"/>
      <c r="C25" s="408"/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19"/>
      <c r="P25" s="401" t="s">
        <v>76</v>
      </c>
      <c r="Q25" s="402"/>
      <c r="R25" s="402"/>
      <c r="S25" s="402"/>
      <c r="T25" s="402"/>
      <c r="U25" s="402"/>
      <c r="V25" s="403"/>
      <c r="W25" s="38" t="s">
        <v>71</v>
      </c>
      <c r="X25" s="391">
        <f>IFERROR(SUM(X22:X23),"0")</f>
        <v>0</v>
      </c>
      <c r="Y25" s="391">
        <f>IFERROR(SUM(Y22:Y23),"0")</f>
        <v>0</v>
      </c>
      <c r="Z25" s="38"/>
      <c r="AA25" s="392"/>
      <c r="AB25" s="392"/>
      <c r="AC25" s="392"/>
    </row>
    <row r="26" spans="1:68" ht="14.25" customHeight="1" x14ac:dyDescent="0.25">
      <c r="A26" s="410" t="s">
        <v>78</v>
      </c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383"/>
      <c r="AB26" s="383"/>
      <c r="AC26" s="383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397">
        <v>4607091388503</v>
      </c>
      <c r="E27" s="398"/>
      <c r="F27" s="388">
        <v>0.05</v>
      </c>
      <c r="G27" s="33">
        <v>12</v>
      </c>
      <c r="H27" s="388">
        <v>0.6</v>
      </c>
      <c r="I27" s="388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394"/>
      <c r="R27" s="394"/>
      <c r="S27" s="394"/>
      <c r="T27" s="395"/>
      <c r="U27" s="35"/>
      <c r="V27" s="35"/>
      <c r="W27" s="36" t="s">
        <v>71</v>
      </c>
      <c r="X27" s="389">
        <v>0</v>
      </c>
      <c r="Y27" s="390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18"/>
      <c r="B28" s="408"/>
      <c r="C28" s="408"/>
      <c r="D28" s="408"/>
      <c r="E28" s="408"/>
      <c r="F28" s="408"/>
      <c r="G28" s="408"/>
      <c r="H28" s="408"/>
      <c r="I28" s="408"/>
      <c r="J28" s="408"/>
      <c r="K28" s="408"/>
      <c r="L28" s="408"/>
      <c r="M28" s="408"/>
      <c r="N28" s="408"/>
      <c r="O28" s="419"/>
      <c r="P28" s="401" t="s">
        <v>76</v>
      </c>
      <c r="Q28" s="402"/>
      <c r="R28" s="402"/>
      <c r="S28" s="402"/>
      <c r="T28" s="402"/>
      <c r="U28" s="402"/>
      <c r="V28" s="403"/>
      <c r="W28" s="38" t="s">
        <v>77</v>
      </c>
      <c r="X28" s="391">
        <f>IFERROR(X27/H27,"0")</f>
        <v>0</v>
      </c>
      <c r="Y28" s="391">
        <f>IFERROR(Y27/H27,"0")</f>
        <v>0</v>
      </c>
      <c r="Z28" s="391">
        <f>IFERROR(IF(Z27="",0,Z27),"0")</f>
        <v>0</v>
      </c>
      <c r="AA28" s="392"/>
      <c r="AB28" s="392"/>
      <c r="AC28" s="392"/>
    </row>
    <row r="29" spans="1:68" x14ac:dyDescent="0.2">
      <c r="A29" s="408"/>
      <c r="B29" s="408"/>
      <c r="C29" s="408"/>
      <c r="D29" s="408"/>
      <c r="E29" s="408"/>
      <c r="F29" s="408"/>
      <c r="G29" s="408"/>
      <c r="H29" s="408"/>
      <c r="I29" s="408"/>
      <c r="J29" s="408"/>
      <c r="K29" s="408"/>
      <c r="L29" s="408"/>
      <c r="M29" s="408"/>
      <c r="N29" s="408"/>
      <c r="O29" s="419"/>
      <c r="P29" s="401" t="s">
        <v>76</v>
      </c>
      <c r="Q29" s="402"/>
      <c r="R29" s="402"/>
      <c r="S29" s="402"/>
      <c r="T29" s="402"/>
      <c r="U29" s="402"/>
      <c r="V29" s="403"/>
      <c r="W29" s="38" t="s">
        <v>71</v>
      </c>
      <c r="X29" s="391">
        <f>IFERROR(SUM(X27:X27),"0")</f>
        <v>0</v>
      </c>
      <c r="Y29" s="391">
        <f>IFERROR(SUM(Y27:Y27),"0")</f>
        <v>0</v>
      </c>
      <c r="Z29" s="38"/>
      <c r="AA29" s="392"/>
      <c r="AB29" s="392"/>
      <c r="AC29" s="392"/>
    </row>
    <row r="30" spans="1:68" ht="27.75" customHeight="1" x14ac:dyDescent="0.2">
      <c r="A30" s="476" t="s">
        <v>84</v>
      </c>
      <c r="B30" s="477"/>
      <c r="C30" s="477"/>
      <c r="D30" s="477"/>
      <c r="E30" s="477"/>
      <c r="F30" s="477"/>
      <c r="G30" s="477"/>
      <c r="H30" s="477"/>
      <c r="I30" s="477"/>
      <c r="J30" s="477"/>
      <c r="K30" s="477"/>
      <c r="L30" s="477"/>
      <c r="M30" s="477"/>
      <c r="N30" s="477"/>
      <c r="O30" s="477"/>
      <c r="P30" s="477"/>
      <c r="Q30" s="477"/>
      <c r="R30" s="477"/>
      <c r="S30" s="477"/>
      <c r="T30" s="477"/>
      <c r="U30" s="477"/>
      <c r="V30" s="477"/>
      <c r="W30" s="477"/>
      <c r="X30" s="477"/>
      <c r="Y30" s="477"/>
      <c r="Z30" s="477"/>
      <c r="AA30" s="49"/>
      <c r="AB30" s="49"/>
      <c r="AC30" s="49"/>
    </row>
    <row r="31" spans="1:68" ht="16.5" customHeight="1" x14ac:dyDescent="0.25">
      <c r="A31" s="407" t="s">
        <v>85</v>
      </c>
      <c r="B31" s="408"/>
      <c r="C31" s="408"/>
      <c r="D31" s="408"/>
      <c r="E31" s="408"/>
      <c r="F31" s="408"/>
      <c r="G31" s="408"/>
      <c r="H31" s="408"/>
      <c r="I31" s="408"/>
      <c r="J31" s="408"/>
      <c r="K31" s="408"/>
      <c r="L31" s="408"/>
      <c r="M31" s="408"/>
      <c r="N31" s="408"/>
      <c r="O31" s="408"/>
      <c r="P31" s="408"/>
      <c r="Q31" s="408"/>
      <c r="R31" s="408"/>
      <c r="S31" s="408"/>
      <c r="T31" s="408"/>
      <c r="U31" s="408"/>
      <c r="V31" s="408"/>
      <c r="W31" s="408"/>
      <c r="X31" s="408"/>
      <c r="Y31" s="408"/>
      <c r="Z31" s="408"/>
      <c r="AA31" s="385"/>
      <c r="AB31" s="385"/>
      <c r="AC31" s="385"/>
    </row>
    <row r="32" spans="1:68" ht="14.25" customHeight="1" x14ac:dyDescent="0.25">
      <c r="A32" s="410" t="s">
        <v>86</v>
      </c>
      <c r="B32" s="408"/>
      <c r="C32" s="408"/>
      <c r="D32" s="408"/>
      <c r="E32" s="408"/>
      <c r="F32" s="408"/>
      <c r="G32" s="408"/>
      <c r="H32" s="408"/>
      <c r="I32" s="408"/>
      <c r="J32" s="408"/>
      <c r="K32" s="408"/>
      <c r="L32" s="408"/>
      <c r="M32" s="408"/>
      <c r="N32" s="408"/>
      <c r="O32" s="408"/>
      <c r="P32" s="408"/>
      <c r="Q32" s="408"/>
      <c r="R32" s="408"/>
      <c r="S32" s="408"/>
      <c r="T32" s="408"/>
      <c r="U32" s="408"/>
      <c r="V32" s="408"/>
      <c r="W32" s="408"/>
      <c r="X32" s="408"/>
      <c r="Y32" s="408"/>
      <c r="Z32" s="408"/>
      <c r="AA32" s="383"/>
      <c r="AB32" s="383"/>
      <c r="AC32" s="383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397">
        <v>4607091385670</v>
      </c>
      <c r="E33" s="398"/>
      <c r="F33" s="388">
        <v>1.35</v>
      </c>
      <c r="G33" s="33">
        <v>8</v>
      </c>
      <c r="H33" s="388">
        <v>10.8</v>
      </c>
      <c r="I33" s="388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5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394"/>
      <c r="R33" s="394"/>
      <c r="S33" s="394"/>
      <c r="T33" s="395"/>
      <c r="U33" s="35"/>
      <c r="V33" s="35"/>
      <c r="W33" s="36" t="s">
        <v>71</v>
      </c>
      <c r="X33" s="389">
        <v>0</v>
      </c>
      <c r="Y33" s="390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397">
        <v>4607091385687</v>
      </c>
      <c r="E34" s="398"/>
      <c r="F34" s="388">
        <v>0.4</v>
      </c>
      <c r="G34" s="33">
        <v>10</v>
      </c>
      <c r="H34" s="388">
        <v>4</v>
      </c>
      <c r="I34" s="388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5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394"/>
      <c r="R34" s="394"/>
      <c r="S34" s="394"/>
      <c r="T34" s="395"/>
      <c r="U34" s="35"/>
      <c r="V34" s="35"/>
      <c r="W34" s="36" t="s">
        <v>71</v>
      </c>
      <c r="X34" s="389">
        <v>75</v>
      </c>
      <c r="Y34" s="390">
        <f>IFERROR(IF(X34="",0,CEILING((X34/$H34),1)*$H34),"")</f>
        <v>76</v>
      </c>
      <c r="Z34" s="37">
        <f>IFERROR(IF(Y34=0,"",ROUNDUP(Y34/H34,0)*0.00902),"")</f>
        <v>0.17138</v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78.9375</v>
      </c>
      <c r="BN34" s="65">
        <f>IFERROR(Y34*I34/H34,"0")</f>
        <v>79.989999999999995</v>
      </c>
      <c r="BO34" s="65">
        <f>IFERROR(1/J34*(X34/H34),"0")</f>
        <v>0.14204545454545456</v>
      </c>
      <c r="BP34" s="65">
        <f>IFERROR(1/J34*(Y34/H34),"0")</f>
        <v>0.14393939393939395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397">
        <v>4680115882539</v>
      </c>
      <c r="E35" s="398"/>
      <c r="F35" s="388">
        <v>0.37</v>
      </c>
      <c r="G35" s="33">
        <v>10</v>
      </c>
      <c r="H35" s="388">
        <v>3.7</v>
      </c>
      <c r="I35" s="388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5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394"/>
      <c r="R35" s="394"/>
      <c r="S35" s="394"/>
      <c r="T35" s="395"/>
      <c r="U35" s="35"/>
      <c r="V35" s="35"/>
      <c r="W35" s="36" t="s">
        <v>71</v>
      </c>
      <c r="X35" s="389">
        <v>0</v>
      </c>
      <c r="Y35" s="390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x14ac:dyDescent="0.2">
      <c r="A36" s="418"/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  <c r="M36" s="408"/>
      <c r="N36" s="408"/>
      <c r="O36" s="419"/>
      <c r="P36" s="401" t="s">
        <v>76</v>
      </c>
      <c r="Q36" s="402"/>
      <c r="R36" s="402"/>
      <c r="S36" s="402"/>
      <c r="T36" s="402"/>
      <c r="U36" s="402"/>
      <c r="V36" s="403"/>
      <c r="W36" s="38" t="s">
        <v>77</v>
      </c>
      <c r="X36" s="391">
        <f>IFERROR(X33/H33,"0")+IFERROR(X34/H34,"0")+IFERROR(X35/H35,"0")</f>
        <v>18.75</v>
      </c>
      <c r="Y36" s="391">
        <f>IFERROR(Y33/H33,"0")+IFERROR(Y34/H34,"0")+IFERROR(Y35/H35,"0")</f>
        <v>19</v>
      </c>
      <c r="Z36" s="391">
        <f>IFERROR(IF(Z33="",0,Z33),"0")+IFERROR(IF(Z34="",0,Z34),"0")+IFERROR(IF(Z35="",0,Z35),"0")</f>
        <v>0.17138</v>
      </c>
      <c r="AA36" s="392"/>
      <c r="AB36" s="392"/>
      <c r="AC36" s="392"/>
    </row>
    <row r="37" spans="1:68" x14ac:dyDescent="0.2">
      <c r="A37" s="408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19"/>
      <c r="P37" s="401" t="s">
        <v>76</v>
      </c>
      <c r="Q37" s="402"/>
      <c r="R37" s="402"/>
      <c r="S37" s="402"/>
      <c r="T37" s="402"/>
      <c r="U37" s="402"/>
      <c r="V37" s="403"/>
      <c r="W37" s="38" t="s">
        <v>71</v>
      </c>
      <c r="X37" s="391">
        <f>IFERROR(SUM(X33:X35),"0")</f>
        <v>75</v>
      </c>
      <c r="Y37" s="391">
        <f>IFERROR(SUM(Y33:Y35),"0")</f>
        <v>76</v>
      </c>
      <c r="Z37" s="38"/>
      <c r="AA37" s="392"/>
      <c r="AB37" s="392"/>
      <c r="AC37" s="392"/>
    </row>
    <row r="38" spans="1:68" ht="16.5" customHeight="1" x14ac:dyDescent="0.25">
      <c r="A38" s="407" t="s">
        <v>98</v>
      </c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  <c r="O38" s="408"/>
      <c r="P38" s="408"/>
      <c r="Q38" s="408"/>
      <c r="R38" s="408"/>
      <c r="S38" s="408"/>
      <c r="T38" s="408"/>
      <c r="U38" s="408"/>
      <c r="V38" s="408"/>
      <c r="W38" s="408"/>
      <c r="X38" s="408"/>
      <c r="Y38" s="408"/>
      <c r="Z38" s="408"/>
      <c r="AA38" s="385"/>
      <c r="AB38" s="385"/>
      <c r="AC38" s="385"/>
    </row>
    <row r="39" spans="1:68" ht="14.25" customHeight="1" x14ac:dyDescent="0.25">
      <c r="A39" s="410" t="s">
        <v>86</v>
      </c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8"/>
      <c r="R39" s="408"/>
      <c r="S39" s="408"/>
      <c r="T39" s="408"/>
      <c r="U39" s="408"/>
      <c r="V39" s="408"/>
      <c r="W39" s="408"/>
      <c r="X39" s="408"/>
      <c r="Y39" s="408"/>
      <c r="Z39" s="408"/>
      <c r="AA39" s="383"/>
      <c r="AB39" s="383"/>
      <c r="AC39" s="383"/>
    </row>
    <row r="40" spans="1:68" ht="27" customHeight="1" x14ac:dyDescent="0.25">
      <c r="A40" s="55" t="s">
        <v>99</v>
      </c>
      <c r="B40" s="55" t="s">
        <v>100</v>
      </c>
      <c r="C40" s="32">
        <v>4301012030</v>
      </c>
      <c r="D40" s="397">
        <v>4680115885882</v>
      </c>
      <c r="E40" s="398"/>
      <c r="F40" s="388">
        <v>1.4</v>
      </c>
      <c r="G40" s="33">
        <v>8</v>
      </c>
      <c r="H40" s="388">
        <v>11.2</v>
      </c>
      <c r="I40" s="388">
        <v>11.635</v>
      </c>
      <c r="J40" s="33">
        <v>64</v>
      </c>
      <c r="K40" s="33" t="s">
        <v>89</v>
      </c>
      <c r="L40" s="33"/>
      <c r="M40" s="34" t="s">
        <v>95</v>
      </c>
      <c r="N40" s="34"/>
      <c r="O40" s="33">
        <v>50</v>
      </c>
      <c r="P40" s="5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394"/>
      <c r="R40" s="394"/>
      <c r="S40" s="394"/>
      <c r="T40" s="395"/>
      <c r="U40" s="35"/>
      <c r="V40" s="35"/>
      <c r="W40" s="36" t="s">
        <v>71</v>
      </c>
      <c r="X40" s="389">
        <v>0</v>
      </c>
      <c r="Y40" s="390">
        <f t="shared" ref="Y40:Y45" si="0">IFERROR(IF(X40="",0,CEILING((X40/$H40),1)*$H40),"")</f>
        <v>0</v>
      </c>
      <c r="Z40" s="37" t="str">
        <f>IFERROR(IF(Y40=0,"",ROUNDUP(Y40/H40,0)*0.01898),"")</f>
        <v/>
      </c>
      <c r="AA40" s="57"/>
      <c r="AB40" s="58"/>
      <c r="AC40" s="82" t="s">
        <v>101</v>
      </c>
      <c r="AG40" s="65"/>
      <c r="AJ40" s="69"/>
      <c r="AK40" s="69">
        <v>0</v>
      </c>
      <c r="BB40" s="83" t="s">
        <v>1</v>
      </c>
      <c r="BM40" s="65">
        <f t="shared" ref="BM40:BM45" si="1">IFERROR(X40*I40/H40,"0")</f>
        <v>0</v>
      </c>
      <c r="BN40" s="65">
        <f t="shared" ref="BN40:BN45" si="2">IFERROR(Y40*I40/H40,"0")</f>
        <v>0</v>
      </c>
      <c r="BO40" s="65">
        <f t="shared" ref="BO40:BO45" si="3">IFERROR(1/J40*(X40/H40),"0")</f>
        <v>0</v>
      </c>
      <c r="BP40" s="65">
        <f t="shared" ref="BP40:BP45" si="4">IFERROR(1/J40*(Y40/H40),"0")</f>
        <v>0</v>
      </c>
    </row>
    <row r="41" spans="1:68" ht="27" customHeight="1" x14ac:dyDescent="0.25">
      <c r="A41" s="55" t="s">
        <v>102</v>
      </c>
      <c r="B41" s="55" t="s">
        <v>103</v>
      </c>
      <c r="C41" s="32">
        <v>4301011816</v>
      </c>
      <c r="D41" s="397">
        <v>4680115881426</v>
      </c>
      <c r="E41" s="398"/>
      <c r="F41" s="388">
        <v>1.35</v>
      </c>
      <c r="G41" s="33">
        <v>8</v>
      </c>
      <c r="H41" s="388">
        <v>10.8</v>
      </c>
      <c r="I41" s="388">
        <v>11.234999999999999</v>
      </c>
      <c r="J41" s="33">
        <v>64</v>
      </c>
      <c r="K41" s="33" t="s">
        <v>89</v>
      </c>
      <c r="L41" s="33"/>
      <c r="M41" s="34" t="s">
        <v>90</v>
      </c>
      <c r="N41" s="34"/>
      <c r="O41" s="33">
        <v>50</v>
      </c>
      <c r="P41" s="5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394"/>
      <c r="R41" s="394"/>
      <c r="S41" s="394"/>
      <c r="T41" s="395"/>
      <c r="U41" s="35"/>
      <c r="V41" s="35"/>
      <c r="W41" s="36" t="s">
        <v>71</v>
      </c>
      <c r="X41" s="389">
        <v>15</v>
      </c>
      <c r="Y41" s="390">
        <f t="shared" si="0"/>
        <v>21.6</v>
      </c>
      <c r="Z41" s="37">
        <f>IFERROR(IF(Y41=0,"",ROUNDUP(Y41/H41,0)*0.01898),"")</f>
        <v>3.7960000000000001E-2</v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si="1"/>
        <v>15.604166666666664</v>
      </c>
      <c r="BN41" s="65">
        <f t="shared" si="2"/>
        <v>22.47</v>
      </c>
      <c r="BO41" s="65">
        <f t="shared" si="3"/>
        <v>2.1701388888888888E-2</v>
      </c>
      <c r="BP41" s="65">
        <f t="shared" si="4"/>
        <v>3.125E-2</v>
      </c>
    </row>
    <row r="42" spans="1:68" ht="27" customHeight="1" x14ac:dyDescent="0.25">
      <c r="A42" s="55" t="s">
        <v>105</v>
      </c>
      <c r="B42" s="55" t="s">
        <v>106</v>
      </c>
      <c r="C42" s="32">
        <v>4301011386</v>
      </c>
      <c r="D42" s="397">
        <v>4680115880283</v>
      </c>
      <c r="E42" s="398"/>
      <c r="F42" s="388">
        <v>0.6</v>
      </c>
      <c r="G42" s="33">
        <v>8</v>
      </c>
      <c r="H42" s="388">
        <v>4.8</v>
      </c>
      <c r="I42" s="388">
        <v>5.01</v>
      </c>
      <c r="J42" s="33">
        <v>132</v>
      </c>
      <c r="K42" s="33" t="s">
        <v>94</v>
      </c>
      <c r="L42" s="33"/>
      <c r="M42" s="34" t="s">
        <v>90</v>
      </c>
      <c r="N42" s="34"/>
      <c r="O42" s="33">
        <v>45</v>
      </c>
      <c r="P42" s="4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394"/>
      <c r="R42" s="394"/>
      <c r="S42" s="394"/>
      <c r="T42" s="395"/>
      <c r="U42" s="35"/>
      <c r="V42" s="35"/>
      <c r="W42" s="36" t="s">
        <v>71</v>
      </c>
      <c r="X42" s="389">
        <v>0</v>
      </c>
      <c r="Y42" s="390">
        <f t="shared" si="0"/>
        <v>0</v>
      </c>
      <c r="Z42" s="37" t="str">
        <f>IFERROR(IF(Y42=0,"",ROUNDUP(Y42/H42,0)*0.00902),"")</f>
        <v/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0</v>
      </c>
      <c r="BN42" s="65">
        <f t="shared" si="2"/>
        <v>0</v>
      </c>
      <c r="BO42" s="65">
        <f t="shared" si="3"/>
        <v>0</v>
      </c>
      <c r="BP42" s="65">
        <f t="shared" si="4"/>
        <v>0</v>
      </c>
    </row>
    <row r="43" spans="1:68" ht="16.5" customHeight="1" x14ac:dyDescent="0.25">
      <c r="A43" s="55" t="s">
        <v>108</v>
      </c>
      <c r="B43" s="55" t="s">
        <v>109</v>
      </c>
      <c r="C43" s="32">
        <v>4301011806</v>
      </c>
      <c r="D43" s="397">
        <v>4680115881525</v>
      </c>
      <c r="E43" s="398"/>
      <c r="F43" s="388">
        <v>0.4</v>
      </c>
      <c r="G43" s="33">
        <v>10</v>
      </c>
      <c r="H43" s="388">
        <v>4</v>
      </c>
      <c r="I43" s="388">
        <v>4.21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50</v>
      </c>
      <c r="P43" s="5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394"/>
      <c r="R43" s="394"/>
      <c r="S43" s="394"/>
      <c r="T43" s="395"/>
      <c r="U43" s="35"/>
      <c r="V43" s="35"/>
      <c r="W43" s="36" t="s">
        <v>71</v>
      </c>
      <c r="X43" s="389">
        <v>0</v>
      </c>
      <c r="Y43" s="390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104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27" customHeight="1" x14ac:dyDescent="0.25">
      <c r="A44" s="55" t="s">
        <v>110</v>
      </c>
      <c r="B44" s="55" t="s">
        <v>111</v>
      </c>
      <c r="C44" s="32">
        <v>4301011589</v>
      </c>
      <c r="D44" s="397">
        <v>4680115885899</v>
      </c>
      <c r="E44" s="398"/>
      <c r="F44" s="388">
        <v>0.35</v>
      </c>
      <c r="G44" s="33">
        <v>6</v>
      </c>
      <c r="H44" s="388">
        <v>2.1</v>
      </c>
      <c r="I44" s="388">
        <v>2.2799999999999998</v>
      </c>
      <c r="J44" s="33">
        <v>182</v>
      </c>
      <c r="K44" s="33" t="s">
        <v>69</v>
      </c>
      <c r="L44" s="33"/>
      <c r="M44" s="34" t="s">
        <v>112</v>
      </c>
      <c r="N44" s="34"/>
      <c r="O44" s="33">
        <v>50</v>
      </c>
      <c r="P44" s="44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394"/>
      <c r="R44" s="394"/>
      <c r="S44" s="394"/>
      <c r="T44" s="395"/>
      <c r="U44" s="35"/>
      <c r="V44" s="35"/>
      <c r="W44" s="36" t="s">
        <v>71</v>
      </c>
      <c r="X44" s="389">
        <v>0</v>
      </c>
      <c r="Y44" s="390">
        <f t="shared" si="0"/>
        <v>0</v>
      </c>
      <c r="Z44" s="37" t="str">
        <f>IFERROR(IF(Y44=0,"",ROUNDUP(Y44/H44,0)*0.00651),"")</f>
        <v/>
      </c>
      <c r="AA44" s="57"/>
      <c r="AB44" s="58"/>
      <c r="AC44" s="90" t="s">
        <v>113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114</v>
      </c>
      <c r="B45" s="55" t="s">
        <v>115</v>
      </c>
      <c r="C45" s="32">
        <v>4301011801</v>
      </c>
      <c r="D45" s="397">
        <v>4680115881419</v>
      </c>
      <c r="E45" s="398"/>
      <c r="F45" s="388">
        <v>0.45</v>
      </c>
      <c r="G45" s="33">
        <v>10</v>
      </c>
      <c r="H45" s="388">
        <v>4.5</v>
      </c>
      <c r="I45" s="388">
        <v>4.71</v>
      </c>
      <c r="J45" s="33">
        <v>132</v>
      </c>
      <c r="K45" s="33" t="s">
        <v>94</v>
      </c>
      <c r="L45" s="33"/>
      <c r="M45" s="34" t="s">
        <v>90</v>
      </c>
      <c r="N45" s="34"/>
      <c r="O45" s="33">
        <v>50</v>
      </c>
      <c r="P45" s="55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394"/>
      <c r="R45" s="394"/>
      <c r="S45" s="394"/>
      <c r="T45" s="395"/>
      <c r="U45" s="35"/>
      <c r="V45" s="35"/>
      <c r="W45" s="36" t="s">
        <v>71</v>
      </c>
      <c r="X45" s="389">
        <v>75</v>
      </c>
      <c r="Y45" s="390">
        <f t="shared" si="0"/>
        <v>76.5</v>
      </c>
      <c r="Z45" s="37">
        <f>IFERROR(IF(Y45=0,"",ROUNDUP(Y45/H45,0)*0.00902),"")</f>
        <v>0.15334</v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78.5</v>
      </c>
      <c r="BN45" s="65">
        <f t="shared" si="2"/>
        <v>80.069999999999993</v>
      </c>
      <c r="BO45" s="65">
        <f t="shared" si="3"/>
        <v>0.12626262626262627</v>
      </c>
      <c r="BP45" s="65">
        <f t="shared" si="4"/>
        <v>0.12878787878787878</v>
      </c>
    </row>
    <row r="46" spans="1:68" x14ac:dyDescent="0.2">
      <c r="A46" s="418"/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08"/>
      <c r="M46" s="408"/>
      <c r="N46" s="408"/>
      <c r="O46" s="419"/>
      <c r="P46" s="401" t="s">
        <v>76</v>
      </c>
      <c r="Q46" s="402"/>
      <c r="R46" s="402"/>
      <c r="S46" s="402"/>
      <c r="T46" s="402"/>
      <c r="U46" s="402"/>
      <c r="V46" s="403"/>
      <c r="W46" s="38" t="s">
        <v>77</v>
      </c>
      <c r="X46" s="391">
        <f>IFERROR(X40/H40,"0")+IFERROR(X41/H41,"0")+IFERROR(X42/H42,"0")+IFERROR(X43/H43,"0")+IFERROR(X44/H44,"0")+IFERROR(X45/H45,"0")</f>
        <v>18.055555555555557</v>
      </c>
      <c r="Y46" s="391">
        <f>IFERROR(Y40/H40,"0")+IFERROR(Y41/H41,"0")+IFERROR(Y42/H42,"0")+IFERROR(Y43/H43,"0")+IFERROR(Y44/H44,"0")+IFERROR(Y45/H45,"0")</f>
        <v>19</v>
      </c>
      <c r="Z46" s="391">
        <f>IFERROR(IF(Z40="",0,Z40),"0")+IFERROR(IF(Z41="",0,Z41),"0")+IFERROR(IF(Z42="",0,Z42),"0")+IFERROR(IF(Z43="",0,Z43),"0")+IFERROR(IF(Z44="",0,Z44),"0")+IFERROR(IF(Z45="",0,Z45),"0")</f>
        <v>0.1913</v>
      </c>
      <c r="AA46" s="392"/>
      <c r="AB46" s="392"/>
      <c r="AC46" s="392"/>
    </row>
    <row r="47" spans="1:68" x14ac:dyDescent="0.2">
      <c r="A47" s="408"/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19"/>
      <c r="P47" s="401" t="s">
        <v>76</v>
      </c>
      <c r="Q47" s="402"/>
      <c r="R47" s="402"/>
      <c r="S47" s="402"/>
      <c r="T47" s="402"/>
      <c r="U47" s="402"/>
      <c r="V47" s="403"/>
      <c r="W47" s="38" t="s">
        <v>71</v>
      </c>
      <c r="X47" s="391">
        <f>IFERROR(SUM(X40:X45),"0")</f>
        <v>90</v>
      </c>
      <c r="Y47" s="391">
        <f>IFERROR(SUM(Y40:Y45),"0")</f>
        <v>98.1</v>
      </c>
      <c r="Z47" s="38"/>
      <c r="AA47" s="392"/>
      <c r="AB47" s="392"/>
      <c r="AC47" s="392"/>
    </row>
    <row r="48" spans="1:68" ht="14.25" customHeight="1" x14ac:dyDescent="0.25">
      <c r="A48" s="410" t="s">
        <v>117</v>
      </c>
      <c r="B48" s="408"/>
      <c r="C48" s="408"/>
      <c r="D48" s="408"/>
      <c r="E48" s="408"/>
      <c r="F48" s="408"/>
      <c r="G48" s="408"/>
      <c r="H48" s="408"/>
      <c r="I48" s="408"/>
      <c r="J48" s="408"/>
      <c r="K48" s="408"/>
      <c r="L48" s="408"/>
      <c r="M48" s="408"/>
      <c r="N48" s="408"/>
      <c r="O48" s="408"/>
      <c r="P48" s="408"/>
      <c r="Q48" s="408"/>
      <c r="R48" s="408"/>
      <c r="S48" s="408"/>
      <c r="T48" s="408"/>
      <c r="U48" s="408"/>
      <c r="V48" s="408"/>
      <c r="W48" s="408"/>
      <c r="X48" s="408"/>
      <c r="Y48" s="408"/>
      <c r="Z48" s="408"/>
      <c r="AA48" s="383"/>
      <c r="AB48" s="383"/>
      <c r="AC48" s="383"/>
    </row>
    <row r="49" spans="1:68" ht="16.5" customHeight="1" x14ac:dyDescent="0.25">
      <c r="A49" s="55" t="s">
        <v>118</v>
      </c>
      <c r="B49" s="55" t="s">
        <v>119</v>
      </c>
      <c r="C49" s="32">
        <v>4301020298</v>
      </c>
      <c r="D49" s="397">
        <v>4680115881440</v>
      </c>
      <c r="E49" s="398"/>
      <c r="F49" s="388">
        <v>1.35</v>
      </c>
      <c r="G49" s="33">
        <v>8</v>
      </c>
      <c r="H49" s="388">
        <v>10.8</v>
      </c>
      <c r="I49" s="388">
        <v>11.234999999999999</v>
      </c>
      <c r="J49" s="33">
        <v>64</v>
      </c>
      <c r="K49" s="33" t="s">
        <v>89</v>
      </c>
      <c r="L49" s="33"/>
      <c r="M49" s="34" t="s">
        <v>90</v>
      </c>
      <c r="N49" s="34"/>
      <c r="O49" s="33">
        <v>50</v>
      </c>
      <c r="P49" s="5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394"/>
      <c r="R49" s="394"/>
      <c r="S49" s="394"/>
      <c r="T49" s="395"/>
      <c r="U49" s="35"/>
      <c r="V49" s="35"/>
      <c r="W49" s="36" t="s">
        <v>71</v>
      </c>
      <c r="X49" s="389">
        <v>0</v>
      </c>
      <c r="Y49" s="390">
        <f>IFERROR(IF(X49="",0,CEILING((X49/$H49),1)*$H49),"")</f>
        <v>0</v>
      </c>
      <c r="Z49" s="37" t="str">
        <f>IFERROR(IF(Y49=0,"",ROUNDUP(Y49/H49,0)*0.01898),"")</f>
        <v/>
      </c>
      <c r="AA49" s="57"/>
      <c r="AB49" s="58"/>
      <c r="AC49" s="94" t="s">
        <v>120</v>
      </c>
      <c r="AG49" s="65"/>
      <c r="AJ49" s="69"/>
      <c r="AK49" s="69">
        <v>0</v>
      </c>
      <c r="BB49" s="95" t="s">
        <v>1</v>
      </c>
      <c r="BM49" s="65">
        <f>IFERROR(X49*I49/H49,"0")</f>
        <v>0</v>
      </c>
      <c r="BN49" s="65">
        <f>IFERROR(Y49*I49/H49,"0")</f>
        <v>0</v>
      </c>
      <c r="BO49" s="65">
        <f>IFERROR(1/J49*(X49/H49),"0")</f>
        <v>0</v>
      </c>
      <c r="BP49" s="65">
        <f>IFERROR(1/J49*(Y49/H49),"0")</f>
        <v>0</v>
      </c>
    </row>
    <row r="50" spans="1:68" ht="16.5" customHeight="1" x14ac:dyDescent="0.25">
      <c r="A50" s="55" t="s">
        <v>121</v>
      </c>
      <c r="B50" s="55" t="s">
        <v>122</v>
      </c>
      <c r="C50" s="32">
        <v>4301020358</v>
      </c>
      <c r="D50" s="397">
        <v>4680115885950</v>
      </c>
      <c r="E50" s="398"/>
      <c r="F50" s="388">
        <v>0.37</v>
      </c>
      <c r="G50" s="33">
        <v>6</v>
      </c>
      <c r="H50" s="388">
        <v>2.2200000000000002</v>
      </c>
      <c r="I50" s="388">
        <v>2.4</v>
      </c>
      <c r="J50" s="33">
        <v>182</v>
      </c>
      <c r="K50" s="33" t="s">
        <v>69</v>
      </c>
      <c r="L50" s="33"/>
      <c r="M50" s="34" t="s">
        <v>95</v>
      </c>
      <c r="N50" s="34"/>
      <c r="O50" s="33">
        <v>50</v>
      </c>
      <c r="P50" s="4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0" s="394"/>
      <c r="R50" s="394"/>
      <c r="S50" s="394"/>
      <c r="T50" s="395"/>
      <c r="U50" s="35"/>
      <c r="V50" s="35"/>
      <c r="W50" s="36" t="s">
        <v>71</v>
      </c>
      <c r="X50" s="389">
        <v>0</v>
      </c>
      <c r="Y50" s="390">
        <f>IFERROR(IF(X50="",0,CEILING((X50/$H50),1)*$H50),"")</f>
        <v>0</v>
      </c>
      <c r="Z50" s="37" t="str">
        <f>IFERROR(IF(Y50=0,"",ROUNDUP(Y50/H50,0)*0.00651),"")</f>
        <v/>
      </c>
      <c r="AA50" s="57"/>
      <c r="AB50" s="58"/>
      <c r="AC50" s="96" t="s">
        <v>120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27" customHeight="1" x14ac:dyDescent="0.25">
      <c r="A51" s="55" t="s">
        <v>123</v>
      </c>
      <c r="B51" s="55" t="s">
        <v>124</v>
      </c>
      <c r="C51" s="32">
        <v>4301020296</v>
      </c>
      <c r="D51" s="397">
        <v>4680115881433</v>
      </c>
      <c r="E51" s="398"/>
      <c r="F51" s="388">
        <v>0.45</v>
      </c>
      <c r="G51" s="33">
        <v>6</v>
      </c>
      <c r="H51" s="388">
        <v>2.7</v>
      </c>
      <c r="I51" s="388">
        <v>2.88</v>
      </c>
      <c r="J51" s="33">
        <v>182</v>
      </c>
      <c r="K51" s="33" t="s">
        <v>69</v>
      </c>
      <c r="L51" s="33"/>
      <c r="M51" s="34" t="s">
        <v>90</v>
      </c>
      <c r="N51" s="34"/>
      <c r="O51" s="33">
        <v>50</v>
      </c>
      <c r="P51" s="53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1" s="394"/>
      <c r="R51" s="394"/>
      <c r="S51" s="394"/>
      <c r="T51" s="395"/>
      <c r="U51" s="35"/>
      <c r="V51" s="35"/>
      <c r="W51" s="36" t="s">
        <v>71</v>
      </c>
      <c r="X51" s="389">
        <v>0</v>
      </c>
      <c r="Y51" s="390">
        <f>IFERROR(IF(X51="",0,CEILING((X51/$H51),1)*$H51),"")</f>
        <v>0</v>
      </c>
      <c r="Z51" s="37" t="str">
        <f>IFERROR(IF(Y51=0,"",ROUNDUP(Y51/H51,0)*0.00651),"")</f>
        <v/>
      </c>
      <c r="AA51" s="57"/>
      <c r="AB51" s="58"/>
      <c r="AC51" s="98" t="s">
        <v>120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x14ac:dyDescent="0.2">
      <c r="A52" s="418"/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19"/>
      <c r="P52" s="401" t="s">
        <v>76</v>
      </c>
      <c r="Q52" s="402"/>
      <c r="R52" s="402"/>
      <c r="S52" s="402"/>
      <c r="T52" s="402"/>
      <c r="U52" s="402"/>
      <c r="V52" s="403"/>
      <c r="W52" s="38" t="s">
        <v>77</v>
      </c>
      <c r="X52" s="391">
        <f>IFERROR(X49/H49,"0")+IFERROR(X50/H50,"0")+IFERROR(X51/H51,"0")</f>
        <v>0</v>
      </c>
      <c r="Y52" s="391">
        <f>IFERROR(Y49/H49,"0")+IFERROR(Y50/H50,"0")+IFERROR(Y51/H51,"0")</f>
        <v>0</v>
      </c>
      <c r="Z52" s="391">
        <f>IFERROR(IF(Z49="",0,Z49),"0")+IFERROR(IF(Z50="",0,Z50),"0")+IFERROR(IF(Z51="",0,Z51),"0")</f>
        <v>0</v>
      </c>
      <c r="AA52" s="392"/>
      <c r="AB52" s="392"/>
      <c r="AC52" s="392"/>
    </row>
    <row r="53" spans="1:68" x14ac:dyDescent="0.2">
      <c r="A53" s="408"/>
      <c r="B53" s="408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  <c r="N53" s="408"/>
      <c r="O53" s="419"/>
      <c r="P53" s="401" t="s">
        <v>76</v>
      </c>
      <c r="Q53" s="402"/>
      <c r="R53" s="402"/>
      <c r="S53" s="402"/>
      <c r="T53" s="402"/>
      <c r="U53" s="402"/>
      <c r="V53" s="403"/>
      <c r="W53" s="38" t="s">
        <v>71</v>
      </c>
      <c r="X53" s="391">
        <f>IFERROR(SUM(X49:X51),"0")</f>
        <v>0</v>
      </c>
      <c r="Y53" s="391">
        <f>IFERROR(SUM(Y49:Y51),"0")</f>
        <v>0</v>
      </c>
      <c r="Z53" s="38"/>
      <c r="AA53" s="392"/>
      <c r="AB53" s="392"/>
      <c r="AC53" s="392"/>
    </row>
    <row r="54" spans="1:68" ht="14.25" customHeight="1" x14ac:dyDescent="0.25">
      <c r="A54" s="410" t="s">
        <v>125</v>
      </c>
      <c r="B54" s="408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408"/>
      <c r="O54" s="408"/>
      <c r="P54" s="408"/>
      <c r="Q54" s="408"/>
      <c r="R54" s="408"/>
      <c r="S54" s="408"/>
      <c r="T54" s="408"/>
      <c r="U54" s="408"/>
      <c r="V54" s="408"/>
      <c r="W54" s="408"/>
      <c r="X54" s="408"/>
      <c r="Y54" s="408"/>
      <c r="Z54" s="408"/>
      <c r="AA54" s="383"/>
      <c r="AB54" s="383"/>
      <c r="AC54" s="383"/>
    </row>
    <row r="55" spans="1:68" ht="27" customHeight="1" x14ac:dyDescent="0.25">
      <c r="A55" s="55" t="s">
        <v>126</v>
      </c>
      <c r="B55" s="55" t="s">
        <v>127</v>
      </c>
      <c r="C55" s="32">
        <v>4301060455</v>
      </c>
      <c r="D55" s="397">
        <v>4680115881532</v>
      </c>
      <c r="E55" s="398"/>
      <c r="F55" s="388">
        <v>1.3</v>
      </c>
      <c r="G55" s="33">
        <v>6</v>
      </c>
      <c r="H55" s="388">
        <v>7.8</v>
      </c>
      <c r="I55" s="388">
        <v>8.2349999999999994</v>
      </c>
      <c r="J55" s="33">
        <v>64</v>
      </c>
      <c r="K55" s="33" t="s">
        <v>89</v>
      </c>
      <c r="L55" s="33"/>
      <c r="M55" s="34" t="s">
        <v>112</v>
      </c>
      <c r="N55" s="34"/>
      <c r="O55" s="33">
        <v>30</v>
      </c>
      <c r="P55" s="4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5" s="394"/>
      <c r="R55" s="394"/>
      <c r="S55" s="394"/>
      <c r="T55" s="395"/>
      <c r="U55" s="35"/>
      <c r="V55" s="35"/>
      <c r="W55" s="36" t="s">
        <v>71</v>
      </c>
      <c r="X55" s="389">
        <v>0</v>
      </c>
      <c r="Y55" s="390">
        <f>IFERROR(IF(X55="",0,CEILING((X55/$H55),1)*$H55),"")</f>
        <v>0</v>
      </c>
      <c r="Z55" s="37" t="str">
        <f>IFERROR(IF(Y55=0,"",ROUNDUP(Y55/H55,0)*0.01898),"")</f>
        <v/>
      </c>
      <c r="AA55" s="57"/>
      <c r="AB55" s="58"/>
      <c r="AC55" s="100" t="s">
        <v>128</v>
      </c>
      <c r="AG55" s="65"/>
      <c r="AJ55" s="69"/>
      <c r="AK55" s="69">
        <v>0</v>
      </c>
      <c r="BB55" s="101" t="s">
        <v>1</v>
      </c>
      <c r="BM55" s="65">
        <f>IFERROR(X55*I55/H55,"0")</f>
        <v>0</v>
      </c>
      <c r="BN55" s="65">
        <f>IFERROR(Y55*I55/H55,"0")</f>
        <v>0</v>
      </c>
      <c r="BO55" s="65">
        <f>IFERROR(1/J55*(X55/H55),"0")</f>
        <v>0</v>
      </c>
      <c r="BP55" s="65">
        <f>IFERROR(1/J55*(Y55/H55),"0")</f>
        <v>0</v>
      </c>
    </row>
    <row r="56" spans="1:68" ht="27" customHeight="1" x14ac:dyDescent="0.25">
      <c r="A56" s="55" t="s">
        <v>129</v>
      </c>
      <c r="B56" s="55" t="s">
        <v>130</v>
      </c>
      <c r="C56" s="32">
        <v>4301060351</v>
      </c>
      <c r="D56" s="397">
        <v>4680115881464</v>
      </c>
      <c r="E56" s="398"/>
      <c r="F56" s="388">
        <v>0.4</v>
      </c>
      <c r="G56" s="33">
        <v>6</v>
      </c>
      <c r="H56" s="388">
        <v>2.4</v>
      </c>
      <c r="I56" s="388">
        <v>2.61</v>
      </c>
      <c r="J56" s="33">
        <v>132</v>
      </c>
      <c r="K56" s="33" t="s">
        <v>94</v>
      </c>
      <c r="L56" s="33"/>
      <c r="M56" s="34" t="s">
        <v>95</v>
      </c>
      <c r="N56" s="34"/>
      <c r="O56" s="33">
        <v>30</v>
      </c>
      <c r="P56" s="42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6" s="394"/>
      <c r="R56" s="394"/>
      <c r="S56" s="394"/>
      <c r="T56" s="395"/>
      <c r="U56" s="35"/>
      <c r="V56" s="35"/>
      <c r="W56" s="36" t="s">
        <v>71</v>
      </c>
      <c r="X56" s="389">
        <v>0</v>
      </c>
      <c r="Y56" s="390">
        <f>IFERROR(IF(X56="",0,CEILING((X56/$H56),1)*$H56),"")</f>
        <v>0</v>
      </c>
      <c r="Z56" s="37" t="str">
        <f>IFERROR(IF(Y56=0,"",ROUNDUP(Y56/H56,0)*0.00902),"")</f>
        <v/>
      </c>
      <c r="AA56" s="57"/>
      <c r="AB56" s="58"/>
      <c r="AC56" s="102" t="s">
        <v>131</v>
      </c>
      <c r="AG56" s="65"/>
      <c r="AJ56" s="69"/>
      <c r="AK56" s="69">
        <v>0</v>
      </c>
      <c r="BB56" s="103" t="s">
        <v>1</v>
      </c>
      <c r="BM56" s="65">
        <f>IFERROR(X56*I56/H56,"0")</f>
        <v>0</v>
      </c>
      <c r="BN56" s="65">
        <f>IFERROR(Y56*I56/H56,"0")</f>
        <v>0</v>
      </c>
      <c r="BO56" s="65">
        <f>IFERROR(1/J56*(X56/H56),"0")</f>
        <v>0</v>
      </c>
      <c r="BP56" s="65">
        <f>IFERROR(1/J56*(Y56/H56),"0")</f>
        <v>0</v>
      </c>
    </row>
    <row r="57" spans="1:68" x14ac:dyDescent="0.2">
      <c r="A57" s="418"/>
      <c r="B57" s="408"/>
      <c r="C57" s="408"/>
      <c r="D57" s="408"/>
      <c r="E57" s="408"/>
      <c r="F57" s="408"/>
      <c r="G57" s="408"/>
      <c r="H57" s="408"/>
      <c r="I57" s="408"/>
      <c r="J57" s="408"/>
      <c r="K57" s="408"/>
      <c r="L57" s="408"/>
      <c r="M57" s="408"/>
      <c r="N57" s="408"/>
      <c r="O57" s="419"/>
      <c r="P57" s="401" t="s">
        <v>76</v>
      </c>
      <c r="Q57" s="402"/>
      <c r="R57" s="402"/>
      <c r="S57" s="402"/>
      <c r="T57" s="402"/>
      <c r="U57" s="402"/>
      <c r="V57" s="403"/>
      <c r="W57" s="38" t="s">
        <v>77</v>
      </c>
      <c r="X57" s="391">
        <f>IFERROR(X55/H55,"0")+IFERROR(X56/H56,"0")</f>
        <v>0</v>
      </c>
      <c r="Y57" s="391">
        <f>IFERROR(Y55/H55,"0")+IFERROR(Y56/H56,"0")</f>
        <v>0</v>
      </c>
      <c r="Z57" s="391">
        <f>IFERROR(IF(Z55="",0,Z55),"0")+IFERROR(IF(Z56="",0,Z56),"0")</f>
        <v>0</v>
      </c>
      <c r="AA57" s="392"/>
      <c r="AB57" s="392"/>
      <c r="AC57" s="392"/>
    </row>
    <row r="58" spans="1:68" x14ac:dyDescent="0.2">
      <c r="A58" s="408"/>
      <c r="B58" s="408"/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408"/>
      <c r="N58" s="408"/>
      <c r="O58" s="419"/>
      <c r="P58" s="401" t="s">
        <v>76</v>
      </c>
      <c r="Q58" s="402"/>
      <c r="R58" s="402"/>
      <c r="S58" s="402"/>
      <c r="T58" s="402"/>
      <c r="U58" s="402"/>
      <c r="V58" s="403"/>
      <c r="W58" s="38" t="s">
        <v>71</v>
      </c>
      <c r="X58" s="391">
        <f>IFERROR(SUM(X55:X56),"0")</f>
        <v>0</v>
      </c>
      <c r="Y58" s="391">
        <f>IFERROR(SUM(Y55:Y56),"0")</f>
        <v>0</v>
      </c>
      <c r="Z58" s="38"/>
      <c r="AA58" s="392"/>
      <c r="AB58" s="392"/>
      <c r="AC58" s="392"/>
    </row>
    <row r="59" spans="1:68" ht="16.5" customHeight="1" x14ac:dyDescent="0.25">
      <c r="A59" s="407" t="s">
        <v>132</v>
      </c>
      <c r="B59" s="408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385"/>
      <c r="AB59" s="385"/>
      <c r="AC59" s="385"/>
    </row>
    <row r="60" spans="1:68" ht="14.25" customHeight="1" x14ac:dyDescent="0.25">
      <c r="A60" s="410" t="s">
        <v>86</v>
      </c>
      <c r="B60" s="408"/>
      <c r="C60" s="408"/>
      <c r="D60" s="408"/>
      <c r="E60" s="408"/>
      <c r="F60" s="408"/>
      <c r="G60" s="408"/>
      <c r="H60" s="408"/>
      <c r="I60" s="408"/>
      <c r="J60" s="408"/>
      <c r="K60" s="408"/>
      <c r="L60" s="408"/>
      <c r="M60" s="408"/>
      <c r="N60" s="408"/>
      <c r="O60" s="408"/>
      <c r="P60" s="408"/>
      <c r="Q60" s="408"/>
      <c r="R60" s="408"/>
      <c r="S60" s="408"/>
      <c r="T60" s="408"/>
      <c r="U60" s="408"/>
      <c r="V60" s="408"/>
      <c r="W60" s="408"/>
      <c r="X60" s="408"/>
      <c r="Y60" s="408"/>
      <c r="Z60" s="408"/>
      <c r="AA60" s="383"/>
      <c r="AB60" s="383"/>
      <c r="AC60" s="383"/>
    </row>
    <row r="61" spans="1:68" ht="27" customHeight="1" x14ac:dyDescent="0.25">
      <c r="A61" s="55" t="s">
        <v>133</v>
      </c>
      <c r="B61" s="55" t="s">
        <v>134</v>
      </c>
      <c r="C61" s="32">
        <v>4301011468</v>
      </c>
      <c r="D61" s="397">
        <v>4680115881327</v>
      </c>
      <c r="E61" s="398"/>
      <c r="F61" s="388">
        <v>1.35</v>
      </c>
      <c r="G61" s="33">
        <v>8</v>
      </c>
      <c r="H61" s="388">
        <v>10.8</v>
      </c>
      <c r="I61" s="388">
        <v>11.234999999999999</v>
      </c>
      <c r="J61" s="33">
        <v>64</v>
      </c>
      <c r="K61" s="33" t="s">
        <v>89</v>
      </c>
      <c r="L61" s="33"/>
      <c r="M61" s="34" t="s">
        <v>112</v>
      </c>
      <c r="N61" s="34"/>
      <c r="O61" s="33">
        <v>50</v>
      </c>
      <c r="P61" s="5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1" s="394"/>
      <c r="R61" s="394"/>
      <c r="S61" s="394"/>
      <c r="T61" s="395"/>
      <c r="U61" s="35"/>
      <c r="V61" s="35"/>
      <c r="W61" s="36" t="s">
        <v>71</v>
      </c>
      <c r="X61" s="389">
        <v>0</v>
      </c>
      <c r="Y61" s="390">
        <f>IFERROR(IF(X61="",0,CEILING((X61/$H61),1)*$H61),"")</f>
        <v>0</v>
      </c>
      <c r="Z61" s="37" t="str">
        <f>IFERROR(IF(Y61=0,"",ROUNDUP(Y61/H61,0)*0.01898),"")</f>
        <v/>
      </c>
      <c r="AA61" s="57"/>
      <c r="AB61" s="58"/>
      <c r="AC61" s="104" t="s">
        <v>135</v>
      </c>
      <c r="AG61" s="65"/>
      <c r="AJ61" s="69"/>
      <c r="AK61" s="69">
        <v>0</v>
      </c>
      <c r="BB61" s="105" t="s">
        <v>1</v>
      </c>
      <c r="BM61" s="65">
        <f>IFERROR(X61*I61/H61,"0")</f>
        <v>0</v>
      </c>
      <c r="BN61" s="65">
        <f>IFERROR(Y61*I61/H61,"0")</f>
        <v>0</v>
      </c>
      <c r="BO61" s="65">
        <f>IFERROR(1/J61*(X61/H61),"0")</f>
        <v>0</v>
      </c>
      <c r="BP61" s="65">
        <f>IFERROR(1/J61*(Y61/H61),"0")</f>
        <v>0</v>
      </c>
    </row>
    <row r="62" spans="1:68" ht="27" customHeight="1" x14ac:dyDescent="0.25">
      <c r="A62" s="55" t="s">
        <v>136</v>
      </c>
      <c r="B62" s="55" t="s">
        <v>137</v>
      </c>
      <c r="C62" s="32">
        <v>4301011476</v>
      </c>
      <c r="D62" s="397">
        <v>4680115881518</v>
      </c>
      <c r="E62" s="398"/>
      <c r="F62" s="388">
        <v>0.4</v>
      </c>
      <c r="G62" s="33">
        <v>10</v>
      </c>
      <c r="H62" s="388">
        <v>4</v>
      </c>
      <c r="I62" s="388">
        <v>4.21</v>
      </c>
      <c r="J62" s="33">
        <v>132</v>
      </c>
      <c r="K62" s="33" t="s">
        <v>94</v>
      </c>
      <c r="L62" s="33"/>
      <c r="M62" s="34" t="s">
        <v>95</v>
      </c>
      <c r="N62" s="34"/>
      <c r="O62" s="33">
        <v>50</v>
      </c>
      <c r="P62" s="6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2" s="394"/>
      <c r="R62" s="394"/>
      <c r="S62" s="394"/>
      <c r="T62" s="395"/>
      <c r="U62" s="35"/>
      <c r="V62" s="35"/>
      <c r="W62" s="36" t="s">
        <v>71</v>
      </c>
      <c r="X62" s="389">
        <v>0</v>
      </c>
      <c r="Y62" s="390">
        <f>IFERROR(IF(X62="",0,CEILING((X62/$H62),1)*$H62),"")</f>
        <v>0</v>
      </c>
      <c r="Z62" s="37" t="str">
        <f>IFERROR(IF(Y62=0,"",ROUNDUP(Y62/H62,0)*0.00902),"")</f>
        <v/>
      </c>
      <c r="AA62" s="57"/>
      <c r="AB62" s="58"/>
      <c r="AC62" s="106" t="s">
        <v>135</v>
      </c>
      <c r="AG62" s="65"/>
      <c r="AJ62" s="69"/>
      <c r="AK62" s="69">
        <v>0</v>
      </c>
      <c r="BB62" s="107" t="s">
        <v>1</v>
      </c>
      <c r="BM62" s="65">
        <f>IFERROR(X62*I62/H62,"0")</f>
        <v>0</v>
      </c>
      <c r="BN62" s="65">
        <f>IFERROR(Y62*I62/H62,"0")</f>
        <v>0</v>
      </c>
      <c r="BO62" s="65">
        <f>IFERROR(1/J62*(X62/H62),"0")</f>
        <v>0</v>
      </c>
      <c r="BP62" s="65">
        <f>IFERROR(1/J62*(Y62/H62),"0")</f>
        <v>0</v>
      </c>
    </row>
    <row r="63" spans="1:68" x14ac:dyDescent="0.2">
      <c r="A63" s="418"/>
      <c r="B63" s="408"/>
      <c r="C63" s="408"/>
      <c r="D63" s="408"/>
      <c r="E63" s="408"/>
      <c r="F63" s="408"/>
      <c r="G63" s="408"/>
      <c r="H63" s="408"/>
      <c r="I63" s="408"/>
      <c r="J63" s="408"/>
      <c r="K63" s="408"/>
      <c r="L63" s="408"/>
      <c r="M63" s="408"/>
      <c r="N63" s="408"/>
      <c r="O63" s="419"/>
      <c r="P63" s="401" t="s">
        <v>76</v>
      </c>
      <c r="Q63" s="402"/>
      <c r="R63" s="402"/>
      <c r="S63" s="402"/>
      <c r="T63" s="402"/>
      <c r="U63" s="402"/>
      <c r="V63" s="403"/>
      <c r="W63" s="38" t="s">
        <v>77</v>
      </c>
      <c r="X63" s="391">
        <f>IFERROR(X61/H61,"0")+IFERROR(X62/H62,"0")</f>
        <v>0</v>
      </c>
      <c r="Y63" s="391">
        <f>IFERROR(Y61/H61,"0")+IFERROR(Y62/H62,"0")</f>
        <v>0</v>
      </c>
      <c r="Z63" s="391">
        <f>IFERROR(IF(Z61="",0,Z61),"0")+IFERROR(IF(Z62="",0,Z62),"0")</f>
        <v>0</v>
      </c>
      <c r="AA63" s="392"/>
      <c r="AB63" s="392"/>
      <c r="AC63" s="392"/>
    </row>
    <row r="64" spans="1:68" x14ac:dyDescent="0.2">
      <c r="A64" s="408"/>
      <c r="B64" s="408"/>
      <c r="C64" s="408"/>
      <c r="D64" s="408"/>
      <c r="E64" s="408"/>
      <c r="F64" s="408"/>
      <c r="G64" s="408"/>
      <c r="H64" s="408"/>
      <c r="I64" s="408"/>
      <c r="J64" s="408"/>
      <c r="K64" s="408"/>
      <c r="L64" s="408"/>
      <c r="M64" s="408"/>
      <c r="N64" s="408"/>
      <c r="O64" s="419"/>
      <c r="P64" s="401" t="s">
        <v>76</v>
      </c>
      <c r="Q64" s="402"/>
      <c r="R64" s="402"/>
      <c r="S64" s="402"/>
      <c r="T64" s="402"/>
      <c r="U64" s="402"/>
      <c r="V64" s="403"/>
      <c r="W64" s="38" t="s">
        <v>71</v>
      </c>
      <c r="X64" s="391">
        <f>IFERROR(SUM(X61:X62),"0")</f>
        <v>0</v>
      </c>
      <c r="Y64" s="391">
        <f>IFERROR(SUM(Y61:Y62),"0")</f>
        <v>0</v>
      </c>
      <c r="Z64" s="38"/>
      <c r="AA64" s="392"/>
      <c r="AB64" s="392"/>
      <c r="AC64" s="392"/>
    </row>
    <row r="65" spans="1:68" ht="14.25" customHeight="1" x14ac:dyDescent="0.25">
      <c r="A65" s="410" t="s">
        <v>66</v>
      </c>
      <c r="B65" s="408"/>
      <c r="C65" s="408"/>
      <c r="D65" s="408"/>
      <c r="E65" s="408"/>
      <c r="F65" s="408"/>
      <c r="G65" s="408"/>
      <c r="H65" s="408"/>
      <c r="I65" s="408"/>
      <c r="J65" s="408"/>
      <c r="K65" s="408"/>
      <c r="L65" s="408"/>
      <c r="M65" s="408"/>
      <c r="N65" s="408"/>
      <c r="O65" s="408"/>
      <c r="P65" s="408"/>
      <c r="Q65" s="408"/>
      <c r="R65" s="408"/>
      <c r="S65" s="408"/>
      <c r="T65" s="408"/>
      <c r="U65" s="408"/>
      <c r="V65" s="408"/>
      <c r="W65" s="408"/>
      <c r="X65" s="408"/>
      <c r="Y65" s="408"/>
      <c r="Z65" s="408"/>
      <c r="AA65" s="383"/>
      <c r="AB65" s="383"/>
      <c r="AC65" s="383"/>
    </row>
    <row r="66" spans="1:68" ht="16.5" customHeight="1" x14ac:dyDescent="0.25">
      <c r="A66" s="55" t="s">
        <v>138</v>
      </c>
      <c r="B66" s="55" t="s">
        <v>139</v>
      </c>
      <c r="C66" s="32">
        <v>4301051712</v>
      </c>
      <c r="D66" s="397">
        <v>4607091386967</v>
      </c>
      <c r="E66" s="398"/>
      <c r="F66" s="388">
        <v>1.35</v>
      </c>
      <c r="G66" s="33">
        <v>6</v>
      </c>
      <c r="H66" s="388">
        <v>8.1</v>
      </c>
      <c r="I66" s="388">
        <v>8.6189999999999998</v>
      </c>
      <c r="J66" s="33">
        <v>64</v>
      </c>
      <c r="K66" s="33" t="s">
        <v>89</v>
      </c>
      <c r="L66" s="33"/>
      <c r="M66" s="34" t="s">
        <v>112</v>
      </c>
      <c r="N66" s="34"/>
      <c r="O66" s="33">
        <v>45</v>
      </c>
      <c r="P66" s="493" t="s">
        <v>140</v>
      </c>
      <c r="Q66" s="394"/>
      <c r="R66" s="394"/>
      <c r="S66" s="394"/>
      <c r="T66" s="395"/>
      <c r="U66" s="35"/>
      <c r="V66" s="35"/>
      <c r="W66" s="36" t="s">
        <v>71</v>
      </c>
      <c r="X66" s="389">
        <v>96</v>
      </c>
      <c r="Y66" s="390">
        <f>IFERROR(IF(X66="",0,CEILING((X66/$H66),1)*$H66),"")</f>
        <v>97.199999999999989</v>
      </c>
      <c r="Z66" s="37">
        <f>IFERROR(IF(Y66=0,"",ROUNDUP(Y66/H66,0)*0.01898),"")</f>
        <v>0.22776000000000002</v>
      </c>
      <c r="AA66" s="57"/>
      <c r="AB66" s="58"/>
      <c r="AC66" s="108" t="s">
        <v>141</v>
      </c>
      <c r="AG66" s="65"/>
      <c r="AJ66" s="69"/>
      <c r="AK66" s="69">
        <v>0</v>
      </c>
      <c r="BB66" s="109" t="s">
        <v>1</v>
      </c>
      <c r="BM66" s="65">
        <f>IFERROR(X66*I66/H66,"0")</f>
        <v>102.15111111111111</v>
      </c>
      <c r="BN66" s="65">
        <f>IFERROR(Y66*I66/H66,"0")</f>
        <v>103.42799999999998</v>
      </c>
      <c r="BO66" s="65">
        <f>IFERROR(1/J66*(X66/H66),"0")</f>
        <v>0.1851851851851852</v>
      </c>
      <c r="BP66" s="65">
        <f>IFERROR(1/J66*(Y66/H66),"0")</f>
        <v>0.1875</v>
      </c>
    </row>
    <row r="67" spans="1:68" ht="27" customHeight="1" x14ac:dyDescent="0.25">
      <c r="A67" s="55" t="s">
        <v>142</v>
      </c>
      <c r="B67" s="55" t="s">
        <v>143</v>
      </c>
      <c r="C67" s="32">
        <v>4301051718</v>
      </c>
      <c r="D67" s="397">
        <v>4607091385731</v>
      </c>
      <c r="E67" s="398"/>
      <c r="F67" s="388">
        <v>0.45</v>
      </c>
      <c r="G67" s="33">
        <v>6</v>
      </c>
      <c r="H67" s="388">
        <v>2.7</v>
      </c>
      <c r="I67" s="388">
        <v>2.952</v>
      </c>
      <c r="J67" s="33">
        <v>182</v>
      </c>
      <c r="K67" s="33" t="s">
        <v>69</v>
      </c>
      <c r="L67" s="33"/>
      <c r="M67" s="34" t="s">
        <v>112</v>
      </c>
      <c r="N67" s="34"/>
      <c r="O67" s="33">
        <v>45</v>
      </c>
      <c r="P67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7" s="394"/>
      <c r="R67" s="394"/>
      <c r="S67" s="394"/>
      <c r="T67" s="395"/>
      <c r="U67" s="35"/>
      <c r="V67" s="35"/>
      <c r="W67" s="36" t="s">
        <v>71</v>
      </c>
      <c r="X67" s="389">
        <v>0</v>
      </c>
      <c r="Y67" s="390">
        <f>IFERROR(IF(X67="",0,CEILING((X67/$H67),1)*$H67),"")</f>
        <v>0</v>
      </c>
      <c r="Z67" s="37" t="str">
        <f>IFERROR(IF(Y67=0,"",ROUNDUP(Y67/H67,0)*0.00651),"")</f>
        <v/>
      </c>
      <c r="AA67" s="57"/>
      <c r="AB67" s="58"/>
      <c r="AC67" s="110" t="s">
        <v>141</v>
      </c>
      <c r="AG67" s="65"/>
      <c r="AJ67" s="69"/>
      <c r="AK67" s="69">
        <v>0</v>
      </c>
      <c r="BB67" s="111" t="s">
        <v>1</v>
      </c>
      <c r="BM67" s="65">
        <f>IFERROR(X67*I67/H67,"0")</f>
        <v>0</v>
      </c>
      <c r="BN67" s="65">
        <f>IFERROR(Y67*I67/H67,"0")</f>
        <v>0</v>
      </c>
      <c r="BO67" s="65">
        <f>IFERROR(1/J67*(X67/H67),"0")</f>
        <v>0</v>
      </c>
      <c r="BP67" s="65">
        <f>IFERROR(1/J67*(Y67/H67),"0")</f>
        <v>0</v>
      </c>
    </row>
    <row r="68" spans="1:68" ht="16.5" customHeight="1" x14ac:dyDescent="0.25">
      <c r="A68" s="55" t="s">
        <v>144</v>
      </c>
      <c r="B68" s="55" t="s">
        <v>145</v>
      </c>
      <c r="C68" s="32">
        <v>4301051438</v>
      </c>
      <c r="D68" s="397">
        <v>4680115880894</v>
      </c>
      <c r="E68" s="398"/>
      <c r="F68" s="388">
        <v>0.33</v>
      </c>
      <c r="G68" s="33">
        <v>6</v>
      </c>
      <c r="H68" s="388">
        <v>1.98</v>
      </c>
      <c r="I68" s="388">
        <v>2.238</v>
      </c>
      <c r="J68" s="33">
        <v>182</v>
      </c>
      <c r="K68" s="33" t="s">
        <v>69</v>
      </c>
      <c r="L68" s="33"/>
      <c r="M68" s="34" t="s">
        <v>95</v>
      </c>
      <c r="N68" s="34"/>
      <c r="O68" s="33">
        <v>45</v>
      </c>
      <c r="P68" s="5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68" s="394"/>
      <c r="R68" s="394"/>
      <c r="S68" s="394"/>
      <c r="T68" s="395"/>
      <c r="U68" s="35"/>
      <c r="V68" s="35"/>
      <c r="W68" s="36" t="s">
        <v>71</v>
      </c>
      <c r="X68" s="389">
        <v>0</v>
      </c>
      <c r="Y68" s="390">
        <f>IFERROR(IF(X68="",0,CEILING((X68/$H68),1)*$H68),"")</f>
        <v>0</v>
      </c>
      <c r="Z68" s="37" t="str">
        <f>IFERROR(IF(Y68=0,"",ROUNDUP(Y68/H68,0)*0.00651),"")</f>
        <v/>
      </c>
      <c r="AA68" s="57"/>
      <c r="AB68" s="58"/>
      <c r="AC68" s="112" t="s">
        <v>146</v>
      </c>
      <c r="AG68" s="65"/>
      <c r="AJ68" s="69"/>
      <c r="AK68" s="69">
        <v>0</v>
      </c>
      <c r="BB68" s="113" t="s">
        <v>1</v>
      </c>
      <c r="BM68" s="65">
        <f>IFERROR(X68*I68/H68,"0")</f>
        <v>0</v>
      </c>
      <c r="BN68" s="65">
        <f>IFERROR(Y68*I68/H68,"0")</f>
        <v>0</v>
      </c>
      <c r="BO68" s="65">
        <f>IFERROR(1/J68*(X68/H68),"0")</f>
        <v>0</v>
      </c>
      <c r="BP68" s="65">
        <f>IFERROR(1/J68*(Y68/H68),"0")</f>
        <v>0</v>
      </c>
    </row>
    <row r="69" spans="1:68" x14ac:dyDescent="0.2">
      <c r="A69" s="418"/>
      <c r="B69" s="408"/>
      <c r="C69" s="408"/>
      <c r="D69" s="408"/>
      <c r="E69" s="408"/>
      <c r="F69" s="408"/>
      <c r="G69" s="408"/>
      <c r="H69" s="408"/>
      <c r="I69" s="408"/>
      <c r="J69" s="408"/>
      <c r="K69" s="408"/>
      <c r="L69" s="408"/>
      <c r="M69" s="408"/>
      <c r="N69" s="408"/>
      <c r="O69" s="419"/>
      <c r="P69" s="401" t="s">
        <v>76</v>
      </c>
      <c r="Q69" s="402"/>
      <c r="R69" s="402"/>
      <c r="S69" s="402"/>
      <c r="T69" s="402"/>
      <c r="U69" s="402"/>
      <c r="V69" s="403"/>
      <c r="W69" s="38" t="s">
        <v>77</v>
      </c>
      <c r="X69" s="391">
        <f>IFERROR(X66/H66,"0")+IFERROR(X67/H67,"0")+IFERROR(X68/H68,"0")</f>
        <v>11.851851851851853</v>
      </c>
      <c r="Y69" s="391">
        <f>IFERROR(Y66/H66,"0")+IFERROR(Y67/H67,"0")+IFERROR(Y68/H68,"0")</f>
        <v>12</v>
      </c>
      <c r="Z69" s="391">
        <f>IFERROR(IF(Z66="",0,Z66),"0")+IFERROR(IF(Z67="",0,Z67),"0")+IFERROR(IF(Z68="",0,Z68),"0")</f>
        <v>0.22776000000000002</v>
      </c>
      <c r="AA69" s="392"/>
      <c r="AB69" s="392"/>
      <c r="AC69" s="392"/>
    </row>
    <row r="70" spans="1:68" x14ac:dyDescent="0.2">
      <c r="A70" s="408"/>
      <c r="B70" s="408"/>
      <c r="C70" s="408"/>
      <c r="D70" s="408"/>
      <c r="E70" s="408"/>
      <c r="F70" s="408"/>
      <c r="G70" s="408"/>
      <c r="H70" s="408"/>
      <c r="I70" s="408"/>
      <c r="J70" s="408"/>
      <c r="K70" s="408"/>
      <c r="L70" s="408"/>
      <c r="M70" s="408"/>
      <c r="N70" s="408"/>
      <c r="O70" s="419"/>
      <c r="P70" s="401" t="s">
        <v>76</v>
      </c>
      <c r="Q70" s="402"/>
      <c r="R70" s="402"/>
      <c r="S70" s="402"/>
      <c r="T70" s="402"/>
      <c r="U70" s="402"/>
      <c r="V70" s="403"/>
      <c r="W70" s="38" t="s">
        <v>71</v>
      </c>
      <c r="X70" s="391">
        <f>IFERROR(SUM(X66:X68),"0")</f>
        <v>96</v>
      </c>
      <c r="Y70" s="391">
        <f>IFERROR(SUM(Y66:Y68),"0")</f>
        <v>97.199999999999989</v>
      </c>
      <c r="Z70" s="38"/>
      <c r="AA70" s="392"/>
      <c r="AB70" s="392"/>
      <c r="AC70" s="392"/>
    </row>
    <row r="71" spans="1:68" ht="16.5" customHeight="1" x14ac:dyDescent="0.25">
      <c r="A71" s="407" t="s">
        <v>147</v>
      </c>
      <c r="B71" s="408"/>
      <c r="C71" s="408"/>
      <c r="D71" s="408"/>
      <c r="E71" s="408"/>
      <c r="F71" s="408"/>
      <c r="G71" s="408"/>
      <c r="H71" s="408"/>
      <c r="I71" s="408"/>
      <c r="J71" s="408"/>
      <c r="K71" s="408"/>
      <c r="L71" s="408"/>
      <c r="M71" s="408"/>
      <c r="N71" s="408"/>
      <c r="O71" s="408"/>
      <c r="P71" s="408"/>
      <c r="Q71" s="408"/>
      <c r="R71" s="408"/>
      <c r="S71" s="408"/>
      <c r="T71" s="408"/>
      <c r="U71" s="408"/>
      <c r="V71" s="408"/>
      <c r="W71" s="408"/>
      <c r="X71" s="408"/>
      <c r="Y71" s="408"/>
      <c r="Z71" s="408"/>
      <c r="AA71" s="385"/>
      <c r="AB71" s="385"/>
      <c r="AC71" s="385"/>
    </row>
    <row r="72" spans="1:68" ht="14.25" customHeight="1" x14ac:dyDescent="0.25">
      <c r="A72" s="410" t="s">
        <v>86</v>
      </c>
      <c r="B72" s="408"/>
      <c r="C72" s="408"/>
      <c r="D72" s="408"/>
      <c r="E72" s="408"/>
      <c r="F72" s="408"/>
      <c r="G72" s="408"/>
      <c r="H72" s="408"/>
      <c r="I72" s="408"/>
      <c r="J72" s="408"/>
      <c r="K72" s="408"/>
      <c r="L72" s="408"/>
      <c r="M72" s="408"/>
      <c r="N72" s="408"/>
      <c r="O72" s="408"/>
      <c r="P72" s="408"/>
      <c r="Q72" s="408"/>
      <c r="R72" s="408"/>
      <c r="S72" s="408"/>
      <c r="T72" s="408"/>
      <c r="U72" s="408"/>
      <c r="V72" s="408"/>
      <c r="W72" s="408"/>
      <c r="X72" s="408"/>
      <c r="Y72" s="408"/>
      <c r="Z72" s="408"/>
      <c r="AA72" s="383"/>
      <c r="AB72" s="383"/>
      <c r="AC72" s="383"/>
    </row>
    <row r="73" spans="1:68" ht="27" customHeight="1" x14ac:dyDescent="0.25">
      <c r="A73" s="55" t="s">
        <v>148</v>
      </c>
      <c r="B73" s="55" t="s">
        <v>149</v>
      </c>
      <c r="C73" s="32">
        <v>4301011514</v>
      </c>
      <c r="D73" s="397">
        <v>4680115882133</v>
      </c>
      <c r="E73" s="398"/>
      <c r="F73" s="388">
        <v>1.35</v>
      </c>
      <c r="G73" s="33">
        <v>8</v>
      </c>
      <c r="H73" s="388">
        <v>10.8</v>
      </c>
      <c r="I73" s="388">
        <v>11.234999999999999</v>
      </c>
      <c r="J73" s="33">
        <v>64</v>
      </c>
      <c r="K73" s="33" t="s">
        <v>89</v>
      </c>
      <c r="L73" s="33"/>
      <c r="M73" s="34" t="s">
        <v>90</v>
      </c>
      <c r="N73" s="34"/>
      <c r="O73" s="33">
        <v>50</v>
      </c>
      <c r="P73" s="3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3" s="394"/>
      <c r="R73" s="394"/>
      <c r="S73" s="394"/>
      <c r="T73" s="395"/>
      <c r="U73" s="35"/>
      <c r="V73" s="35"/>
      <c r="W73" s="36" t="s">
        <v>71</v>
      </c>
      <c r="X73" s="389">
        <v>0</v>
      </c>
      <c r="Y73" s="390">
        <f>IFERROR(IF(X73="",0,CEILING((X73/$H73),1)*$H73),"")</f>
        <v>0</v>
      </c>
      <c r="Z73" s="37" t="str">
        <f>IFERROR(IF(Y73=0,"",ROUNDUP(Y73/H73,0)*0.01898),"")</f>
        <v/>
      </c>
      <c r="AA73" s="57"/>
      <c r="AB73" s="58"/>
      <c r="AC73" s="114" t="s">
        <v>150</v>
      </c>
      <c r="AG73" s="65"/>
      <c r="AJ73" s="69"/>
      <c r="AK73" s="69">
        <v>0</v>
      </c>
      <c r="BB73" s="115" t="s">
        <v>1</v>
      </c>
      <c r="BM73" s="65">
        <f>IFERROR(X73*I73/H73,"0")</f>
        <v>0</v>
      </c>
      <c r="BN73" s="65">
        <f>IFERROR(Y73*I73/H73,"0")</f>
        <v>0</v>
      </c>
      <c r="BO73" s="65">
        <f>IFERROR(1/J73*(X73/H73),"0")</f>
        <v>0</v>
      </c>
      <c r="BP73" s="65">
        <f>IFERROR(1/J73*(Y73/H73),"0")</f>
        <v>0</v>
      </c>
    </row>
    <row r="74" spans="1:68" ht="27" customHeight="1" x14ac:dyDescent="0.25">
      <c r="A74" s="55" t="s">
        <v>151</v>
      </c>
      <c r="B74" s="55" t="s">
        <v>152</v>
      </c>
      <c r="C74" s="32">
        <v>4301011417</v>
      </c>
      <c r="D74" s="397">
        <v>4680115880269</v>
      </c>
      <c r="E74" s="398"/>
      <c r="F74" s="388">
        <v>0.375</v>
      </c>
      <c r="G74" s="33">
        <v>10</v>
      </c>
      <c r="H74" s="388">
        <v>3.75</v>
      </c>
      <c r="I74" s="388">
        <v>3.96</v>
      </c>
      <c r="J74" s="33">
        <v>132</v>
      </c>
      <c r="K74" s="33" t="s">
        <v>94</v>
      </c>
      <c r="L74" s="33"/>
      <c r="M74" s="34" t="s">
        <v>95</v>
      </c>
      <c r="N74" s="34"/>
      <c r="O74" s="33">
        <v>50</v>
      </c>
      <c r="P74" s="51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4" s="394"/>
      <c r="R74" s="394"/>
      <c r="S74" s="394"/>
      <c r="T74" s="395"/>
      <c r="U74" s="35"/>
      <c r="V74" s="35"/>
      <c r="W74" s="36" t="s">
        <v>71</v>
      </c>
      <c r="X74" s="389">
        <v>0</v>
      </c>
      <c r="Y74" s="390">
        <f>IFERROR(IF(X74="",0,CEILING((X74/$H74),1)*$H74),"")</f>
        <v>0</v>
      </c>
      <c r="Z74" s="37" t="str">
        <f>IFERROR(IF(Y74=0,"",ROUNDUP(Y74/H74,0)*0.00902),"")</f>
        <v/>
      </c>
      <c r="AA74" s="57"/>
      <c r="AB74" s="58"/>
      <c r="AC74" s="116" t="s">
        <v>150</v>
      </c>
      <c r="AG74" s="65"/>
      <c r="AJ74" s="69"/>
      <c r="AK74" s="69">
        <v>0</v>
      </c>
      <c r="BB74" s="117" t="s">
        <v>1</v>
      </c>
      <c r="BM74" s="65">
        <f>IFERROR(X74*I74/H74,"0")</f>
        <v>0</v>
      </c>
      <c r="BN74" s="65">
        <f>IFERROR(Y74*I74/H74,"0")</f>
        <v>0</v>
      </c>
      <c r="BO74" s="65">
        <f>IFERROR(1/J74*(X74/H74),"0")</f>
        <v>0</v>
      </c>
      <c r="BP74" s="65">
        <f>IFERROR(1/J74*(Y74/H74),"0")</f>
        <v>0</v>
      </c>
    </row>
    <row r="75" spans="1:68" ht="27" customHeight="1" x14ac:dyDescent="0.25">
      <c r="A75" s="55" t="s">
        <v>153</v>
      </c>
      <c r="B75" s="55" t="s">
        <v>154</v>
      </c>
      <c r="C75" s="32">
        <v>4301011415</v>
      </c>
      <c r="D75" s="397">
        <v>4680115880429</v>
      </c>
      <c r="E75" s="398"/>
      <c r="F75" s="388">
        <v>0.45</v>
      </c>
      <c r="G75" s="33">
        <v>10</v>
      </c>
      <c r="H75" s="388">
        <v>4.5</v>
      </c>
      <c r="I75" s="388">
        <v>4.71</v>
      </c>
      <c r="J75" s="33">
        <v>132</v>
      </c>
      <c r="K75" s="33" t="s">
        <v>94</v>
      </c>
      <c r="L75" s="33"/>
      <c r="M75" s="34" t="s">
        <v>95</v>
      </c>
      <c r="N75" s="34"/>
      <c r="O75" s="33">
        <v>50</v>
      </c>
      <c r="P75" s="6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5" s="394"/>
      <c r="R75" s="394"/>
      <c r="S75" s="394"/>
      <c r="T75" s="395"/>
      <c r="U75" s="35"/>
      <c r="V75" s="35"/>
      <c r="W75" s="36" t="s">
        <v>71</v>
      </c>
      <c r="X75" s="389">
        <v>150</v>
      </c>
      <c r="Y75" s="390">
        <f>IFERROR(IF(X75="",0,CEILING((X75/$H75),1)*$H75),"")</f>
        <v>153</v>
      </c>
      <c r="Z75" s="37">
        <f>IFERROR(IF(Y75=0,"",ROUNDUP(Y75/H75,0)*0.00902),"")</f>
        <v>0.30668000000000001</v>
      </c>
      <c r="AA75" s="57"/>
      <c r="AB75" s="58"/>
      <c r="AC75" s="118" t="s">
        <v>150</v>
      </c>
      <c r="AG75" s="65"/>
      <c r="AJ75" s="69"/>
      <c r="AK75" s="69">
        <v>0</v>
      </c>
      <c r="BB75" s="119" t="s">
        <v>1</v>
      </c>
      <c r="BM75" s="65">
        <f>IFERROR(X75*I75/H75,"0")</f>
        <v>157</v>
      </c>
      <c r="BN75" s="65">
        <f>IFERROR(Y75*I75/H75,"0")</f>
        <v>160.13999999999999</v>
      </c>
      <c r="BO75" s="65">
        <f>IFERROR(1/J75*(X75/H75),"0")</f>
        <v>0.25252525252525254</v>
      </c>
      <c r="BP75" s="65">
        <f>IFERROR(1/J75*(Y75/H75),"0")</f>
        <v>0.25757575757575757</v>
      </c>
    </row>
    <row r="76" spans="1:68" ht="27" customHeight="1" x14ac:dyDescent="0.25">
      <c r="A76" s="55" t="s">
        <v>155</v>
      </c>
      <c r="B76" s="55" t="s">
        <v>156</v>
      </c>
      <c r="C76" s="32">
        <v>4301011462</v>
      </c>
      <c r="D76" s="397">
        <v>4680115881457</v>
      </c>
      <c r="E76" s="398"/>
      <c r="F76" s="388">
        <v>0.75</v>
      </c>
      <c r="G76" s="33">
        <v>6</v>
      </c>
      <c r="H76" s="388">
        <v>4.5</v>
      </c>
      <c r="I76" s="388">
        <v>4.71</v>
      </c>
      <c r="J76" s="33">
        <v>132</v>
      </c>
      <c r="K76" s="33" t="s">
        <v>94</v>
      </c>
      <c r="L76" s="33"/>
      <c r="M76" s="34" t="s">
        <v>95</v>
      </c>
      <c r="N76" s="34"/>
      <c r="O76" s="33">
        <v>50</v>
      </c>
      <c r="P76" s="5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6" s="394"/>
      <c r="R76" s="394"/>
      <c r="S76" s="394"/>
      <c r="T76" s="395"/>
      <c r="U76" s="35"/>
      <c r="V76" s="35"/>
      <c r="W76" s="36" t="s">
        <v>71</v>
      </c>
      <c r="X76" s="389">
        <v>0</v>
      </c>
      <c r="Y76" s="390">
        <f>IFERROR(IF(X76="",0,CEILING((X76/$H76),1)*$H76),"")</f>
        <v>0</v>
      </c>
      <c r="Z76" s="37" t="str">
        <f>IFERROR(IF(Y76=0,"",ROUNDUP(Y76/H76,0)*0.00902),"")</f>
        <v/>
      </c>
      <c r="AA76" s="57"/>
      <c r="AB76" s="58"/>
      <c r="AC76" s="120" t="s">
        <v>150</v>
      </c>
      <c r="AG76" s="65"/>
      <c r="AJ76" s="69"/>
      <c r="AK76" s="69">
        <v>0</v>
      </c>
      <c r="BB76" s="121" t="s">
        <v>1</v>
      </c>
      <c r="BM76" s="65">
        <f>IFERROR(X76*I76/H76,"0")</f>
        <v>0</v>
      </c>
      <c r="BN76" s="65">
        <f>IFERROR(Y76*I76/H76,"0")</f>
        <v>0</v>
      </c>
      <c r="BO76" s="65">
        <f>IFERROR(1/J76*(X76/H76),"0")</f>
        <v>0</v>
      </c>
      <c r="BP76" s="65">
        <f>IFERROR(1/J76*(Y76/H76),"0")</f>
        <v>0</v>
      </c>
    </row>
    <row r="77" spans="1:68" x14ac:dyDescent="0.2">
      <c r="A77" s="418"/>
      <c r="B77" s="408"/>
      <c r="C77" s="408"/>
      <c r="D77" s="408"/>
      <c r="E77" s="408"/>
      <c r="F77" s="408"/>
      <c r="G77" s="408"/>
      <c r="H77" s="408"/>
      <c r="I77" s="408"/>
      <c r="J77" s="408"/>
      <c r="K77" s="408"/>
      <c r="L77" s="408"/>
      <c r="M77" s="408"/>
      <c r="N77" s="408"/>
      <c r="O77" s="419"/>
      <c r="P77" s="401" t="s">
        <v>76</v>
      </c>
      <c r="Q77" s="402"/>
      <c r="R77" s="402"/>
      <c r="S77" s="402"/>
      <c r="T77" s="402"/>
      <c r="U77" s="402"/>
      <c r="V77" s="403"/>
      <c r="W77" s="38" t="s">
        <v>77</v>
      </c>
      <c r="X77" s="391">
        <f>IFERROR(X73/H73,"0")+IFERROR(X74/H74,"0")+IFERROR(X75/H75,"0")+IFERROR(X76/H76,"0")</f>
        <v>33.333333333333336</v>
      </c>
      <c r="Y77" s="391">
        <f>IFERROR(Y73/H73,"0")+IFERROR(Y74/H74,"0")+IFERROR(Y75/H75,"0")+IFERROR(Y76/H76,"0")</f>
        <v>34</v>
      </c>
      <c r="Z77" s="391">
        <f>IFERROR(IF(Z73="",0,Z73),"0")+IFERROR(IF(Z74="",0,Z74),"0")+IFERROR(IF(Z75="",0,Z75),"0")+IFERROR(IF(Z76="",0,Z76),"0")</f>
        <v>0.30668000000000001</v>
      </c>
      <c r="AA77" s="392"/>
      <c r="AB77" s="392"/>
      <c r="AC77" s="392"/>
    </row>
    <row r="78" spans="1:68" x14ac:dyDescent="0.2">
      <c r="A78" s="408"/>
      <c r="B78" s="408"/>
      <c r="C78" s="408"/>
      <c r="D78" s="408"/>
      <c r="E78" s="408"/>
      <c r="F78" s="408"/>
      <c r="G78" s="408"/>
      <c r="H78" s="408"/>
      <c r="I78" s="408"/>
      <c r="J78" s="408"/>
      <c r="K78" s="408"/>
      <c r="L78" s="408"/>
      <c r="M78" s="408"/>
      <c r="N78" s="408"/>
      <c r="O78" s="419"/>
      <c r="P78" s="401" t="s">
        <v>76</v>
      </c>
      <c r="Q78" s="402"/>
      <c r="R78" s="402"/>
      <c r="S78" s="402"/>
      <c r="T78" s="402"/>
      <c r="U78" s="402"/>
      <c r="V78" s="403"/>
      <c r="W78" s="38" t="s">
        <v>71</v>
      </c>
      <c r="X78" s="391">
        <f>IFERROR(SUM(X73:X76),"0")</f>
        <v>150</v>
      </c>
      <c r="Y78" s="391">
        <f>IFERROR(SUM(Y73:Y76),"0")</f>
        <v>153</v>
      </c>
      <c r="Z78" s="38"/>
      <c r="AA78" s="392"/>
      <c r="AB78" s="392"/>
      <c r="AC78" s="392"/>
    </row>
    <row r="79" spans="1:68" ht="14.25" customHeight="1" x14ac:dyDescent="0.25">
      <c r="A79" s="410" t="s">
        <v>117</v>
      </c>
      <c r="B79" s="408"/>
      <c r="C79" s="408"/>
      <c r="D79" s="408"/>
      <c r="E79" s="408"/>
      <c r="F79" s="408"/>
      <c r="G79" s="408"/>
      <c r="H79" s="408"/>
      <c r="I79" s="408"/>
      <c r="J79" s="408"/>
      <c r="K79" s="408"/>
      <c r="L79" s="408"/>
      <c r="M79" s="408"/>
      <c r="N79" s="408"/>
      <c r="O79" s="408"/>
      <c r="P79" s="408"/>
      <c r="Q79" s="408"/>
      <c r="R79" s="408"/>
      <c r="S79" s="408"/>
      <c r="T79" s="408"/>
      <c r="U79" s="408"/>
      <c r="V79" s="408"/>
      <c r="W79" s="408"/>
      <c r="X79" s="408"/>
      <c r="Y79" s="408"/>
      <c r="Z79" s="408"/>
      <c r="AA79" s="383"/>
      <c r="AB79" s="383"/>
      <c r="AC79" s="383"/>
    </row>
    <row r="80" spans="1:68" ht="16.5" customHeight="1" x14ac:dyDescent="0.25">
      <c r="A80" s="55" t="s">
        <v>157</v>
      </c>
      <c r="B80" s="55" t="s">
        <v>158</v>
      </c>
      <c r="C80" s="32">
        <v>4301020345</v>
      </c>
      <c r="D80" s="397">
        <v>4680115881488</v>
      </c>
      <c r="E80" s="398"/>
      <c r="F80" s="388">
        <v>1.35</v>
      </c>
      <c r="G80" s="33">
        <v>8</v>
      </c>
      <c r="H80" s="388">
        <v>10.8</v>
      </c>
      <c r="I80" s="388">
        <v>11.234999999999999</v>
      </c>
      <c r="J80" s="33">
        <v>64</v>
      </c>
      <c r="K80" s="33" t="s">
        <v>89</v>
      </c>
      <c r="L80" s="33"/>
      <c r="M80" s="34" t="s">
        <v>90</v>
      </c>
      <c r="N80" s="34"/>
      <c r="O80" s="33">
        <v>55</v>
      </c>
      <c r="P80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0" s="394"/>
      <c r="R80" s="394"/>
      <c r="S80" s="394"/>
      <c r="T80" s="395"/>
      <c r="U80" s="35"/>
      <c r="V80" s="35"/>
      <c r="W80" s="36" t="s">
        <v>71</v>
      </c>
      <c r="X80" s="389">
        <v>0</v>
      </c>
      <c r="Y80" s="390">
        <f>IFERROR(IF(X80="",0,CEILING((X80/$H80),1)*$H80),"")</f>
        <v>0</v>
      </c>
      <c r="Z80" s="37" t="str">
        <f>IFERROR(IF(Y80=0,"",ROUNDUP(Y80/H80,0)*0.01898),"")</f>
        <v/>
      </c>
      <c r="AA80" s="57"/>
      <c r="AB80" s="58"/>
      <c r="AC80" s="122" t="s">
        <v>159</v>
      </c>
      <c r="AG80" s="65"/>
      <c r="AJ80" s="69"/>
      <c r="AK80" s="69">
        <v>0</v>
      </c>
      <c r="BB80" s="123" t="s">
        <v>1</v>
      </c>
      <c r="BM80" s="65">
        <f>IFERROR(X80*I80/H80,"0")</f>
        <v>0</v>
      </c>
      <c r="BN80" s="65">
        <f>IFERROR(Y80*I80/H80,"0")</f>
        <v>0</v>
      </c>
      <c r="BO80" s="65">
        <f>IFERROR(1/J80*(X80/H80),"0")</f>
        <v>0</v>
      </c>
      <c r="BP80" s="65">
        <f>IFERROR(1/J80*(Y80/H80),"0")</f>
        <v>0</v>
      </c>
    </row>
    <row r="81" spans="1:68" ht="16.5" customHeight="1" x14ac:dyDescent="0.25">
      <c r="A81" s="55" t="s">
        <v>160</v>
      </c>
      <c r="B81" s="55" t="s">
        <v>161</v>
      </c>
      <c r="C81" s="32">
        <v>4301020346</v>
      </c>
      <c r="D81" s="397">
        <v>4680115882775</v>
      </c>
      <c r="E81" s="398"/>
      <c r="F81" s="388">
        <v>0.3</v>
      </c>
      <c r="G81" s="33">
        <v>8</v>
      </c>
      <c r="H81" s="388">
        <v>2.4</v>
      </c>
      <c r="I81" s="388">
        <v>2.5</v>
      </c>
      <c r="J81" s="33">
        <v>234</v>
      </c>
      <c r="K81" s="33" t="s">
        <v>162</v>
      </c>
      <c r="L81" s="33"/>
      <c r="M81" s="34" t="s">
        <v>90</v>
      </c>
      <c r="N81" s="34"/>
      <c r="O81" s="33">
        <v>55</v>
      </c>
      <c r="P81" s="4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1" s="394"/>
      <c r="R81" s="394"/>
      <c r="S81" s="394"/>
      <c r="T81" s="395"/>
      <c r="U81" s="35"/>
      <c r="V81" s="35"/>
      <c r="W81" s="36" t="s">
        <v>71</v>
      </c>
      <c r="X81" s="389">
        <v>0</v>
      </c>
      <c r="Y81" s="390">
        <f>IFERROR(IF(X81="",0,CEILING((X81/$H81),1)*$H81),"")</f>
        <v>0</v>
      </c>
      <c r="Z81" s="37" t="str">
        <f>IFERROR(IF(Y81=0,"",ROUNDUP(Y81/H81,0)*0.00502),"")</f>
        <v/>
      </c>
      <c r="AA81" s="57"/>
      <c r="AB81" s="58"/>
      <c r="AC81" s="124" t="s">
        <v>159</v>
      </c>
      <c r="AG81" s="65"/>
      <c r="AJ81" s="69"/>
      <c r="AK81" s="69">
        <v>0</v>
      </c>
      <c r="BB81" s="125" t="s">
        <v>1</v>
      </c>
      <c r="BM81" s="65">
        <f>IFERROR(X81*I81/H81,"0")</f>
        <v>0</v>
      </c>
      <c r="BN81" s="65">
        <f>IFERROR(Y81*I81/H81,"0")</f>
        <v>0</v>
      </c>
      <c r="BO81" s="65">
        <f>IFERROR(1/J81*(X81/H81),"0")</f>
        <v>0</v>
      </c>
      <c r="BP81" s="65">
        <f>IFERROR(1/J81*(Y81/H81),"0")</f>
        <v>0</v>
      </c>
    </row>
    <row r="82" spans="1:68" ht="16.5" customHeight="1" x14ac:dyDescent="0.25">
      <c r="A82" s="55" t="s">
        <v>163</v>
      </c>
      <c r="B82" s="55" t="s">
        <v>164</v>
      </c>
      <c r="C82" s="32">
        <v>4301020344</v>
      </c>
      <c r="D82" s="397">
        <v>4680115880658</v>
      </c>
      <c r="E82" s="398"/>
      <c r="F82" s="388">
        <v>0.4</v>
      </c>
      <c r="G82" s="33">
        <v>6</v>
      </c>
      <c r="H82" s="388">
        <v>2.4</v>
      </c>
      <c r="I82" s="388">
        <v>2.58</v>
      </c>
      <c r="J82" s="33">
        <v>182</v>
      </c>
      <c r="K82" s="33" t="s">
        <v>69</v>
      </c>
      <c r="L82" s="33"/>
      <c r="M82" s="34" t="s">
        <v>90</v>
      </c>
      <c r="N82" s="34"/>
      <c r="O82" s="33">
        <v>55</v>
      </c>
      <c r="P82" s="6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2" s="394"/>
      <c r="R82" s="394"/>
      <c r="S82" s="394"/>
      <c r="T82" s="395"/>
      <c r="U82" s="35"/>
      <c r="V82" s="35"/>
      <c r="W82" s="36" t="s">
        <v>71</v>
      </c>
      <c r="X82" s="389">
        <v>0</v>
      </c>
      <c r="Y82" s="390">
        <f>IFERROR(IF(X82="",0,CEILING((X82/$H82),1)*$H82),"")</f>
        <v>0</v>
      </c>
      <c r="Z82" s="37" t="str">
        <f>IFERROR(IF(Y82=0,"",ROUNDUP(Y82/H82,0)*0.00651),"")</f>
        <v/>
      </c>
      <c r="AA82" s="57"/>
      <c r="AB82" s="58"/>
      <c r="AC82" s="126" t="s">
        <v>159</v>
      </c>
      <c r="AG82" s="65"/>
      <c r="AJ82" s="69"/>
      <c r="AK82" s="69">
        <v>0</v>
      </c>
      <c r="BB82" s="127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x14ac:dyDescent="0.2">
      <c r="A83" s="418"/>
      <c r="B83" s="408"/>
      <c r="C83" s="408"/>
      <c r="D83" s="408"/>
      <c r="E83" s="408"/>
      <c r="F83" s="408"/>
      <c r="G83" s="408"/>
      <c r="H83" s="408"/>
      <c r="I83" s="408"/>
      <c r="J83" s="408"/>
      <c r="K83" s="408"/>
      <c r="L83" s="408"/>
      <c r="M83" s="408"/>
      <c r="N83" s="408"/>
      <c r="O83" s="419"/>
      <c r="P83" s="401" t="s">
        <v>76</v>
      </c>
      <c r="Q83" s="402"/>
      <c r="R83" s="402"/>
      <c r="S83" s="402"/>
      <c r="T83" s="402"/>
      <c r="U83" s="402"/>
      <c r="V83" s="403"/>
      <c r="W83" s="38" t="s">
        <v>77</v>
      </c>
      <c r="X83" s="391">
        <f>IFERROR(X80/H80,"0")+IFERROR(X81/H81,"0")+IFERROR(X82/H82,"0")</f>
        <v>0</v>
      </c>
      <c r="Y83" s="391">
        <f>IFERROR(Y80/H80,"0")+IFERROR(Y81/H81,"0")+IFERROR(Y82/H82,"0")</f>
        <v>0</v>
      </c>
      <c r="Z83" s="391">
        <f>IFERROR(IF(Z80="",0,Z80),"0")+IFERROR(IF(Z81="",0,Z81),"0")+IFERROR(IF(Z82="",0,Z82),"0")</f>
        <v>0</v>
      </c>
      <c r="AA83" s="392"/>
      <c r="AB83" s="392"/>
      <c r="AC83" s="392"/>
    </row>
    <row r="84" spans="1:68" x14ac:dyDescent="0.2">
      <c r="A84" s="408"/>
      <c r="B84" s="408"/>
      <c r="C84" s="408"/>
      <c r="D84" s="408"/>
      <c r="E84" s="408"/>
      <c r="F84" s="408"/>
      <c r="G84" s="408"/>
      <c r="H84" s="408"/>
      <c r="I84" s="408"/>
      <c r="J84" s="408"/>
      <c r="K84" s="408"/>
      <c r="L84" s="408"/>
      <c r="M84" s="408"/>
      <c r="N84" s="408"/>
      <c r="O84" s="419"/>
      <c r="P84" s="401" t="s">
        <v>76</v>
      </c>
      <c r="Q84" s="402"/>
      <c r="R84" s="402"/>
      <c r="S84" s="402"/>
      <c r="T84" s="402"/>
      <c r="U84" s="402"/>
      <c r="V84" s="403"/>
      <c r="W84" s="38" t="s">
        <v>71</v>
      </c>
      <c r="X84" s="391">
        <f>IFERROR(SUM(X80:X82),"0")</f>
        <v>0</v>
      </c>
      <c r="Y84" s="391">
        <f>IFERROR(SUM(Y80:Y82),"0")</f>
        <v>0</v>
      </c>
      <c r="Z84" s="38"/>
      <c r="AA84" s="392"/>
      <c r="AB84" s="392"/>
      <c r="AC84" s="392"/>
    </row>
    <row r="85" spans="1:68" ht="14.25" customHeight="1" x14ac:dyDescent="0.25">
      <c r="A85" s="410" t="s">
        <v>66</v>
      </c>
      <c r="B85" s="408"/>
      <c r="C85" s="408"/>
      <c r="D85" s="408"/>
      <c r="E85" s="408"/>
      <c r="F85" s="408"/>
      <c r="G85" s="408"/>
      <c r="H85" s="408"/>
      <c r="I85" s="408"/>
      <c r="J85" s="408"/>
      <c r="K85" s="408"/>
      <c r="L85" s="408"/>
      <c r="M85" s="408"/>
      <c r="N85" s="408"/>
      <c r="O85" s="408"/>
      <c r="P85" s="408"/>
      <c r="Q85" s="408"/>
      <c r="R85" s="408"/>
      <c r="S85" s="408"/>
      <c r="T85" s="408"/>
      <c r="U85" s="408"/>
      <c r="V85" s="408"/>
      <c r="W85" s="408"/>
      <c r="X85" s="408"/>
      <c r="Y85" s="408"/>
      <c r="Z85" s="408"/>
      <c r="AA85" s="383"/>
      <c r="AB85" s="383"/>
      <c r="AC85" s="383"/>
    </row>
    <row r="86" spans="1:68" ht="16.5" customHeight="1" x14ac:dyDescent="0.25">
      <c r="A86" s="55" t="s">
        <v>165</v>
      </c>
      <c r="B86" s="55" t="s">
        <v>166</v>
      </c>
      <c r="C86" s="32">
        <v>4301051724</v>
      </c>
      <c r="D86" s="397">
        <v>4607091385168</v>
      </c>
      <c r="E86" s="398"/>
      <c r="F86" s="388">
        <v>1.35</v>
      </c>
      <c r="G86" s="33">
        <v>6</v>
      </c>
      <c r="H86" s="388">
        <v>8.1</v>
      </c>
      <c r="I86" s="388">
        <v>8.6129999999999995</v>
      </c>
      <c r="J86" s="33">
        <v>64</v>
      </c>
      <c r="K86" s="33" t="s">
        <v>89</v>
      </c>
      <c r="L86" s="33"/>
      <c r="M86" s="34" t="s">
        <v>112</v>
      </c>
      <c r="N86" s="34"/>
      <c r="O86" s="33">
        <v>45</v>
      </c>
      <c r="P86" s="4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6" s="394"/>
      <c r="R86" s="394"/>
      <c r="S86" s="394"/>
      <c r="T86" s="395"/>
      <c r="U86" s="35"/>
      <c r="V86" s="35"/>
      <c r="W86" s="36" t="s">
        <v>71</v>
      </c>
      <c r="X86" s="389">
        <v>550</v>
      </c>
      <c r="Y86" s="390">
        <f>IFERROR(IF(X86="",0,CEILING((X86/$H86),1)*$H86),"")</f>
        <v>550.79999999999995</v>
      </c>
      <c r="Z86" s="37">
        <f>IFERROR(IF(Y86=0,"",ROUNDUP(Y86/H86,0)*0.01898),"")</f>
        <v>1.29064</v>
      </c>
      <c r="AA86" s="57"/>
      <c r="AB86" s="58"/>
      <c r="AC86" s="128" t="s">
        <v>167</v>
      </c>
      <c r="AG86" s="65"/>
      <c r="AJ86" s="69"/>
      <c r="AK86" s="69">
        <v>0</v>
      </c>
      <c r="BB86" s="129" t="s">
        <v>1</v>
      </c>
      <c r="BM86" s="65">
        <f>IFERROR(X86*I86/H86,"0")</f>
        <v>584.83333333333326</v>
      </c>
      <c r="BN86" s="65">
        <f>IFERROR(Y86*I86/H86,"0")</f>
        <v>585.68399999999986</v>
      </c>
      <c r="BO86" s="65">
        <f>IFERROR(1/J86*(X86/H86),"0")</f>
        <v>1.0609567901234569</v>
      </c>
      <c r="BP86" s="65">
        <f>IFERROR(1/J86*(Y86/H86),"0")</f>
        <v>1.0625</v>
      </c>
    </row>
    <row r="87" spans="1:68" ht="27" customHeight="1" x14ac:dyDescent="0.25">
      <c r="A87" s="55" t="s">
        <v>168</v>
      </c>
      <c r="B87" s="55" t="s">
        <v>169</v>
      </c>
      <c r="C87" s="32">
        <v>4301051730</v>
      </c>
      <c r="D87" s="397">
        <v>4607091383256</v>
      </c>
      <c r="E87" s="398"/>
      <c r="F87" s="388">
        <v>0.33</v>
      </c>
      <c r="G87" s="33">
        <v>6</v>
      </c>
      <c r="H87" s="388">
        <v>1.98</v>
      </c>
      <c r="I87" s="388">
        <v>2.226</v>
      </c>
      <c r="J87" s="33">
        <v>182</v>
      </c>
      <c r="K87" s="33" t="s">
        <v>69</v>
      </c>
      <c r="L87" s="33"/>
      <c r="M87" s="34" t="s">
        <v>112</v>
      </c>
      <c r="N87" s="34"/>
      <c r="O87" s="33">
        <v>45</v>
      </c>
      <c r="P87" s="5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7" s="394"/>
      <c r="R87" s="394"/>
      <c r="S87" s="394"/>
      <c r="T87" s="395"/>
      <c r="U87" s="35"/>
      <c r="V87" s="35"/>
      <c r="W87" s="36" t="s">
        <v>71</v>
      </c>
      <c r="X87" s="389">
        <v>0</v>
      </c>
      <c r="Y87" s="390">
        <f>IFERROR(IF(X87="",0,CEILING((X87/$H87),1)*$H87),"")</f>
        <v>0</v>
      </c>
      <c r="Z87" s="37" t="str">
        <f>IFERROR(IF(Y87=0,"",ROUNDUP(Y87/H87,0)*0.00651),"")</f>
        <v/>
      </c>
      <c r="AA87" s="57"/>
      <c r="AB87" s="58"/>
      <c r="AC87" s="130" t="s">
        <v>167</v>
      </c>
      <c r="AG87" s="65"/>
      <c r="AJ87" s="69"/>
      <c r="AK87" s="69">
        <v>0</v>
      </c>
      <c r="BB87" s="131" t="s">
        <v>1</v>
      </c>
      <c r="BM87" s="65">
        <f>IFERROR(X87*I87/H87,"0")</f>
        <v>0</v>
      </c>
      <c r="BN87" s="65">
        <f>IFERROR(Y87*I87/H87,"0")</f>
        <v>0</v>
      </c>
      <c r="BO87" s="65">
        <f>IFERROR(1/J87*(X87/H87),"0")</f>
        <v>0</v>
      </c>
      <c r="BP87" s="65">
        <f>IFERROR(1/J87*(Y87/H87),"0")</f>
        <v>0</v>
      </c>
    </row>
    <row r="88" spans="1:68" ht="27" customHeight="1" x14ac:dyDescent="0.25">
      <c r="A88" s="55" t="s">
        <v>170</v>
      </c>
      <c r="B88" s="55" t="s">
        <v>171</v>
      </c>
      <c r="C88" s="32">
        <v>4301051721</v>
      </c>
      <c r="D88" s="397">
        <v>4607091385748</v>
      </c>
      <c r="E88" s="398"/>
      <c r="F88" s="388">
        <v>0.45</v>
      </c>
      <c r="G88" s="33">
        <v>6</v>
      </c>
      <c r="H88" s="388">
        <v>2.7</v>
      </c>
      <c r="I88" s="388">
        <v>2.952</v>
      </c>
      <c r="J88" s="33">
        <v>182</v>
      </c>
      <c r="K88" s="33" t="s">
        <v>69</v>
      </c>
      <c r="L88" s="33"/>
      <c r="M88" s="34" t="s">
        <v>112</v>
      </c>
      <c r="N88" s="34"/>
      <c r="O88" s="33">
        <v>45</v>
      </c>
      <c r="P88" s="5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88" s="394"/>
      <c r="R88" s="394"/>
      <c r="S88" s="394"/>
      <c r="T88" s="395"/>
      <c r="U88" s="35"/>
      <c r="V88" s="35"/>
      <c r="W88" s="36" t="s">
        <v>71</v>
      </c>
      <c r="X88" s="389">
        <v>110</v>
      </c>
      <c r="Y88" s="390">
        <f>IFERROR(IF(X88="",0,CEILING((X88/$H88),1)*$H88),"")</f>
        <v>110.7</v>
      </c>
      <c r="Z88" s="37">
        <f>IFERROR(IF(Y88=0,"",ROUNDUP(Y88/H88,0)*0.00651),"")</f>
        <v>0.26690999999999998</v>
      </c>
      <c r="AA88" s="57"/>
      <c r="AB88" s="58"/>
      <c r="AC88" s="132" t="s">
        <v>167</v>
      </c>
      <c r="AG88" s="65"/>
      <c r="AJ88" s="69"/>
      <c r="AK88" s="69">
        <v>0</v>
      </c>
      <c r="BB88" s="133" t="s">
        <v>1</v>
      </c>
      <c r="BM88" s="65">
        <f>IFERROR(X88*I88/H88,"0")</f>
        <v>120.26666666666665</v>
      </c>
      <c r="BN88" s="65">
        <f>IFERROR(Y88*I88/H88,"0")</f>
        <v>121.032</v>
      </c>
      <c r="BO88" s="65">
        <f>IFERROR(1/J88*(X88/H88),"0")</f>
        <v>0.22385022385022388</v>
      </c>
      <c r="BP88" s="65">
        <f>IFERROR(1/J88*(Y88/H88),"0")</f>
        <v>0.22527472527472528</v>
      </c>
    </row>
    <row r="89" spans="1:68" x14ac:dyDescent="0.2">
      <c r="A89" s="418"/>
      <c r="B89" s="408"/>
      <c r="C89" s="408"/>
      <c r="D89" s="408"/>
      <c r="E89" s="408"/>
      <c r="F89" s="408"/>
      <c r="G89" s="408"/>
      <c r="H89" s="408"/>
      <c r="I89" s="408"/>
      <c r="J89" s="408"/>
      <c r="K89" s="408"/>
      <c r="L89" s="408"/>
      <c r="M89" s="408"/>
      <c r="N89" s="408"/>
      <c r="O89" s="419"/>
      <c r="P89" s="401" t="s">
        <v>76</v>
      </c>
      <c r="Q89" s="402"/>
      <c r="R89" s="402"/>
      <c r="S89" s="402"/>
      <c r="T89" s="402"/>
      <c r="U89" s="402"/>
      <c r="V89" s="403"/>
      <c r="W89" s="38" t="s">
        <v>77</v>
      </c>
      <c r="X89" s="391">
        <f>IFERROR(X86/H86,"0")+IFERROR(X87/H87,"0")+IFERROR(X88/H88,"0")</f>
        <v>108.64197530864197</v>
      </c>
      <c r="Y89" s="391">
        <f>IFERROR(Y86/H86,"0")+IFERROR(Y87/H87,"0")+IFERROR(Y88/H88,"0")</f>
        <v>109</v>
      </c>
      <c r="Z89" s="391">
        <f>IFERROR(IF(Z86="",0,Z86),"0")+IFERROR(IF(Z87="",0,Z87),"0")+IFERROR(IF(Z88="",0,Z88),"0")</f>
        <v>1.55755</v>
      </c>
      <c r="AA89" s="392"/>
      <c r="AB89" s="392"/>
      <c r="AC89" s="392"/>
    </row>
    <row r="90" spans="1:68" x14ac:dyDescent="0.2">
      <c r="A90" s="408"/>
      <c r="B90" s="408"/>
      <c r="C90" s="408"/>
      <c r="D90" s="408"/>
      <c r="E90" s="408"/>
      <c r="F90" s="408"/>
      <c r="G90" s="408"/>
      <c r="H90" s="408"/>
      <c r="I90" s="408"/>
      <c r="J90" s="408"/>
      <c r="K90" s="408"/>
      <c r="L90" s="408"/>
      <c r="M90" s="408"/>
      <c r="N90" s="408"/>
      <c r="O90" s="419"/>
      <c r="P90" s="401" t="s">
        <v>76</v>
      </c>
      <c r="Q90" s="402"/>
      <c r="R90" s="402"/>
      <c r="S90" s="402"/>
      <c r="T90" s="402"/>
      <c r="U90" s="402"/>
      <c r="V90" s="403"/>
      <c r="W90" s="38" t="s">
        <v>71</v>
      </c>
      <c r="X90" s="391">
        <f>IFERROR(SUM(X86:X88),"0")</f>
        <v>660</v>
      </c>
      <c r="Y90" s="391">
        <f>IFERROR(SUM(Y86:Y88),"0")</f>
        <v>661.5</v>
      </c>
      <c r="Z90" s="38"/>
      <c r="AA90" s="392"/>
      <c r="AB90" s="392"/>
      <c r="AC90" s="392"/>
    </row>
    <row r="91" spans="1:68" ht="14.25" customHeight="1" x14ac:dyDescent="0.25">
      <c r="A91" s="410" t="s">
        <v>125</v>
      </c>
      <c r="B91" s="408"/>
      <c r="C91" s="408"/>
      <c r="D91" s="408"/>
      <c r="E91" s="408"/>
      <c r="F91" s="408"/>
      <c r="G91" s="408"/>
      <c r="H91" s="408"/>
      <c r="I91" s="408"/>
      <c r="J91" s="408"/>
      <c r="K91" s="408"/>
      <c r="L91" s="408"/>
      <c r="M91" s="408"/>
      <c r="N91" s="408"/>
      <c r="O91" s="408"/>
      <c r="P91" s="408"/>
      <c r="Q91" s="408"/>
      <c r="R91" s="408"/>
      <c r="S91" s="408"/>
      <c r="T91" s="408"/>
      <c r="U91" s="408"/>
      <c r="V91" s="408"/>
      <c r="W91" s="408"/>
      <c r="X91" s="408"/>
      <c r="Y91" s="408"/>
      <c r="Z91" s="408"/>
      <c r="AA91" s="383"/>
      <c r="AB91" s="383"/>
      <c r="AC91" s="383"/>
    </row>
    <row r="92" spans="1:68" ht="16.5" customHeight="1" x14ac:dyDescent="0.25">
      <c r="A92" s="55" t="s">
        <v>172</v>
      </c>
      <c r="B92" s="55" t="s">
        <v>173</v>
      </c>
      <c r="C92" s="32">
        <v>4301060317</v>
      </c>
      <c r="D92" s="397">
        <v>4680115880238</v>
      </c>
      <c r="E92" s="398"/>
      <c r="F92" s="388">
        <v>0.33</v>
      </c>
      <c r="G92" s="33">
        <v>6</v>
      </c>
      <c r="H92" s="388">
        <v>1.98</v>
      </c>
      <c r="I92" s="388">
        <v>2.238</v>
      </c>
      <c r="J92" s="33">
        <v>182</v>
      </c>
      <c r="K92" s="33" t="s">
        <v>69</v>
      </c>
      <c r="L92" s="33"/>
      <c r="M92" s="34" t="s">
        <v>95</v>
      </c>
      <c r="N92" s="34"/>
      <c r="O92" s="33">
        <v>40</v>
      </c>
      <c r="P92" s="44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2" s="394"/>
      <c r="R92" s="394"/>
      <c r="S92" s="394"/>
      <c r="T92" s="395"/>
      <c r="U92" s="35"/>
      <c r="V92" s="35"/>
      <c r="W92" s="36" t="s">
        <v>71</v>
      </c>
      <c r="X92" s="389">
        <v>0</v>
      </c>
      <c r="Y92" s="390">
        <f>IFERROR(IF(X92="",0,CEILING((X92/$H92),1)*$H92),"")</f>
        <v>0</v>
      </c>
      <c r="Z92" s="37" t="str">
        <f>IFERROR(IF(Y92=0,"",ROUNDUP(Y92/H92,0)*0.00651),"")</f>
        <v/>
      </c>
      <c r="AA92" s="57"/>
      <c r="AB92" s="58"/>
      <c r="AC92" s="134" t="s">
        <v>174</v>
      </c>
      <c r="AG92" s="65"/>
      <c r="AJ92" s="69"/>
      <c r="AK92" s="69">
        <v>0</v>
      </c>
      <c r="BB92" s="135" t="s">
        <v>1</v>
      </c>
      <c r="BM92" s="65">
        <f>IFERROR(X92*I92/H92,"0")</f>
        <v>0</v>
      </c>
      <c r="BN92" s="65">
        <f>IFERROR(Y92*I92/H92,"0")</f>
        <v>0</v>
      </c>
      <c r="BO92" s="65">
        <f>IFERROR(1/J92*(X92/H92),"0")</f>
        <v>0</v>
      </c>
      <c r="BP92" s="65">
        <f>IFERROR(1/J92*(Y92/H92),"0")</f>
        <v>0</v>
      </c>
    </row>
    <row r="93" spans="1:68" x14ac:dyDescent="0.2">
      <c r="A93" s="418"/>
      <c r="B93" s="408"/>
      <c r="C93" s="408"/>
      <c r="D93" s="408"/>
      <c r="E93" s="408"/>
      <c r="F93" s="408"/>
      <c r="G93" s="408"/>
      <c r="H93" s="408"/>
      <c r="I93" s="408"/>
      <c r="J93" s="408"/>
      <c r="K93" s="408"/>
      <c r="L93" s="408"/>
      <c r="M93" s="408"/>
      <c r="N93" s="408"/>
      <c r="O93" s="419"/>
      <c r="P93" s="401" t="s">
        <v>76</v>
      </c>
      <c r="Q93" s="402"/>
      <c r="R93" s="402"/>
      <c r="S93" s="402"/>
      <c r="T93" s="402"/>
      <c r="U93" s="402"/>
      <c r="V93" s="403"/>
      <c r="W93" s="38" t="s">
        <v>77</v>
      </c>
      <c r="X93" s="391">
        <f>IFERROR(X92/H92,"0")</f>
        <v>0</v>
      </c>
      <c r="Y93" s="391">
        <f>IFERROR(Y92/H92,"0")</f>
        <v>0</v>
      </c>
      <c r="Z93" s="391">
        <f>IFERROR(IF(Z92="",0,Z92),"0")</f>
        <v>0</v>
      </c>
      <c r="AA93" s="392"/>
      <c r="AB93" s="392"/>
      <c r="AC93" s="392"/>
    </row>
    <row r="94" spans="1:68" x14ac:dyDescent="0.2">
      <c r="A94" s="408"/>
      <c r="B94" s="408"/>
      <c r="C94" s="408"/>
      <c r="D94" s="408"/>
      <c r="E94" s="408"/>
      <c r="F94" s="408"/>
      <c r="G94" s="408"/>
      <c r="H94" s="408"/>
      <c r="I94" s="408"/>
      <c r="J94" s="408"/>
      <c r="K94" s="408"/>
      <c r="L94" s="408"/>
      <c r="M94" s="408"/>
      <c r="N94" s="408"/>
      <c r="O94" s="419"/>
      <c r="P94" s="401" t="s">
        <v>76</v>
      </c>
      <c r="Q94" s="402"/>
      <c r="R94" s="402"/>
      <c r="S94" s="402"/>
      <c r="T94" s="402"/>
      <c r="U94" s="402"/>
      <c r="V94" s="403"/>
      <c r="W94" s="38" t="s">
        <v>71</v>
      </c>
      <c r="X94" s="391">
        <f>IFERROR(SUM(X92:X92),"0")</f>
        <v>0</v>
      </c>
      <c r="Y94" s="391">
        <f>IFERROR(SUM(Y92:Y92),"0")</f>
        <v>0</v>
      </c>
      <c r="Z94" s="38"/>
      <c r="AA94" s="392"/>
      <c r="AB94" s="392"/>
      <c r="AC94" s="392"/>
    </row>
    <row r="95" spans="1:68" ht="16.5" customHeight="1" x14ac:dyDescent="0.25">
      <c r="A95" s="407" t="s">
        <v>84</v>
      </c>
      <c r="B95" s="408"/>
      <c r="C95" s="408"/>
      <c r="D95" s="408"/>
      <c r="E95" s="408"/>
      <c r="F95" s="408"/>
      <c r="G95" s="408"/>
      <c r="H95" s="408"/>
      <c r="I95" s="408"/>
      <c r="J95" s="408"/>
      <c r="K95" s="408"/>
      <c r="L95" s="408"/>
      <c r="M95" s="408"/>
      <c r="N95" s="408"/>
      <c r="O95" s="408"/>
      <c r="P95" s="408"/>
      <c r="Q95" s="408"/>
      <c r="R95" s="408"/>
      <c r="S95" s="408"/>
      <c r="T95" s="408"/>
      <c r="U95" s="408"/>
      <c r="V95" s="408"/>
      <c r="W95" s="408"/>
      <c r="X95" s="408"/>
      <c r="Y95" s="408"/>
      <c r="Z95" s="408"/>
      <c r="AA95" s="385"/>
      <c r="AB95" s="385"/>
      <c r="AC95" s="385"/>
    </row>
    <row r="96" spans="1:68" ht="14.25" customHeight="1" x14ac:dyDescent="0.25">
      <c r="A96" s="410" t="s">
        <v>86</v>
      </c>
      <c r="B96" s="408"/>
      <c r="C96" s="408"/>
      <c r="D96" s="408"/>
      <c r="E96" s="408"/>
      <c r="F96" s="408"/>
      <c r="G96" s="408"/>
      <c r="H96" s="408"/>
      <c r="I96" s="408"/>
      <c r="J96" s="408"/>
      <c r="K96" s="408"/>
      <c r="L96" s="408"/>
      <c r="M96" s="408"/>
      <c r="N96" s="408"/>
      <c r="O96" s="408"/>
      <c r="P96" s="408"/>
      <c r="Q96" s="408"/>
      <c r="R96" s="408"/>
      <c r="S96" s="408"/>
      <c r="T96" s="408"/>
      <c r="U96" s="408"/>
      <c r="V96" s="408"/>
      <c r="W96" s="408"/>
      <c r="X96" s="408"/>
      <c r="Y96" s="408"/>
      <c r="Z96" s="408"/>
      <c r="AA96" s="383"/>
      <c r="AB96" s="383"/>
      <c r="AC96" s="383"/>
    </row>
    <row r="97" spans="1:68" ht="27" customHeight="1" x14ac:dyDescent="0.25">
      <c r="A97" s="55" t="s">
        <v>175</v>
      </c>
      <c r="B97" s="55" t="s">
        <v>176</v>
      </c>
      <c r="C97" s="32">
        <v>4301011705</v>
      </c>
      <c r="D97" s="397">
        <v>4607091384604</v>
      </c>
      <c r="E97" s="398"/>
      <c r="F97" s="388">
        <v>0.4</v>
      </c>
      <c r="G97" s="33">
        <v>10</v>
      </c>
      <c r="H97" s="388">
        <v>4</v>
      </c>
      <c r="I97" s="388">
        <v>4.21</v>
      </c>
      <c r="J97" s="33">
        <v>132</v>
      </c>
      <c r="K97" s="33" t="s">
        <v>94</v>
      </c>
      <c r="L97" s="33"/>
      <c r="M97" s="34" t="s">
        <v>90</v>
      </c>
      <c r="N97" s="34"/>
      <c r="O97" s="33">
        <v>50</v>
      </c>
      <c r="P97" s="45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7" s="394"/>
      <c r="R97" s="394"/>
      <c r="S97" s="394"/>
      <c r="T97" s="395"/>
      <c r="U97" s="35"/>
      <c r="V97" s="35"/>
      <c r="W97" s="36" t="s">
        <v>71</v>
      </c>
      <c r="X97" s="389">
        <v>0</v>
      </c>
      <c r="Y97" s="390">
        <f>IFERROR(IF(X97="",0,CEILING((X97/$H97),1)*$H97),"")</f>
        <v>0</v>
      </c>
      <c r="Z97" s="37" t="str">
        <f>IFERROR(IF(Y97=0,"",ROUNDUP(Y97/H97,0)*0.00902),"")</f>
        <v/>
      </c>
      <c r="AA97" s="57"/>
      <c r="AB97" s="58"/>
      <c r="AC97" s="136" t="s">
        <v>177</v>
      </c>
      <c r="AG97" s="65"/>
      <c r="AJ97" s="69"/>
      <c r="AK97" s="69">
        <v>0</v>
      </c>
      <c r="BB97" s="137" t="s">
        <v>1</v>
      </c>
      <c r="BM97" s="65">
        <f>IFERROR(X97*I97/H97,"0")</f>
        <v>0</v>
      </c>
      <c r="BN97" s="65">
        <f>IFERROR(Y97*I97/H97,"0")</f>
        <v>0</v>
      </c>
      <c r="BO97" s="65">
        <f>IFERROR(1/J97*(X97/H97),"0")</f>
        <v>0</v>
      </c>
      <c r="BP97" s="65">
        <f>IFERROR(1/J97*(Y97/H97),"0")</f>
        <v>0</v>
      </c>
    </row>
    <row r="98" spans="1:68" ht="16.5" customHeight="1" x14ac:dyDescent="0.25">
      <c r="A98" s="55" t="s">
        <v>178</v>
      </c>
      <c r="B98" s="55" t="s">
        <v>179</v>
      </c>
      <c r="C98" s="32">
        <v>4301012179</v>
      </c>
      <c r="D98" s="397">
        <v>4680115886810</v>
      </c>
      <c r="E98" s="398"/>
      <c r="F98" s="388">
        <v>0.3</v>
      </c>
      <c r="G98" s="33">
        <v>10</v>
      </c>
      <c r="H98" s="388">
        <v>3</v>
      </c>
      <c r="I98" s="388">
        <v>3.18</v>
      </c>
      <c r="J98" s="33">
        <v>182</v>
      </c>
      <c r="K98" s="33" t="s">
        <v>69</v>
      </c>
      <c r="L98" s="33"/>
      <c r="M98" s="34" t="s">
        <v>90</v>
      </c>
      <c r="N98" s="34"/>
      <c r="O98" s="33">
        <v>55</v>
      </c>
      <c r="P98" s="574" t="s">
        <v>180</v>
      </c>
      <c r="Q98" s="394"/>
      <c r="R98" s="394"/>
      <c r="S98" s="394"/>
      <c r="T98" s="395"/>
      <c r="U98" s="35"/>
      <c r="V98" s="35"/>
      <c r="W98" s="36" t="s">
        <v>71</v>
      </c>
      <c r="X98" s="389">
        <v>0</v>
      </c>
      <c r="Y98" s="390">
        <f>IFERROR(IF(X98="",0,CEILING((X98/$H98),1)*$H98),"")</f>
        <v>0</v>
      </c>
      <c r="Z98" s="37" t="str">
        <f>IFERROR(IF(Y98=0,"",ROUNDUP(Y98/H98,0)*0.00651),"")</f>
        <v/>
      </c>
      <c r="AA98" s="57"/>
      <c r="AB98" s="58"/>
      <c r="AC98" s="138" t="s">
        <v>181</v>
      </c>
      <c r="AG98" s="65"/>
      <c r="AJ98" s="69"/>
      <c r="AK98" s="69">
        <v>0</v>
      </c>
      <c r="BB98" s="139" t="s">
        <v>1</v>
      </c>
      <c r="BM98" s="65">
        <f>IFERROR(X98*I98/H98,"0")</f>
        <v>0</v>
      </c>
      <c r="BN98" s="65">
        <f>IFERROR(Y98*I98/H98,"0")</f>
        <v>0</v>
      </c>
      <c r="BO98" s="65">
        <f>IFERROR(1/J98*(X98/H98),"0")</f>
        <v>0</v>
      </c>
      <c r="BP98" s="65">
        <f>IFERROR(1/J98*(Y98/H98),"0")</f>
        <v>0</v>
      </c>
    </row>
    <row r="99" spans="1:68" x14ac:dyDescent="0.2">
      <c r="A99" s="418"/>
      <c r="B99" s="408"/>
      <c r="C99" s="408"/>
      <c r="D99" s="408"/>
      <c r="E99" s="408"/>
      <c r="F99" s="408"/>
      <c r="G99" s="408"/>
      <c r="H99" s="408"/>
      <c r="I99" s="408"/>
      <c r="J99" s="408"/>
      <c r="K99" s="408"/>
      <c r="L99" s="408"/>
      <c r="M99" s="408"/>
      <c r="N99" s="408"/>
      <c r="O99" s="419"/>
      <c r="P99" s="401" t="s">
        <v>76</v>
      </c>
      <c r="Q99" s="402"/>
      <c r="R99" s="402"/>
      <c r="S99" s="402"/>
      <c r="T99" s="402"/>
      <c r="U99" s="402"/>
      <c r="V99" s="403"/>
      <c r="W99" s="38" t="s">
        <v>77</v>
      </c>
      <c r="X99" s="391">
        <f>IFERROR(X97/H97,"0")+IFERROR(X98/H98,"0")</f>
        <v>0</v>
      </c>
      <c r="Y99" s="391">
        <f>IFERROR(Y97/H97,"0")+IFERROR(Y98/H98,"0")</f>
        <v>0</v>
      </c>
      <c r="Z99" s="391">
        <f>IFERROR(IF(Z97="",0,Z97),"0")+IFERROR(IF(Z98="",0,Z98),"0")</f>
        <v>0</v>
      </c>
      <c r="AA99" s="392"/>
      <c r="AB99" s="392"/>
      <c r="AC99" s="392"/>
    </row>
    <row r="100" spans="1:68" x14ac:dyDescent="0.2">
      <c r="A100" s="408"/>
      <c r="B100" s="408"/>
      <c r="C100" s="408"/>
      <c r="D100" s="408"/>
      <c r="E100" s="408"/>
      <c r="F100" s="408"/>
      <c r="G100" s="408"/>
      <c r="H100" s="408"/>
      <c r="I100" s="408"/>
      <c r="J100" s="408"/>
      <c r="K100" s="408"/>
      <c r="L100" s="408"/>
      <c r="M100" s="408"/>
      <c r="N100" s="408"/>
      <c r="O100" s="419"/>
      <c r="P100" s="401" t="s">
        <v>76</v>
      </c>
      <c r="Q100" s="402"/>
      <c r="R100" s="402"/>
      <c r="S100" s="402"/>
      <c r="T100" s="402"/>
      <c r="U100" s="402"/>
      <c r="V100" s="403"/>
      <c r="W100" s="38" t="s">
        <v>71</v>
      </c>
      <c r="X100" s="391">
        <f>IFERROR(SUM(X97:X98),"0")</f>
        <v>0</v>
      </c>
      <c r="Y100" s="391">
        <f>IFERROR(SUM(Y97:Y98),"0")</f>
        <v>0</v>
      </c>
      <c r="Z100" s="38"/>
      <c r="AA100" s="392"/>
      <c r="AB100" s="392"/>
      <c r="AC100" s="392"/>
    </row>
    <row r="101" spans="1:68" ht="14.25" customHeight="1" x14ac:dyDescent="0.25">
      <c r="A101" s="410" t="s">
        <v>182</v>
      </c>
      <c r="B101" s="408"/>
      <c r="C101" s="408"/>
      <c r="D101" s="408"/>
      <c r="E101" s="408"/>
      <c r="F101" s="408"/>
      <c r="G101" s="408"/>
      <c r="H101" s="408"/>
      <c r="I101" s="408"/>
      <c r="J101" s="408"/>
      <c r="K101" s="408"/>
      <c r="L101" s="408"/>
      <c r="M101" s="408"/>
      <c r="N101" s="408"/>
      <c r="O101" s="408"/>
      <c r="P101" s="408"/>
      <c r="Q101" s="408"/>
      <c r="R101" s="408"/>
      <c r="S101" s="408"/>
      <c r="T101" s="408"/>
      <c r="U101" s="408"/>
      <c r="V101" s="408"/>
      <c r="W101" s="408"/>
      <c r="X101" s="408"/>
      <c r="Y101" s="408"/>
      <c r="Z101" s="408"/>
      <c r="AA101" s="383"/>
      <c r="AB101" s="383"/>
      <c r="AC101" s="383"/>
    </row>
    <row r="102" spans="1:68" ht="16.5" customHeight="1" x14ac:dyDescent="0.25">
      <c r="A102" s="55" t="s">
        <v>183</v>
      </c>
      <c r="B102" s="55" t="s">
        <v>184</v>
      </c>
      <c r="C102" s="32">
        <v>4301030895</v>
      </c>
      <c r="D102" s="397">
        <v>4607091387667</v>
      </c>
      <c r="E102" s="398"/>
      <c r="F102" s="388">
        <v>0.9</v>
      </c>
      <c r="G102" s="33">
        <v>10</v>
      </c>
      <c r="H102" s="388">
        <v>9</v>
      </c>
      <c r="I102" s="388">
        <v>9.5850000000000009</v>
      </c>
      <c r="J102" s="33">
        <v>64</v>
      </c>
      <c r="K102" s="33" t="s">
        <v>89</v>
      </c>
      <c r="L102" s="33"/>
      <c r="M102" s="34" t="s">
        <v>90</v>
      </c>
      <c r="N102" s="34"/>
      <c r="O102" s="33">
        <v>40</v>
      </c>
      <c r="P102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2" s="394"/>
      <c r="R102" s="394"/>
      <c r="S102" s="394"/>
      <c r="T102" s="395"/>
      <c r="U102" s="35"/>
      <c r="V102" s="35"/>
      <c r="W102" s="36" t="s">
        <v>71</v>
      </c>
      <c r="X102" s="389">
        <v>0</v>
      </c>
      <c r="Y102" s="390">
        <f>IFERROR(IF(X102="",0,CEILING((X102/$H102),1)*$H102),"")</f>
        <v>0</v>
      </c>
      <c r="Z102" s="37" t="str">
        <f>IFERROR(IF(Y102=0,"",ROUNDUP(Y102/H102,0)*0.01898),"")</f>
        <v/>
      </c>
      <c r="AA102" s="57"/>
      <c r="AB102" s="58"/>
      <c r="AC102" s="140" t="s">
        <v>185</v>
      </c>
      <c r="AG102" s="65"/>
      <c r="AJ102" s="69"/>
      <c r="AK102" s="69">
        <v>0</v>
      </c>
      <c r="BB102" s="141" t="s">
        <v>1</v>
      </c>
      <c r="BM102" s="65">
        <f>IFERROR(X102*I102/H102,"0")</f>
        <v>0</v>
      </c>
      <c r="BN102" s="65">
        <f>IFERROR(Y102*I102/H102,"0")</f>
        <v>0</v>
      </c>
      <c r="BO102" s="65">
        <f>IFERROR(1/J102*(X102/H102),"0")</f>
        <v>0</v>
      </c>
      <c r="BP102" s="65">
        <f>IFERROR(1/J102*(Y102/H102),"0")</f>
        <v>0</v>
      </c>
    </row>
    <row r="103" spans="1:68" ht="16.5" customHeight="1" x14ac:dyDescent="0.25">
      <c r="A103" s="55" t="s">
        <v>186</v>
      </c>
      <c r="B103" s="55" t="s">
        <v>187</v>
      </c>
      <c r="C103" s="32">
        <v>4301030961</v>
      </c>
      <c r="D103" s="397">
        <v>4607091387636</v>
      </c>
      <c r="E103" s="398"/>
      <c r="F103" s="388">
        <v>0.7</v>
      </c>
      <c r="G103" s="33">
        <v>6</v>
      </c>
      <c r="H103" s="388">
        <v>4.2</v>
      </c>
      <c r="I103" s="388">
        <v>4.47</v>
      </c>
      <c r="J103" s="33">
        <v>182</v>
      </c>
      <c r="K103" s="33" t="s">
        <v>69</v>
      </c>
      <c r="L103" s="33"/>
      <c r="M103" s="34" t="s">
        <v>70</v>
      </c>
      <c r="N103" s="34"/>
      <c r="O103" s="33">
        <v>40</v>
      </c>
      <c r="P103" s="4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3" s="394"/>
      <c r="R103" s="394"/>
      <c r="S103" s="394"/>
      <c r="T103" s="395"/>
      <c r="U103" s="35"/>
      <c r="V103" s="35"/>
      <c r="W103" s="36" t="s">
        <v>71</v>
      </c>
      <c r="X103" s="389">
        <v>0</v>
      </c>
      <c r="Y103" s="390">
        <f>IFERROR(IF(X103="",0,CEILING((X103/$H103),1)*$H103),"")</f>
        <v>0</v>
      </c>
      <c r="Z103" s="37" t="str">
        <f>IFERROR(IF(Y103=0,"",ROUNDUP(Y103/H103,0)*0.00651),"")</f>
        <v/>
      </c>
      <c r="AA103" s="57"/>
      <c r="AB103" s="58"/>
      <c r="AC103" s="142" t="s">
        <v>188</v>
      </c>
      <c r="AG103" s="65"/>
      <c r="AJ103" s="69"/>
      <c r="AK103" s="69">
        <v>0</v>
      </c>
      <c r="BB103" s="143" t="s">
        <v>1</v>
      </c>
      <c r="BM103" s="65">
        <f>IFERROR(X103*I103/H103,"0")</f>
        <v>0</v>
      </c>
      <c r="BN103" s="65">
        <f>IFERROR(Y103*I103/H103,"0")</f>
        <v>0</v>
      </c>
      <c r="BO103" s="65">
        <f>IFERROR(1/J103*(X103/H103),"0")</f>
        <v>0</v>
      </c>
      <c r="BP103" s="65">
        <f>IFERROR(1/J103*(Y103/H103),"0")</f>
        <v>0</v>
      </c>
    </row>
    <row r="104" spans="1:68" ht="27" customHeight="1" x14ac:dyDescent="0.25">
      <c r="A104" s="55" t="s">
        <v>189</v>
      </c>
      <c r="B104" s="55" t="s">
        <v>190</v>
      </c>
      <c r="C104" s="32">
        <v>4301030963</v>
      </c>
      <c r="D104" s="397">
        <v>4607091382426</v>
      </c>
      <c r="E104" s="398"/>
      <c r="F104" s="388">
        <v>0.9</v>
      </c>
      <c r="G104" s="33">
        <v>10</v>
      </c>
      <c r="H104" s="388">
        <v>9</v>
      </c>
      <c r="I104" s="388">
        <v>9.5850000000000009</v>
      </c>
      <c r="J104" s="33">
        <v>64</v>
      </c>
      <c r="K104" s="33" t="s">
        <v>89</v>
      </c>
      <c r="L104" s="33"/>
      <c r="M104" s="34" t="s">
        <v>70</v>
      </c>
      <c r="N104" s="34"/>
      <c r="O104" s="33">
        <v>40</v>
      </c>
      <c r="P104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4" s="394"/>
      <c r="R104" s="394"/>
      <c r="S104" s="394"/>
      <c r="T104" s="395"/>
      <c r="U104" s="35"/>
      <c r="V104" s="35"/>
      <c r="W104" s="36" t="s">
        <v>71</v>
      </c>
      <c r="X104" s="389">
        <v>0</v>
      </c>
      <c r="Y104" s="390">
        <f>IFERROR(IF(X104="",0,CEILING((X104/$H104),1)*$H104),"")</f>
        <v>0</v>
      </c>
      <c r="Z104" s="37" t="str">
        <f>IFERROR(IF(Y104=0,"",ROUNDUP(Y104/H104,0)*0.01898),"")</f>
        <v/>
      </c>
      <c r="AA104" s="57"/>
      <c r="AB104" s="58"/>
      <c r="AC104" s="144" t="s">
        <v>191</v>
      </c>
      <c r="AG104" s="65"/>
      <c r="AJ104" s="69"/>
      <c r="AK104" s="69">
        <v>0</v>
      </c>
      <c r="BB104" s="145" t="s">
        <v>1</v>
      </c>
      <c r="BM104" s="65">
        <f>IFERROR(X104*I104/H104,"0")</f>
        <v>0</v>
      </c>
      <c r="BN104" s="65">
        <f>IFERROR(Y104*I104/H104,"0")</f>
        <v>0</v>
      </c>
      <c r="BO104" s="65">
        <f>IFERROR(1/J104*(X104/H104),"0")</f>
        <v>0</v>
      </c>
      <c r="BP104" s="65">
        <f>IFERROR(1/J104*(Y104/H104),"0")</f>
        <v>0</v>
      </c>
    </row>
    <row r="105" spans="1:68" x14ac:dyDescent="0.2">
      <c r="A105" s="418"/>
      <c r="B105" s="408"/>
      <c r="C105" s="408"/>
      <c r="D105" s="408"/>
      <c r="E105" s="408"/>
      <c r="F105" s="408"/>
      <c r="G105" s="408"/>
      <c r="H105" s="408"/>
      <c r="I105" s="408"/>
      <c r="J105" s="408"/>
      <c r="K105" s="408"/>
      <c r="L105" s="408"/>
      <c r="M105" s="408"/>
      <c r="N105" s="408"/>
      <c r="O105" s="419"/>
      <c r="P105" s="401" t="s">
        <v>76</v>
      </c>
      <c r="Q105" s="402"/>
      <c r="R105" s="402"/>
      <c r="S105" s="402"/>
      <c r="T105" s="402"/>
      <c r="U105" s="402"/>
      <c r="V105" s="403"/>
      <c r="W105" s="38" t="s">
        <v>77</v>
      </c>
      <c r="X105" s="391">
        <f>IFERROR(X102/H102,"0")+IFERROR(X103/H103,"0")+IFERROR(X104/H104,"0")</f>
        <v>0</v>
      </c>
      <c r="Y105" s="391">
        <f>IFERROR(Y102/H102,"0")+IFERROR(Y103/H103,"0")+IFERROR(Y104/H104,"0")</f>
        <v>0</v>
      </c>
      <c r="Z105" s="391">
        <f>IFERROR(IF(Z102="",0,Z102),"0")+IFERROR(IF(Z103="",0,Z103),"0")+IFERROR(IF(Z104="",0,Z104),"0")</f>
        <v>0</v>
      </c>
      <c r="AA105" s="392"/>
      <c r="AB105" s="392"/>
      <c r="AC105" s="392"/>
    </row>
    <row r="106" spans="1:68" x14ac:dyDescent="0.2">
      <c r="A106" s="408"/>
      <c r="B106" s="408"/>
      <c r="C106" s="408"/>
      <c r="D106" s="408"/>
      <c r="E106" s="408"/>
      <c r="F106" s="408"/>
      <c r="G106" s="408"/>
      <c r="H106" s="408"/>
      <c r="I106" s="408"/>
      <c r="J106" s="408"/>
      <c r="K106" s="408"/>
      <c r="L106" s="408"/>
      <c r="M106" s="408"/>
      <c r="N106" s="408"/>
      <c r="O106" s="419"/>
      <c r="P106" s="401" t="s">
        <v>76</v>
      </c>
      <c r="Q106" s="402"/>
      <c r="R106" s="402"/>
      <c r="S106" s="402"/>
      <c r="T106" s="402"/>
      <c r="U106" s="402"/>
      <c r="V106" s="403"/>
      <c r="W106" s="38" t="s">
        <v>71</v>
      </c>
      <c r="X106" s="391">
        <f>IFERROR(SUM(X102:X104),"0")</f>
        <v>0</v>
      </c>
      <c r="Y106" s="391">
        <f>IFERROR(SUM(Y102:Y104),"0")</f>
        <v>0</v>
      </c>
      <c r="Z106" s="38"/>
      <c r="AA106" s="392"/>
      <c r="AB106" s="392"/>
      <c r="AC106" s="392"/>
    </row>
    <row r="107" spans="1:68" ht="27.75" customHeight="1" x14ac:dyDescent="0.2">
      <c r="A107" s="476" t="s">
        <v>192</v>
      </c>
      <c r="B107" s="477"/>
      <c r="C107" s="477"/>
      <c r="D107" s="477"/>
      <c r="E107" s="477"/>
      <c r="F107" s="477"/>
      <c r="G107" s="477"/>
      <c r="H107" s="477"/>
      <c r="I107" s="477"/>
      <c r="J107" s="477"/>
      <c r="K107" s="477"/>
      <c r="L107" s="477"/>
      <c r="M107" s="477"/>
      <c r="N107" s="477"/>
      <c r="O107" s="477"/>
      <c r="P107" s="477"/>
      <c r="Q107" s="477"/>
      <c r="R107" s="477"/>
      <c r="S107" s="477"/>
      <c r="T107" s="477"/>
      <c r="U107" s="477"/>
      <c r="V107" s="477"/>
      <c r="W107" s="477"/>
      <c r="X107" s="477"/>
      <c r="Y107" s="477"/>
      <c r="Z107" s="477"/>
      <c r="AA107" s="49"/>
      <c r="AB107" s="49"/>
      <c r="AC107" s="49"/>
    </row>
    <row r="108" spans="1:68" ht="16.5" customHeight="1" x14ac:dyDescent="0.25">
      <c r="A108" s="407" t="s">
        <v>193</v>
      </c>
      <c r="B108" s="408"/>
      <c r="C108" s="408"/>
      <c r="D108" s="408"/>
      <c r="E108" s="408"/>
      <c r="F108" s="408"/>
      <c r="G108" s="408"/>
      <c r="H108" s="408"/>
      <c r="I108" s="408"/>
      <c r="J108" s="408"/>
      <c r="K108" s="408"/>
      <c r="L108" s="408"/>
      <c r="M108" s="408"/>
      <c r="N108" s="408"/>
      <c r="O108" s="408"/>
      <c r="P108" s="408"/>
      <c r="Q108" s="408"/>
      <c r="R108" s="408"/>
      <c r="S108" s="408"/>
      <c r="T108" s="408"/>
      <c r="U108" s="408"/>
      <c r="V108" s="408"/>
      <c r="W108" s="408"/>
      <c r="X108" s="408"/>
      <c r="Y108" s="408"/>
      <c r="Z108" s="408"/>
      <c r="AA108" s="385"/>
      <c r="AB108" s="385"/>
      <c r="AC108" s="385"/>
    </row>
    <row r="109" spans="1:68" ht="14.25" customHeight="1" x14ac:dyDescent="0.25">
      <c r="A109" s="410" t="s">
        <v>182</v>
      </c>
      <c r="B109" s="408"/>
      <c r="C109" s="408"/>
      <c r="D109" s="408"/>
      <c r="E109" s="408"/>
      <c r="F109" s="408"/>
      <c r="G109" s="408"/>
      <c r="H109" s="408"/>
      <c r="I109" s="408"/>
      <c r="J109" s="408"/>
      <c r="K109" s="408"/>
      <c r="L109" s="408"/>
      <c r="M109" s="408"/>
      <c r="N109" s="408"/>
      <c r="O109" s="408"/>
      <c r="P109" s="408"/>
      <c r="Q109" s="408"/>
      <c r="R109" s="408"/>
      <c r="S109" s="408"/>
      <c r="T109" s="408"/>
      <c r="U109" s="408"/>
      <c r="V109" s="408"/>
      <c r="W109" s="408"/>
      <c r="X109" s="408"/>
      <c r="Y109" s="408"/>
      <c r="Z109" s="408"/>
      <c r="AA109" s="383"/>
      <c r="AB109" s="383"/>
      <c r="AC109" s="383"/>
    </row>
    <row r="110" spans="1:68" ht="27" customHeight="1" x14ac:dyDescent="0.25">
      <c r="A110" s="55" t="s">
        <v>194</v>
      </c>
      <c r="B110" s="55" t="s">
        <v>195</v>
      </c>
      <c r="C110" s="32">
        <v>4301031191</v>
      </c>
      <c r="D110" s="397">
        <v>4680115880993</v>
      </c>
      <c r="E110" s="398"/>
      <c r="F110" s="388">
        <v>0.7</v>
      </c>
      <c r="G110" s="33">
        <v>6</v>
      </c>
      <c r="H110" s="388">
        <v>4.2</v>
      </c>
      <c r="I110" s="388">
        <v>4.47</v>
      </c>
      <c r="J110" s="33">
        <v>132</v>
      </c>
      <c r="K110" s="33" t="s">
        <v>94</v>
      </c>
      <c r="L110" s="33"/>
      <c r="M110" s="34" t="s">
        <v>70</v>
      </c>
      <c r="N110" s="34"/>
      <c r="O110" s="33">
        <v>40</v>
      </c>
      <c r="P110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0" s="394"/>
      <c r="R110" s="394"/>
      <c r="S110" s="394"/>
      <c r="T110" s="395"/>
      <c r="U110" s="35"/>
      <c r="V110" s="35"/>
      <c r="W110" s="36" t="s">
        <v>71</v>
      </c>
      <c r="X110" s="389">
        <v>0</v>
      </c>
      <c r="Y110" s="390">
        <f t="shared" ref="Y110:Y117" si="5">IFERROR(IF(X110="",0,CEILING((X110/$H110),1)*$H110),"")</f>
        <v>0</v>
      </c>
      <c r="Z110" s="37" t="str">
        <f>IFERROR(IF(Y110=0,"",ROUNDUP(Y110/H110,0)*0.00902),"")</f>
        <v/>
      </c>
      <c r="AA110" s="57"/>
      <c r="AB110" s="58"/>
      <c r="AC110" s="146" t="s">
        <v>196</v>
      </c>
      <c r="AG110" s="65"/>
      <c r="AJ110" s="69"/>
      <c r="AK110" s="69">
        <v>0</v>
      </c>
      <c r="BB110" s="147" t="s">
        <v>1</v>
      </c>
      <c r="BM110" s="65">
        <f t="shared" ref="BM110:BM117" si="6">IFERROR(X110*I110/H110,"0")</f>
        <v>0</v>
      </c>
      <c r="BN110" s="65">
        <f t="shared" ref="BN110:BN117" si="7">IFERROR(Y110*I110/H110,"0")</f>
        <v>0</v>
      </c>
      <c r="BO110" s="65">
        <f t="shared" ref="BO110:BO117" si="8">IFERROR(1/J110*(X110/H110),"0")</f>
        <v>0</v>
      </c>
      <c r="BP110" s="65">
        <f t="shared" ref="BP110:BP117" si="9">IFERROR(1/J110*(Y110/H110),"0")</f>
        <v>0</v>
      </c>
    </row>
    <row r="111" spans="1:68" ht="27" customHeight="1" x14ac:dyDescent="0.25">
      <c r="A111" s="55" t="s">
        <v>197</v>
      </c>
      <c r="B111" s="55" t="s">
        <v>198</v>
      </c>
      <c r="C111" s="32">
        <v>4301031204</v>
      </c>
      <c r="D111" s="397">
        <v>4680115881761</v>
      </c>
      <c r="E111" s="398"/>
      <c r="F111" s="388">
        <v>0.7</v>
      </c>
      <c r="G111" s="33">
        <v>6</v>
      </c>
      <c r="H111" s="388">
        <v>4.2</v>
      </c>
      <c r="I111" s="388">
        <v>4.47</v>
      </c>
      <c r="J111" s="33">
        <v>132</v>
      </c>
      <c r="K111" s="33" t="s">
        <v>94</v>
      </c>
      <c r="L111" s="33"/>
      <c r="M111" s="34" t="s">
        <v>70</v>
      </c>
      <c r="N111" s="34"/>
      <c r="O111" s="33">
        <v>40</v>
      </c>
      <c r="P111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1" s="394"/>
      <c r="R111" s="394"/>
      <c r="S111" s="394"/>
      <c r="T111" s="395"/>
      <c r="U111" s="35"/>
      <c r="V111" s="35"/>
      <c r="W111" s="36" t="s">
        <v>71</v>
      </c>
      <c r="X111" s="389">
        <v>120</v>
      </c>
      <c r="Y111" s="390">
        <f t="shared" si="5"/>
        <v>121.80000000000001</v>
      </c>
      <c r="Z111" s="37">
        <f>IFERROR(IF(Y111=0,"",ROUNDUP(Y111/H111,0)*0.00902),"")</f>
        <v>0.26158000000000003</v>
      </c>
      <c r="AA111" s="57"/>
      <c r="AB111" s="58"/>
      <c r="AC111" s="148" t="s">
        <v>199</v>
      </c>
      <c r="AG111" s="65"/>
      <c r="AJ111" s="69"/>
      <c r="AK111" s="69">
        <v>0</v>
      </c>
      <c r="BB111" s="149" t="s">
        <v>1</v>
      </c>
      <c r="BM111" s="65">
        <f t="shared" si="6"/>
        <v>127.71428571428571</v>
      </c>
      <c r="BN111" s="65">
        <f t="shared" si="7"/>
        <v>129.63</v>
      </c>
      <c r="BO111" s="65">
        <f t="shared" si="8"/>
        <v>0.21645021645021645</v>
      </c>
      <c r="BP111" s="65">
        <f t="shared" si="9"/>
        <v>0.2196969696969697</v>
      </c>
    </row>
    <row r="112" spans="1:68" ht="27" customHeight="1" x14ac:dyDescent="0.25">
      <c r="A112" s="55" t="s">
        <v>200</v>
      </c>
      <c r="B112" s="55" t="s">
        <v>201</v>
      </c>
      <c r="C112" s="32">
        <v>4301031201</v>
      </c>
      <c r="D112" s="397">
        <v>4680115881563</v>
      </c>
      <c r="E112" s="398"/>
      <c r="F112" s="388">
        <v>0.7</v>
      </c>
      <c r="G112" s="33">
        <v>6</v>
      </c>
      <c r="H112" s="388">
        <v>4.2</v>
      </c>
      <c r="I112" s="388">
        <v>4.41</v>
      </c>
      <c r="J112" s="33">
        <v>132</v>
      </c>
      <c r="K112" s="33" t="s">
        <v>94</v>
      </c>
      <c r="L112" s="33"/>
      <c r="M112" s="34" t="s">
        <v>70</v>
      </c>
      <c r="N112" s="34"/>
      <c r="O112" s="33">
        <v>40</v>
      </c>
      <c r="P112" s="5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2" s="394"/>
      <c r="R112" s="394"/>
      <c r="S112" s="394"/>
      <c r="T112" s="395"/>
      <c r="U112" s="35"/>
      <c r="V112" s="35"/>
      <c r="W112" s="36" t="s">
        <v>71</v>
      </c>
      <c r="X112" s="389">
        <v>110</v>
      </c>
      <c r="Y112" s="390">
        <f t="shared" si="5"/>
        <v>113.4</v>
      </c>
      <c r="Z112" s="37">
        <f>IFERROR(IF(Y112=0,"",ROUNDUP(Y112/H112,0)*0.00902),"")</f>
        <v>0.24354000000000001</v>
      </c>
      <c r="AA112" s="57"/>
      <c r="AB112" s="58"/>
      <c r="AC112" s="150" t="s">
        <v>202</v>
      </c>
      <c r="AG112" s="65"/>
      <c r="AJ112" s="69"/>
      <c r="AK112" s="69">
        <v>0</v>
      </c>
      <c r="BB112" s="151" t="s">
        <v>1</v>
      </c>
      <c r="BM112" s="65">
        <f t="shared" si="6"/>
        <v>115.5</v>
      </c>
      <c r="BN112" s="65">
        <f t="shared" si="7"/>
        <v>119.07000000000001</v>
      </c>
      <c r="BO112" s="65">
        <f t="shared" si="8"/>
        <v>0.1984126984126984</v>
      </c>
      <c r="BP112" s="65">
        <f t="shared" si="9"/>
        <v>0.20454545454545456</v>
      </c>
    </row>
    <row r="113" spans="1:68" ht="27" customHeight="1" x14ac:dyDescent="0.25">
      <c r="A113" s="55" t="s">
        <v>203</v>
      </c>
      <c r="B113" s="55" t="s">
        <v>204</v>
      </c>
      <c r="C113" s="32">
        <v>4301031199</v>
      </c>
      <c r="D113" s="397">
        <v>4680115880986</v>
      </c>
      <c r="E113" s="398"/>
      <c r="F113" s="388">
        <v>0.35</v>
      </c>
      <c r="G113" s="33">
        <v>6</v>
      </c>
      <c r="H113" s="388">
        <v>2.1</v>
      </c>
      <c r="I113" s="388">
        <v>2.23</v>
      </c>
      <c r="J113" s="33">
        <v>234</v>
      </c>
      <c r="K113" s="33" t="s">
        <v>162</v>
      </c>
      <c r="L113" s="33"/>
      <c r="M113" s="34" t="s">
        <v>70</v>
      </c>
      <c r="N113" s="34"/>
      <c r="O113" s="33">
        <v>40</v>
      </c>
      <c r="P113" s="4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3" s="394"/>
      <c r="R113" s="394"/>
      <c r="S113" s="394"/>
      <c r="T113" s="395"/>
      <c r="U113" s="35"/>
      <c r="V113" s="35"/>
      <c r="W113" s="36" t="s">
        <v>71</v>
      </c>
      <c r="X113" s="389">
        <v>0</v>
      </c>
      <c r="Y113" s="390">
        <f t="shared" si="5"/>
        <v>0</v>
      </c>
      <c r="Z113" s="37" t="str">
        <f>IFERROR(IF(Y113=0,"",ROUNDUP(Y113/H113,0)*0.00502),"")</f>
        <v/>
      </c>
      <c r="AA113" s="57"/>
      <c r="AB113" s="58"/>
      <c r="AC113" s="152" t="s">
        <v>196</v>
      </c>
      <c r="AG113" s="65"/>
      <c r="AJ113" s="69"/>
      <c r="AK113" s="69">
        <v>0</v>
      </c>
      <c r="BB113" s="153" t="s">
        <v>1</v>
      </c>
      <c r="BM113" s="65">
        <f t="shared" si="6"/>
        <v>0</v>
      </c>
      <c r="BN113" s="65">
        <f t="shared" si="7"/>
        <v>0</v>
      </c>
      <c r="BO113" s="65">
        <f t="shared" si="8"/>
        <v>0</v>
      </c>
      <c r="BP113" s="65">
        <f t="shared" si="9"/>
        <v>0</v>
      </c>
    </row>
    <row r="114" spans="1:68" ht="27" customHeight="1" x14ac:dyDescent="0.25">
      <c r="A114" s="55" t="s">
        <v>205</v>
      </c>
      <c r="B114" s="55" t="s">
        <v>206</v>
      </c>
      <c r="C114" s="32">
        <v>4301031205</v>
      </c>
      <c r="D114" s="397">
        <v>4680115881785</v>
      </c>
      <c r="E114" s="398"/>
      <c r="F114" s="388">
        <v>0.35</v>
      </c>
      <c r="G114" s="33">
        <v>6</v>
      </c>
      <c r="H114" s="388">
        <v>2.1</v>
      </c>
      <c r="I114" s="388">
        <v>2.23</v>
      </c>
      <c r="J114" s="33">
        <v>234</v>
      </c>
      <c r="K114" s="33" t="s">
        <v>162</v>
      </c>
      <c r="L114" s="33"/>
      <c r="M114" s="34" t="s">
        <v>70</v>
      </c>
      <c r="N114" s="34"/>
      <c r="O114" s="33">
        <v>40</v>
      </c>
      <c r="P114" s="5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4" s="394"/>
      <c r="R114" s="394"/>
      <c r="S114" s="394"/>
      <c r="T114" s="395"/>
      <c r="U114" s="35"/>
      <c r="V114" s="35"/>
      <c r="W114" s="36" t="s">
        <v>71</v>
      </c>
      <c r="X114" s="389">
        <v>140</v>
      </c>
      <c r="Y114" s="390">
        <f t="shared" si="5"/>
        <v>140.70000000000002</v>
      </c>
      <c r="Z114" s="37">
        <f>IFERROR(IF(Y114=0,"",ROUNDUP(Y114/H114,0)*0.00502),"")</f>
        <v>0.33634000000000003</v>
      </c>
      <c r="AA114" s="57"/>
      <c r="AB114" s="58"/>
      <c r="AC114" s="154" t="s">
        <v>199</v>
      </c>
      <c r="AG114" s="65"/>
      <c r="AJ114" s="69"/>
      <c r="AK114" s="69">
        <v>0</v>
      </c>
      <c r="BB114" s="155" t="s">
        <v>1</v>
      </c>
      <c r="BM114" s="65">
        <f t="shared" si="6"/>
        <v>148.66666666666666</v>
      </c>
      <c r="BN114" s="65">
        <f t="shared" si="7"/>
        <v>149.41</v>
      </c>
      <c r="BO114" s="65">
        <f t="shared" si="8"/>
        <v>0.28490028490028491</v>
      </c>
      <c r="BP114" s="65">
        <f t="shared" si="9"/>
        <v>0.28632478632478636</v>
      </c>
    </row>
    <row r="115" spans="1:68" ht="37.5" customHeight="1" x14ac:dyDescent="0.25">
      <c r="A115" s="55" t="s">
        <v>207</v>
      </c>
      <c r="B115" s="55" t="s">
        <v>208</v>
      </c>
      <c r="C115" s="32">
        <v>4301031202</v>
      </c>
      <c r="D115" s="397">
        <v>4680115881679</v>
      </c>
      <c r="E115" s="398"/>
      <c r="F115" s="388">
        <v>0.35</v>
      </c>
      <c r="G115" s="33">
        <v>6</v>
      </c>
      <c r="H115" s="388">
        <v>2.1</v>
      </c>
      <c r="I115" s="388">
        <v>2.2000000000000002</v>
      </c>
      <c r="J115" s="33">
        <v>234</v>
      </c>
      <c r="K115" s="33" t="s">
        <v>162</v>
      </c>
      <c r="L115" s="33"/>
      <c r="M115" s="34" t="s">
        <v>70</v>
      </c>
      <c r="N115" s="34"/>
      <c r="O115" s="33">
        <v>40</v>
      </c>
      <c r="P115" s="5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5" s="394"/>
      <c r="R115" s="394"/>
      <c r="S115" s="394"/>
      <c r="T115" s="395"/>
      <c r="U115" s="35"/>
      <c r="V115" s="35"/>
      <c r="W115" s="36" t="s">
        <v>71</v>
      </c>
      <c r="X115" s="389">
        <v>140</v>
      </c>
      <c r="Y115" s="390">
        <f t="shared" si="5"/>
        <v>140.70000000000002</v>
      </c>
      <c r="Z115" s="37">
        <f>IFERROR(IF(Y115=0,"",ROUNDUP(Y115/H115,0)*0.00502),"")</f>
        <v>0.33634000000000003</v>
      </c>
      <c r="AA115" s="57"/>
      <c r="AB115" s="58"/>
      <c r="AC115" s="156" t="s">
        <v>202</v>
      </c>
      <c r="AG115" s="65"/>
      <c r="AJ115" s="69"/>
      <c r="AK115" s="69">
        <v>0</v>
      </c>
      <c r="BB115" s="157" t="s">
        <v>1</v>
      </c>
      <c r="BM115" s="65">
        <f t="shared" si="6"/>
        <v>146.66666666666666</v>
      </c>
      <c r="BN115" s="65">
        <f t="shared" si="7"/>
        <v>147.40000000000003</v>
      </c>
      <c r="BO115" s="65">
        <f t="shared" si="8"/>
        <v>0.28490028490028491</v>
      </c>
      <c r="BP115" s="65">
        <f t="shared" si="9"/>
        <v>0.28632478632478636</v>
      </c>
    </row>
    <row r="116" spans="1:68" ht="27" customHeight="1" x14ac:dyDescent="0.25">
      <c r="A116" s="55" t="s">
        <v>209</v>
      </c>
      <c r="B116" s="55" t="s">
        <v>210</v>
      </c>
      <c r="C116" s="32">
        <v>4301031158</v>
      </c>
      <c r="D116" s="397">
        <v>4680115880191</v>
      </c>
      <c r="E116" s="398"/>
      <c r="F116" s="388">
        <v>0.4</v>
      </c>
      <c r="G116" s="33">
        <v>6</v>
      </c>
      <c r="H116" s="388">
        <v>2.4</v>
      </c>
      <c r="I116" s="388">
        <v>2.58</v>
      </c>
      <c r="J116" s="33">
        <v>182</v>
      </c>
      <c r="K116" s="33" t="s">
        <v>69</v>
      </c>
      <c r="L116" s="33"/>
      <c r="M116" s="34" t="s">
        <v>70</v>
      </c>
      <c r="N116" s="34"/>
      <c r="O116" s="33">
        <v>40</v>
      </c>
      <c r="P116" s="4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6" s="394"/>
      <c r="R116" s="394"/>
      <c r="S116" s="394"/>
      <c r="T116" s="395"/>
      <c r="U116" s="35"/>
      <c r="V116" s="35"/>
      <c r="W116" s="36" t="s">
        <v>71</v>
      </c>
      <c r="X116" s="389">
        <v>0</v>
      </c>
      <c r="Y116" s="390">
        <f t="shared" si="5"/>
        <v>0</v>
      </c>
      <c r="Z116" s="37" t="str">
        <f>IFERROR(IF(Y116=0,"",ROUNDUP(Y116/H116,0)*0.00651),"")</f>
        <v/>
      </c>
      <c r="AA116" s="57"/>
      <c r="AB116" s="58"/>
      <c r="AC116" s="158" t="s">
        <v>202</v>
      </c>
      <c r="AG116" s="65"/>
      <c r="AJ116" s="69"/>
      <c r="AK116" s="69">
        <v>0</v>
      </c>
      <c r="BB116" s="159" t="s">
        <v>1</v>
      </c>
      <c r="BM116" s="65">
        <f t="shared" si="6"/>
        <v>0</v>
      </c>
      <c r="BN116" s="65">
        <f t="shared" si="7"/>
        <v>0</v>
      </c>
      <c r="BO116" s="65">
        <f t="shared" si="8"/>
        <v>0</v>
      </c>
      <c r="BP116" s="65">
        <f t="shared" si="9"/>
        <v>0</v>
      </c>
    </row>
    <row r="117" spans="1:68" ht="27" customHeight="1" x14ac:dyDescent="0.25">
      <c r="A117" s="55" t="s">
        <v>211</v>
      </c>
      <c r="B117" s="55" t="s">
        <v>212</v>
      </c>
      <c r="C117" s="32">
        <v>4301031245</v>
      </c>
      <c r="D117" s="397">
        <v>4680115883963</v>
      </c>
      <c r="E117" s="398"/>
      <c r="F117" s="388">
        <v>0.28000000000000003</v>
      </c>
      <c r="G117" s="33">
        <v>6</v>
      </c>
      <c r="H117" s="388">
        <v>1.68</v>
      </c>
      <c r="I117" s="388">
        <v>1.78</v>
      </c>
      <c r="J117" s="33">
        <v>234</v>
      </c>
      <c r="K117" s="33" t="s">
        <v>162</v>
      </c>
      <c r="L117" s="33"/>
      <c r="M117" s="34" t="s">
        <v>70</v>
      </c>
      <c r="N117" s="34"/>
      <c r="O117" s="33">
        <v>40</v>
      </c>
      <c r="P117" s="48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7" s="394"/>
      <c r="R117" s="394"/>
      <c r="S117" s="394"/>
      <c r="T117" s="395"/>
      <c r="U117" s="35"/>
      <c r="V117" s="35"/>
      <c r="W117" s="36" t="s">
        <v>71</v>
      </c>
      <c r="X117" s="389">
        <v>0</v>
      </c>
      <c r="Y117" s="390">
        <f t="shared" si="5"/>
        <v>0</v>
      </c>
      <c r="Z117" s="37" t="str">
        <f>IFERROR(IF(Y117=0,"",ROUNDUP(Y117/H117,0)*0.00502),"")</f>
        <v/>
      </c>
      <c r="AA117" s="57"/>
      <c r="AB117" s="58"/>
      <c r="AC117" s="160" t="s">
        <v>213</v>
      </c>
      <c r="AG117" s="65"/>
      <c r="AJ117" s="69"/>
      <c r="AK117" s="69">
        <v>0</v>
      </c>
      <c r="BB117" s="161" t="s">
        <v>1</v>
      </c>
      <c r="BM117" s="65">
        <f t="shared" si="6"/>
        <v>0</v>
      </c>
      <c r="BN117" s="65">
        <f t="shared" si="7"/>
        <v>0</v>
      </c>
      <c r="BO117" s="65">
        <f t="shared" si="8"/>
        <v>0</v>
      </c>
      <c r="BP117" s="65">
        <f t="shared" si="9"/>
        <v>0</v>
      </c>
    </row>
    <row r="118" spans="1:68" x14ac:dyDescent="0.2">
      <c r="A118" s="418"/>
      <c r="B118" s="408"/>
      <c r="C118" s="408"/>
      <c r="D118" s="408"/>
      <c r="E118" s="408"/>
      <c r="F118" s="408"/>
      <c r="G118" s="408"/>
      <c r="H118" s="408"/>
      <c r="I118" s="408"/>
      <c r="J118" s="408"/>
      <c r="K118" s="408"/>
      <c r="L118" s="408"/>
      <c r="M118" s="408"/>
      <c r="N118" s="408"/>
      <c r="O118" s="419"/>
      <c r="P118" s="401" t="s">
        <v>76</v>
      </c>
      <c r="Q118" s="402"/>
      <c r="R118" s="402"/>
      <c r="S118" s="402"/>
      <c r="T118" s="402"/>
      <c r="U118" s="402"/>
      <c r="V118" s="403"/>
      <c r="W118" s="38" t="s">
        <v>77</v>
      </c>
      <c r="X118" s="391">
        <f>IFERROR(X110/H110,"0")+IFERROR(X111/H111,"0")+IFERROR(X112/H112,"0")+IFERROR(X113/H113,"0")+IFERROR(X114/H114,"0")+IFERROR(X115/H115,"0")+IFERROR(X116/H116,"0")+IFERROR(X117/H117,"0")</f>
        <v>188.09523809523807</v>
      </c>
      <c r="Y118" s="391">
        <f>IFERROR(Y110/H110,"0")+IFERROR(Y111/H111,"0")+IFERROR(Y112/H112,"0")+IFERROR(Y113/H113,"0")+IFERROR(Y114/H114,"0")+IFERROR(Y115/H115,"0")+IFERROR(Y116/H116,"0")+IFERROR(Y117/H117,"0")</f>
        <v>190</v>
      </c>
      <c r="Z118" s="391">
        <f>IFERROR(IF(Z110="",0,Z110),"0")+IFERROR(IF(Z111="",0,Z111),"0")+IFERROR(IF(Z112="",0,Z112),"0")+IFERROR(IF(Z113="",0,Z113),"0")+IFERROR(IF(Z114="",0,Z114),"0")+IFERROR(IF(Z115="",0,Z115),"0")+IFERROR(IF(Z116="",0,Z116),"0")+IFERROR(IF(Z117="",0,Z117),"0")</f>
        <v>1.1778000000000002</v>
      </c>
      <c r="AA118" s="392"/>
      <c r="AB118" s="392"/>
      <c r="AC118" s="392"/>
    </row>
    <row r="119" spans="1:68" x14ac:dyDescent="0.2">
      <c r="A119" s="408"/>
      <c r="B119" s="408"/>
      <c r="C119" s="408"/>
      <c r="D119" s="408"/>
      <c r="E119" s="408"/>
      <c r="F119" s="408"/>
      <c r="G119" s="408"/>
      <c r="H119" s="408"/>
      <c r="I119" s="408"/>
      <c r="J119" s="408"/>
      <c r="K119" s="408"/>
      <c r="L119" s="408"/>
      <c r="M119" s="408"/>
      <c r="N119" s="408"/>
      <c r="O119" s="419"/>
      <c r="P119" s="401" t="s">
        <v>76</v>
      </c>
      <c r="Q119" s="402"/>
      <c r="R119" s="402"/>
      <c r="S119" s="402"/>
      <c r="T119" s="402"/>
      <c r="U119" s="402"/>
      <c r="V119" s="403"/>
      <c r="W119" s="38" t="s">
        <v>71</v>
      </c>
      <c r="X119" s="391">
        <f>IFERROR(SUM(X110:X117),"0")</f>
        <v>510</v>
      </c>
      <c r="Y119" s="391">
        <f>IFERROR(SUM(Y110:Y117),"0")</f>
        <v>516.6</v>
      </c>
      <c r="Z119" s="38"/>
      <c r="AA119" s="392"/>
      <c r="AB119" s="392"/>
      <c r="AC119" s="392"/>
    </row>
    <row r="120" spans="1:68" ht="14.25" customHeight="1" x14ac:dyDescent="0.25">
      <c r="A120" s="410" t="s">
        <v>78</v>
      </c>
      <c r="B120" s="408"/>
      <c r="C120" s="408"/>
      <c r="D120" s="408"/>
      <c r="E120" s="408"/>
      <c r="F120" s="408"/>
      <c r="G120" s="408"/>
      <c r="H120" s="408"/>
      <c r="I120" s="408"/>
      <c r="J120" s="408"/>
      <c r="K120" s="408"/>
      <c r="L120" s="408"/>
      <c r="M120" s="408"/>
      <c r="N120" s="408"/>
      <c r="O120" s="408"/>
      <c r="P120" s="408"/>
      <c r="Q120" s="408"/>
      <c r="R120" s="408"/>
      <c r="S120" s="408"/>
      <c r="T120" s="408"/>
      <c r="U120" s="408"/>
      <c r="V120" s="408"/>
      <c r="W120" s="408"/>
      <c r="X120" s="408"/>
      <c r="Y120" s="408"/>
      <c r="Z120" s="408"/>
      <c r="AA120" s="383"/>
      <c r="AB120" s="383"/>
      <c r="AC120" s="383"/>
    </row>
    <row r="121" spans="1:68" ht="27" customHeight="1" x14ac:dyDescent="0.25">
      <c r="A121" s="55" t="s">
        <v>214</v>
      </c>
      <c r="B121" s="55" t="s">
        <v>215</v>
      </c>
      <c r="C121" s="32">
        <v>4301032053</v>
      </c>
      <c r="D121" s="397">
        <v>4680115886780</v>
      </c>
      <c r="E121" s="398"/>
      <c r="F121" s="388">
        <v>7.0000000000000007E-2</v>
      </c>
      <c r="G121" s="33">
        <v>18</v>
      </c>
      <c r="H121" s="388">
        <v>1.26</v>
      </c>
      <c r="I121" s="388">
        <v>1.45</v>
      </c>
      <c r="J121" s="33">
        <v>216</v>
      </c>
      <c r="K121" s="33" t="s">
        <v>216</v>
      </c>
      <c r="L121" s="33"/>
      <c r="M121" s="34" t="s">
        <v>217</v>
      </c>
      <c r="N121" s="34"/>
      <c r="O121" s="33">
        <v>60</v>
      </c>
      <c r="P121" s="6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1" s="394"/>
      <c r="R121" s="394"/>
      <c r="S121" s="394"/>
      <c r="T121" s="395"/>
      <c r="U121" s="35"/>
      <c r="V121" s="35"/>
      <c r="W121" s="36" t="s">
        <v>71</v>
      </c>
      <c r="X121" s="389">
        <v>0</v>
      </c>
      <c r="Y121" s="390">
        <f>IFERROR(IF(X121="",0,CEILING((X121/$H121),1)*$H121),"")</f>
        <v>0</v>
      </c>
      <c r="Z121" s="37" t="str">
        <f>IFERROR(IF(Y121=0,"",ROUNDUP(Y121/H121,0)*0.0059),"")</f>
        <v/>
      </c>
      <c r="AA121" s="57"/>
      <c r="AB121" s="58"/>
      <c r="AC121" s="162" t="s">
        <v>218</v>
      </c>
      <c r="AG121" s="65"/>
      <c r="AJ121" s="69"/>
      <c r="AK121" s="69">
        <v>0</v>
      </c>
      <c r="BB121" s="163" t="s">
        <v>1</v>
      </c>
      <c r="BM121" s="65">
        <f>IFERROR(X121*I121/H121,"0")</f>
        <v>0</v>
      </c>
      <c r="BN121" s="65">
        <f>IFERROR(Y121*I121/H121,"0")</f>
        <v>0</v>
      </c>
      <c r="BO121" s="65">
        <f>IFERROR(1/J121*(X121/H121),"0")</f>
        <v>0</v>
      </c>
      <c r="BP121" s="65">
        <f>IFERROR(1/J121*(Y121/H121),"0")</f>
        <v>0</v>
      </c>
    </row>
    <row r="122" spans="1:68" ht="27" customHeight="1" x14ac:dyDescent="0.25">
      <c r="A122" s="55" t="s">
        <v>219</v>
      </c>
      <c r="B122" s="55" t="s">
        <v>220</v>
      </c>
      <c r="C122" s="32">
        <v>4301032051</v>
      </c>
      <c r="D122" s="397">
        <v>4680115886742</v>
      </c>
      <c r="E122" s="398"/>
      <c r="F122" s="388">
        <v>7.0000000000000007E-2</v>
      </c>
      <c r="G122" s="33">
        <v>18</v>
      </c>
      <c r="H122" s="388">
        <v>1.26</v>
      </c>
      <c r="I122" s="388">
        <v>1.45</v>
      </c>
      <c r="J122" s="33">
        <v>216</v>
      </c>
      <c r="K122" s="33" t="s">
        <v>216</v>
      </c>
      <c r="L122" s="33"/>
      <c r="M122" s="34" t="s">
        <v>217</v>
      </c>
      <c r="N122" s="34"/>
      <c r="O122" s="33">
        <v>90</v>
      </c>
      <c r="P122" s="51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2" s="394"/>
      <c r="R122" s="394"/>
      <c r="S122" s="394"/>
      <c r="T122" s="395"/>
      <c r="U122" s="35"/>
      <c r="V122" s="35"/>
      <c r="W122" s="36" t="s">
        <v>71</v>
      </c>
      <c r="X122" s="389">
        <v>0</v>
      </c>
      <c r="Y122" s="390">
        <f>IFERROR(IF(X122="",0,CEILING((X122/$H122),1)*$H122),"")</f>
        <v>0</v>
      </c>
      <c r="Z122" s="37" t="str">
        <f>IFERROR(IF(Y122=0,"",ROUNDUP(Y122/H122,0)*0.0059),"")</f>
        <v/>
      </c>
      <c r="AA122" s="57"/>
      <c r="AB122" s="58"/>
      <c r="AC122" s="164" t="s">
        <v>221</v>
      </c>
      <c r="AG122" s="65"/>
      <c r="AJ122" s="69"/>
      <c r="AK122" s="69">
        <v>0</v>
      </c>
      <c r="BB122" s="16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222</v>
      </c>
      <c r="B123" s="55" t="s">
        <v>223</v>
      </c>
      <c r="C123" s="32">
        <v>4301032052</v>
      </c>
      <c r="D123" s="397">
        <v>4680115886766</v>
      </c>
      <c r="E123" s="398"/>
      <c r="F123" s="388">
        <v>7.0000000000000007E-2</v>
      </c>
      <c r="G123" s="33">
        <v>18</v>
      </c>
      <c r="H123" s="388">
        <v>1.26</v>
      </c>
      <c r="I123" s="388">
        <v>1.45</v>
      </c>
      <c r="J123" s="33">
        <v>216</v>
      </c>
      <c r="K123" s="33" t="s">
        <v>216</v>
      </c>
      <c r="L123" s="33"/>
      <c r="M123" s="34" t="s">
        <v>217</v>
      </c>
      <c r="N123" s="34"/>
      <c r="O123" s="33">
        <v>90</v>
      </c>
      <c r="P12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3" s="394"/>
      <c r="R123" s="394"/>
      <c r="S123" s="394"/>
      <c r="T123" s="395"/>
      <c r="U123" s="35"/>
      <c r="V123" s="35"/>
      <c r="W123" s="36" t="s">
        <v>71</v>
      </c>
      <c r="X123" s="389">
        <v>0</v>
      </c>
      <c r="Y123" s="390">
        <f>IFERROR(IF(X123="",0,CEILING((X123/$H123),1)*$H123),"")</f>
        <v>0</v>
      </c>
      <c r="Z123" s="37" t="str">
        <f>IFERROR(IF(Y123=0,"",ROUNDUP(Y123/H123,0)*0.0059),"")</f>
        <v/>
      </c>
      <c r="AA123" s="57"/>
      <c r="AB123" s="58"/>
      <c r="AC123" s="166" t="s">
        <v>221</v>
      </c>
      <c r="AG123" s="65"/>
      <c r="AJ123" s="69"/>
      <c r="AK123" s="69">
        <v>0</v>
      </c>
      <c r="BB123" s="16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x14ac:dyDescent="0.2">
      <c r="A124" s="418"/>
      <c r="B124" s="408"/>
      <c r="C124" s="408"/>
      <c r="D124" s="408"/>
      <c r="E124" s="408"/>
      <c r="F124" s="408"/>
      <c r="G124" s="408"/>
      <c r="H124" s="408"/>
      <c r="I124" s="408"/>
      <c r="J124" s="408"/>
      <c r="K124" s="408"/>
      <c r="L124" s="408"/>
      <c r="M124" s="408"/>
      <c r="N124" s="408"/>
      <c r="O124" s="419"/>
      <c r="P124" s="401" t="s">
        <v>76</v>
      </c>
      <c r="Q124" s="402"/>
      <c r="R124" s="402"/>
      <c r="S124" s="402"/>
      <c r="T124" s="402"/>
      <c r="U124" s="402"/>
      <c r="V124" s="403"/>
      <c r="W124" s="38" t="s">
        <v>77</v>
      </c>
      <c r="X124" s="391">
        <f>IFERROR(X121/H121,"0")+IFERROR(X122/H122,"0")+IFERROR(X123/H123,"0")</f>
        <v>0</v>
      </c>
      <c r="Y124" s="391">
        <f>IFERROR(Y121/H121,"0")+IFERROR(Y122/H122,"0")+IFERROR(Y123/H123,"0")</f>
        <v>0</v>
      </c>
      <c r="Z124" s="391">
        <f>IFERROR(IF(Z121="",0,Z121),"0")+IFERROR(IF(Z122="",0,Z122),"0")+IFERROR(IF(Z123="",0,Z123),"0")</f>
        <v>0</v>
      </c>
      <c r="AA124" s="392"/>
      <c r="AB124" s="392"/>
      <c r="AC124" s="392"/>
    </row>
    <row r="125" spans="1:68" x14ac:dyDescent="0.2">
      <c r="A125" s="408"/>
      <c r="B125" s="408"/>
      <c r="C125" s="408"/>
      <c r="D125" s="408"/>
      <c r="E125" s="408"/>
      <c r="F125" s="408"/>
      <c r="G125" s="408"/>
      <c r="H125" s="408"/>
      <c r="I125" s="408"/>
      <c r="J125" s="408"/>
      <c r="K125" s="408"/>
      <c r="L125" s="408"/>
      <c r="M125" s="408"/>
      <c r="N125" s="408"/>
      <c r="O125" s="419"/>
      <c r="P125" s="401" t="s">
        <v>76</v>
      </c>
      <c r="Q125" s="402"/>
      <c r="R125" s="402"/>
      <c r="S125" s="402"/>
      <c r="T125" s="402"/>
      <c r="U125" s="402"/>
      <c r="V125" s="403"/>
      <c r="W125" s="38" t="s">
        <v>71</v>
      </c>
      <c r="X125" s="391">
        <f>IFERROR(SUM(X121:X123),"0")</f>
        <v>0</v>
      </c>
      <c r="Y125" s="391">
        <f>IFERROR(SUM(Y121:Y123),"0")</f>
        <v>0</v>
      </c>
      <c r="Z125" s="38"/>
      <c r="AA125" s="392"/>
      <c r="AB125" s="392"/>
      <c r="AC125" s="392"/>
    </row>
    <row r="126" spans="1:68" ht="14.25" customHeight="1" x14ac:dyDescent="0.25">
      <c r="A126" s="410" t="s">
        <v>224</v>
      </c>
      <c r="B126" s="408"/>
      <c r="C126" s="408"/>
      <c r="D126" s="408"/>
      <c r="E126" s="408"/>
      <c r="F126" s="408"/>
      <c r="G126" s="408"/>
      <c r="H126" s="408"/>
      <c r="I126" s="408"/>
      <c r="J126" s="408"/>
      <c r="K126" s="408"/>
      <c r="L126" s="408"/>
      <c r="M126" s="408"/>
      <c r="N126" s="408"/>
      <c r="O126" s="408"/>
      <c r="P126" s="408"/>
      <c r="Q126" s="408"/>
      <c r="R126" s="408"/>
      <c r="S126" s="408"/>
      <c r="T126" s="408"/>
      <c r="U126" s="408"/>
      <c r="V126" s="408"/>
      <c r="W126" s="408"/>
      <c r="X126" s="408"/>
      <c r="Y126" s="408"/>
      <c r="Z126" s="408"/>
      <c r="AA126" s="383"/>
      <c r="AB126" s="383"/>
      <c r="AC126" s="383"/>
    </row>
    <row r="127" spans="1:68" ht="27" customHeight="1" x14ac:dyDescent="0.25">
      <c r="A127" s="55" t="s">
        <v>225</v>
      </c>
      <c r="B127" s="55" t="s">
        <v>226</v>
      </c>
      <c r="C127" s="32">
        <v>4301170013</v>
      </c>
      <c r="D127" s="397">
        <v>4680115886797</v>
      </c>
      <c r="E127" s="398"/>
      <c r="F127" s="388">
        <v>7.0000000000000007E-2</v>
      </c>
      <c r="G127" s="33">
        <v>18</v>
      </c>
      <c r="H127" s="388">
        <v>1.26</v>
      </c>
      <c r="I127" s="388">
        <v>1.45</v>
      </c>
      <c r="J127" s="33">
        <v>216</v>
      </c>
      <c r="K127" s="33" t="s">
        <v>216</v>
      </c>
      <c r="L127" s="33"/>
      <c r="M127" s="34" t="s">
        <v>217</v>
      </c>
      <c r="N127" s="34"/>
      <c r="O127" s="33">
        <v>90</v>
      </c>
      <c r="P127" s="6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7" s="394"/>
      <c r="R127" s="394"/>
      <c r="S127" s="394"/>
      <c r="T127" s="395"/>
      <c r="U127" s="35"/>
      <c r="V127" s="35"/>
      <c r="W127" s="36" t="s">
        <v>71</v>
      </c>
      <c r="X127" s="389">
        <v>0</v>
      </c>
      <c r="Y127" s="390">
        <f>IFERROR(IF(X127="",0,CEILING((X127/$H127),1)*$H127),"")</f>
        <v>0</v>
      </c>
      <c r="Z127" s="37" t="str">
        <f>IFERROR(IF(Y127=0,"",ROUNDUP(Y127/H127,0)*0.0059),"")</f>
        <v/>
      </c>
      <c r="AA127" s="57"/>
      <c r="AB127" s="58"/>
      <c r="AC127" s="168" t="s">
        <v>221</v>
      </c>
      <c r="AG127" s="65"/>
      <c r="AJ127" s="69"/>
      <c r="AK127" s="69">
        <v>0</v>
      </c>
      <c r="BB127" s="169" t="s">
        <v>1</v>
      </c>
      <c r="BM127" s="65">
        <f>IFERROR(X127*I127/H127,"0")</f>
        <v>0</v>
      </c>
      <c r="BN127" s="65">
        <f>IFERROR(Y127*I127/H127,"0")</f>
        <v>0</v>
      </c>
      <c r="BO127" s="65">
        <f>IFERROR(1/J127*(X127/H127),"0")</f>
        <v>0</v>
      </c>
      <c r="BP127" s="65">
        <f>IFERROR(1/J127*(Y127/H127),"0")</f>
        <v>0</v>
      </c>
    </row>
    <row r="128" spans="1:68" x14ac:dyDescent="0.2">
      <c r="A128" s="418"/>
      <c r="B128" s="408"/>
      <c r="C128" s="408"/>
      <c r="D128" s="408"/>
      <c r="E128" s="408"/>
      <c r="F128" s="408"/>
      <c r="G128" s="408"/>
      <c r="H128" s="408"/>
      <c r="I128" s="408"/>
      <c r="J128" s="408"/>
      <c r="K128" s="408"/>
      <c r="L128" s="408"/>
      <c r="M128" s="408"/>
      <c r="N128" s="408"/>
      <c r="O128" s="419"/>
      <c r="P128" s="401" t="s">
        <v>76</v>
      </c>
      <c r="Q128" s="402"/>
      <c r="R128" s="402"/>
      <c r="S128" s="402"/>
      <c r="T128" s="402"/>
      <c r="U128" s="402"/>
      <c r="V128" s="403"/>
      <c r="W128" s="38" t="s">
        <v>77</v>
      </c>
      <c r="X128" s="391">
        <f>IFERROR(X127/H127,"0")</f>
        <v>0</v>
      </c>
      <c r="Y128" s="391">
        <f>IFERROR(Y127/H127,"0")</f>
        <v>0</v>
      </c>
      <c r="Z128" s="391">
        <f>IFERROR(IF(Z127="",0,Z127),"0")</f>
        <v>0</v>
      </c>
      <c r="AA128" s="392"/>
      <c r="AB128" s="392"/>
      <c r="AC128" s="392"/>
    </row>
    <row r="129" spans="1:68" x14ac:dyDescent="0.2">
      <c r="A129" s="408"/>
      <c r="B129" s="408"/>
      <c r="C129" s="408"/>
      <c r="D129" s="408"/>
      <c r="E129" s="408"/>
      <c r="F129" s="408"/>
      <c r="G129" s="408"/>
      <c r="H129" s="408"/>
      <c r="I129" s="408"/>
      <c r="J129" s="408"/>
      <c r="K129" s="408"/>
      <c r="L129" s="408"/>
      <c r="M129" s="408"/>
      <c r="N129" s="408"/>
      <c r="O129" s="419"/>
      <c r="P129" s="401" t="s">
        <v>76</v>
      </c>
      <c r="Q129" s="402"/>
      <c r="R129" s="402"/>
      <c r="S129" s="402"/>
      <c r="T129" s="402"/>
      <c r="U129" s="402"/>
      <c r="V129" s="403"/>
      <c r="W129" s="38" t="s">
        <v>71</v>
      </c>
      <c r="X129" s="391">
        <f>IFERROR(SUM(X127:X127),"0")</f>
        <v>0</v>
      </c>
      <c r="Y129" s="391">
        <f>IFERROR(SUM(Y127:Y127),"0")</f>
        <v>0</v>
      </c>
      <c r="Z129" s="38"/>
      <c r="AA129" s="392"/>
      <c r="AB129" s="392"/>
      <c r="AC129" s="392"/>
    </row>
    <row r="130" spans="1:68" ht="16.5" customHeight="1" x14ac:dyDescent="0.25">
      <c r="A130" s="407" t="s">
        <v>227</v>
      </c>
      <c r="B130" s="408"/>
      <c r="C130" s="408"/>
      <c r="D130" s="408"/>
      <c r="E130" s="408"/>
      <c r="F130" s="408"/>
      <c r="G130" s="408"/>
      <c r="H130" s="408"/>
      <c r="I130" s="408"/>
      <c r="J130" s="408"/>
      <c r="K130" s="408"/>
      <c r="L130" s="408"/>
      <c r="M130" s="408"/>
      <c r="N130" s="408"/>
      <c r="O130" s="408"/>
      <c r="P130" s="408"/>
      <c r="Q130" s="408"/>
      <c r="R130" s="408"/>
      <c r="S130" s="408"/>
      <c r="T130" s="408"/>
      <c r="U130" s="408"/>
      <c r="V130" s="408"/>
      <c r="W130" s="408"/>
      <c r="X130" s="408"/>
      <c r="Y130" s="408"/>
      <c r="Z130" s="408"/>
      <c r="AA130" s="385"/>
      <c r="AB130" s="385"/>
      <c r="AC130" s="385"/>
    </row>
    <row r="131" spans="1:68" ht="14.25" customHeight="1" x14ac:dyDescent="0.25">
      <c r="A131" s="410" t="s">
        <v>86</v>
      </c>
      <c r="B131" s="408"/>
      <c r="C131" s="408"/>
      <c r="D131" s="408"/>
      <c r="E131" s="408"/>
      <c r="F131" s="408"/>
      <c r="G131" s="408"/>
      <c r="H131" s="408"/>
      <c r="I131" s="408"/>
      <c r="J131" s="408"/>
      <c r="K131" s="408"/>
      <c r="L131" s="408"/>
      <c r="M131" s="408"/>
      <c r="N131" s="408"/>
      <c r="O131" s="408"/>
      <c r="P131" s="408"/>
      <c r="Q131" s="408"/>
      <c r="R131" s="408"/>
      <c r="S131" s="408"/>
      <c r="T131" s="408"/>
      <c r="U131" s="408"/>
      <c r="V131" s="408"/>
      <c r="W131" s="408"/>
      <c r="X131" s="408"/>
      <c r="Y131" s="408"/>
      <c r="Z131" s="408"/>
      <c r="AA131" s="383"/>
      <c r="AB131" s="383"/>
      <c r="AC131" s="383"/>
    </row>
    <row r="132" spans="1:68" ht="16.5" customHeight="1" x14ac:dyDescent="0.25">
      <c r="A132" s="55" t="s">
        <v>228</v>
      </c>
      <c r="B132" s="55" t="s">
        <v>229</v>
      </c>
      <c r="C132" s="32">
        <v>4301011450</v>
      </c>
      <c r="D132" s="397">
        <v>4680115881402</v>
      </c>
      <c r="E132" s="398"/>
      <c r="F132" s="388">
        <v>1.35</v>
      </c>
      <c r="G132" s="33">
        <v>8</v>
      </c>
      <c r="H132" s="388">
        <v>10.8</v>
      </c>
      <c r="I132" s="388">
        <v>11.234999999999999</v>
      </c>
      <c r="J132" s="33">
        <v>64</v>
      </c>
      <c r="K132" s="33" t="s">
        <v>89</v>
      </c>
      <c r="L132" s="33"/>
      <c r="M132" s="34" t="s">
        <v>90</v>
      </c>
      <c r="N132" s="34"/>
      <c r="O132" s="33">
        <v>55</v>
      </c>
      <c r="P132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2" s="394"/>
      <c r="R132" s="394"/>
      <c r="S132" s="394"/>
      <c r="T132" s="395"/>
      <c r="U132" s="35"/>
      <c r="V132" s="35"/>
      <c r="W132" s="36" t="s">
        <v>71</v>
      </c>
      <c r="X132" s="389">
        <v>0</v>
      </c>
      <c r="Y132" s="390">
        <f>IFERROR(IF(X132="",0,CEILING((X132/$H132),1)*$H132),"")</f>
        <v>0</v>
      </c>
      <c r="Z132" s="37" t="str">
        <f>IFERROR(IF(Y132=0,"",ROUNDUP(Y132/H132,0)*0.01898),"")</f>
        <v/>
      </c>
      <c r="AA132" s="57"/>
      <c r="AB132" s="58"/>
      <c r="AC132" s="170" t="s">
        <v>230</v>
      </c>
      <c r="AG132" s="65"/>
      <c r="AJ132" s="69"/>
      <c r="AK132" s="69">
        <v>0</v>
      </c>
      <c r="BB132" s="171" t="s">
        <v>1</v>
      </c>
      <c r="BM132" s="65">
        <f>IFERROR(X132*I132/H132,"0")</f>
        <v>0</v>
      </c>
      <c r="BN132" s="65">
        <f>IFERROR(Y132*I132/H132,"0")</f>
        <v>0</v>
      </c>
      <c r="BO132" s="65">
        <f>IFERROR(1/J132*(X132/H132),"0")</f>
        <v>0</v>
      </c>
      <c r="BP132" s="65">
        <f>IFERROR(1/J132*(Y132/H132),"0")</f>
        <v>0</v>
      </c>
    </row>
    <row r="133" spans="1:68" ht="27" customHeight="1" x14ac:dyDescent="0.25">
      <c r="A133" s="55" t="s">
        <v>231</v>
      </c>
      <c r="B133" s="55" t="s">
        <v>232</v>
      </c>
      <c r="C133" s="32">
        <v>4301011768</v>
      </c>
      <c r="D133" s="397">
        <v>4680115881396</v>
      </c>
      <c r="E133" s="398"/>
      <c r="F133" s="388">
        <v>0.45</v>
      </c>
      <c r="G133" s="33">
        <v>6</v>
      </c>
      <c r="H133" s="388">
        <v>2.7</v>
      </c>
      <c r="I133" s="388">
        <v>2.88</v>
      </c>
      <c r="J133" s="33">
        <v>182</v>
      </c>
      <c r="K133" s="33" t="s">
        <v>69</v>
      </c>
      <c r="L133" s="33"/>
      <c r="M133" s="34" t="s">
        <v>90</v>
      </c>
      <c r="N133" s="34"/>
      <c r="O133" s="33">
        <v>55</v>
      </c>
      <c r="P133" s="6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3" s="394"/>
      <c r="R133" s="394"/>
      <c r="S133" s="394"/>
      <c r="T133" s="395"/>
      <c r="U133" s="35"/>
      <c r="V133" s="35"/>
      <c r="W133" s="36" t="s">
        <v>71</v>
      </c>
      <c r="X133" s="389">
        <v>0</v>
      </c>
      <c r="Y133" s="390">
        <f>IFERROR(IF(X133="",0,CEILING((X133/$H133),1)*$H133),"")</f>
        <v>0</v>
      </c>
      <c r="Z133" s="37" t="str">
        <f>IFERROR(IF(Y133=0,"",ROUNDUP(Y133/H133,0)*0.00651),"")</f>
        <v/>
      </c>
      <c r="AA133" s="57"/>
      <c r="AB133" s="58"/>
      <c r="AC133" s="172" t="s">
        <v>230</v>
      </c>
      <c r="AG133" s="65"/>
      <c r="AJ133" s="69"/>
      <c r="AK133" s="69">
        <v>0</v>
      </c>
      <c r="BB133" s="173" t="s">
        <v>1</v>
      </c>
      <c r="BM133" s="65">
        <f>IFERROR(X133*I133/H133,"0")</f>
        <v>0</v>
      </c>
      <c r="BN133" s="65">
        <f>IFERROR(Y133*I133/H133,"0")</f>
        <v>0</v>
      </c>
      <c r="BO133" s="65">
        <f>IFERROR(1/J133*(X133/H133),"0")</f>
        <v>0</v>
      </c>
      <c r="BP133" s="65">
        <f>IFERROR(1/J133*(Y133/H133),"0")</f>
        <v>0</v>
      </c>
    </row>
    <row r="134" spans="1:68" x14ac:dyDescent="0.2">
      <c r="A134" s="418"/>
      <c r="B134" s="408"/>
      <c r="C134" s="408"/>
      <c r="D134" s="408"/>
      <c r="E134" s="408"/>
      <c r="F134" s="408"/>
      <c r="G134" s="408"/>
      <c r="H134" s="408"/>
      <c r="I134" s="408"/>
      <c r="J134" s="408"/>
      <c r="K134" s="408"/>
      <c r="L134" s="408"/>
      <c r="M134" s="408"/>
      <c r="N134" s="408"/>
      <c r="O134" s="419"/>
      <c r="P134" s="401" t="s">
        <v>76</v>
      </c>
      <c r="Q134" s="402"/>
      <c r="R134" s="402"/>
      <c r="S134" s="402"/>
      <c r="T134" s="402"/>
      <c r="U134" s="402"/>
      <c r="V134" s="403"/>
      <c r="W134" s="38" t="s">
        <v>77</v>
      </c>
      <c r="X134" s="391">
        <f>IFERROR(X132/H132,"0")+IFERROR(X133/H133,"0")</f>
        <v>0</v>
      </c>
      <c r="Y134" s="391">
        <f>IFERROR(Y132/H132,"0")+IFERROR(Y133/H133,"0")</f>
        <v>0</v>
      </c>
      <c r="Z134" s="391">
        <f>IFERROR(IF(Z132="",0,Z132),"0")+IFERROR(IF(Z133="",0,Z133),"0")</f>
        <v>0</v>
      </c>
      <c r="AA134" s="392"/>
      <c r="AB134" s="392"/>
      <c r="AC134" s="392"/>
    </row>
    <row r="135" spans="1:68" x14ac:dyDescent="0.2">
      <c r="A135" s="408"/>
      <c r="B135" s="408"/>
      <c r="C135" s="408"/>
      <c r="D135" s="408"/>
      <c r="E135" s="408"/>
      <c r="F135" s="408"/>
      <c r="G135" s="408"/>
      <c r="H135" s="408"/>
      <c r="I135" s="408"/>
      <c r="J135" s="408"/>
      <c r="K135" s="408"/>
      <c r="L135" s="408"/>
      <c r="M135" s="408"/>
      <c r="N135" s="408"/>
      <c r="O135" s="419"/>
      <c r="P135" s="401" t="s">
        <v>76</v>
      </c>
      <c r="Q135" s="402"/>
      <c r="R135" s="402"/>
      <c r="S135" s="402"/>
      <c r="T135" s="402"/>
      <c r="U135" s="402"/>
      <c r="V135" s="403"/>
      <c r="W135" s="38" t="s">
        <v>71</v>
      </c>
      <c r="X135" s="391">
        <f>IFERROR(SUM(X132:X133),"0")</f>
        <v>0</v>
      </c>
      <c r="Y135" s="391">
        <f>IFERROR(SUM(Y132:Y133),"0")</f>
        <v>0</v>
      </c>
      <c r="Z135" s="38"/>
      <c r="AA135" s="392"/>
      <c r="AB135" s="392"/>
      <c r="AC135" s="392"/>
    </row>
    <row r="136" spans="1:68" ht="14.25" customHeight="1" x14ac:dyDescent="0.25">
      <c r="A136" s="410" t="s">
        <v>117</v>
      </c>
      <c r="B136" s="408"/>
      <c r="C136" s="408"/>
      <c r="D136" s="408"/>
      <c r="E136" s="408"/>
      <c r="F136" s="408"/>
      <c r="G136" s="408"/>
      <c r="H136" s="408"/>
      <c r="I136" s="408"/>
      <c r="J136" s="408"/>
      <c r="K136" s="408"/>
      <c r="L136" s="408"/>
      <c r="M136" s="408"/>
      <c r="N136" s="408"/>
      <c r="O136" s="408"/>
      <c r="P136" s="408"/>
      <c r="Q136" s="408"/>
      <c r="R136" s="408"/>
      <c r="S136" s="408"/>
      <c r="T136" s="408"/>
      <c r="U136" s="408"/>
      <c r="V136" s="408"/>
      <c r="W136" s="408"/>
      <c r="X136" s="408"/>
      <c r="Y136" s="408"/>
      <c r="Z136" s="408"/>
      <c r="AA136" s="383"/>
      <c r="AB136" s="383"/>
      <c r="AC136" s="383"/>
    </row>
    <row r="137" spans="1:68" ht="16.5" customHeight="1" x14ac:dyDescent="0.25">
      <c r="A137" s="55" t="s">
        <v>233</v>
      </c>
      <c r="B137" s="55" t="s">
        <v>234</v>
      </c>
      <c r="C137" s="32">
        <v>4301020262</v>
      </c>
      <c r="D137" s="397">
        <v>4680115882935</v>
      </c>
      <c r="E137" s="398"/>
      <c r="F137" s="388">
        <v>1.35</v>
      </c>
      <c r="G137" s="33">
        <v>8</v>
      </c>
      <c r="H137" s="388">
        <v>10.8</v>
      </c>
      <c r="I137" s="388">
        <v>11.234999999999999</v>
      </c>
      <c r="J137" s="33">
        <v>64</v>
      </c>
      <c r="K137" s="33" t="s">
        <v>89</v>
      </c>
      <c r="L137" s="33"/>
      <c r="M137" s="34" t="s">
        <v>95</v>
      </c>
      <c r="N137" s="34"/>
      <c r="O137" s="33">
        <v>50</v>
      </c>
      <c r="P137" s="4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7" s="394"/>
      <c r="R137" s="394"/>
      <c r="S137" s="394"/>
      <c r="T137" s="395"/>
      <c r="U137" s="35"/>
      <c r="V137" s="35"/>
      <c r="W137" s="36" t="s">
        <v>71</v>
      </c>
      <c r="X137" s="389">
        <v>60</v>
      </c>
      <c r="Y137" s="390">
        <f>IFERROR(IF(X137="",0,CEILING((X137/$H137),1)*$H137),"")</f>
        <v>64.800000000000011</v>
      </c>
      <c r="Z137" s="37">
        <f>IFERROR(IF(Y137=0,"",ROUNDUP(Y137/H137,0)*0.01898),"")</f>
        <v>0.11388000000000001</v>
      </c>
      <c r="AA137" s="57"/>
      <c r="AB137" s="58"/>
      <c r="AC137" s="174" t="s">
        <v>235</v>
      </c>
      <c r="AG137" s="65"/>
      <c r="AJ137" s="69"/>
      <c r="AK137" s="69">
        <v>0</v>
      </c>
      <c r="BB137" s="175" t="s">
        <v>1</v>
      </c>
      <c r="BM137" s="65">
        <f>IFERROR(X137*I137/H137,"0")</f>
        <v>62.416666666666657</v>
      </c>
      <c r="BN137" s="65">
        <f>IFERROR(Y137*I137/H137,"0")</f>
        <v>67.410000000000011</v>
      </c>
      <c r="BO137" s="65">
        <f>IFERROR(1/J137*(X137/H137),"0")</f>
        <v>8.6805555555555552E-2</v>
      </c>
      <c r="BP137" s="65">
        <f>IFERROR(1/J137*(Y137/H137),"0")</f>
        <v>9.3750000000000014E-2</v>
      </c>
    </row>
    <row r="138" spans="1:68" ht="16.5" customHeight="1" x14ac:dyDescent="0.25">
      <c r="A138" s="55" t="s">
        <v>236</v>
      </c>
      <c r="B138" s="55" t="s">
        <v>237</v>
      </c>
      <c r="C138" s="32">
        <v>4301020220</v>
      </c>
      <c r="D138" s="397">
        <v>4680115880764</v>
      </c>
      <c r="E138" s="398"/>
      <c r="F138" s="388">
        <v>0.35</v>
      </c>
      <c r="G138" s="33">
        <v>6</v>
      </c>
      <c r="H138" s="388">
        <v>2.1</v>
      </c>
      <c r="I138" s="388">
        <v>2.2799999999999998</v>
      </c>
      <c r="J138" s="33">
        <v>182</v>
      </c>
      <c r="K138" s="33" t="s">
        <v>69</v>
      </c>
      <c r="L138" s="33"/>
      <c r="M138" s="34" t="s">
        <v>90</v>
      </c>
      <c r="N138" s="34"/>
      <c r="O138" s="33">
        <v>50</v>
      </c>
      <c r="P138" s="5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8" s="394"/>
      <c r="R138" s="394"/>
      <c r="S138" s="394"/>
      <c r="T138" s="395"/>
      <c r="U138" s="35"/>
      <c r="V138" s="35"/>
      <c r="W138" s="36" t="s">
        <v>71</v>
      </c>
      <c r="X138" s="389">
        <v>0</v>
      </c>
      <c r="Y138" s="390">
        <f>IFERROR(IF(X138="",0,CEILING((X138/$H138),1)*$H138),"")</f>
        <v>0</v>
      </c>
      <c r="Z138" s="37" t="str">
        <f>IFERROR(IF(Y138=0,"",ROUNDUP(Y138/H138,0)*0.00651),"")</f>
        <v/>
      </c>
      <c r="AA138" s="57"/>
      <c r="AB138" s="58"/>
      <c r="AC138" s="176" t="s">
        <v>235</v>
      </c>
      <c r="AG138" s="65"/>
      <c r="AJ138" s="69"/>
      <c r="AK138" s="69">
        <v>0</v>
      </c>
      <c r="BB138" s="177" t="s">
        <v>1</v>
      </c>
      <c r="BM138" s="65">
        <f>IFERROR(X138*I138/H138,"0")</f>
        <v>0</v>
      </c>
      <c r="BN138" s="65">
        <f>IFERROR(Y138*I138/H138,"0")</f>
        <v>0</v>
      </c>
      <c r="BO138" s="65">
        <f>IFERROR(1/J138*(X138/H138),"0")</f>
        <v>0</v>
      </c>
      <c r="BP138" s="65">
        <f>IFERROR(1/J138*(Y138/H138),"0")</f>
        <v>0</v>
      </c>
    </row>
    <row r="139" spans="1:68" x14ac:dyDescent="0.2">
      <c r="A139" s="418"/>
      <c r="B139" s="408"/>
      <c r="C139" s="408"/>
      <c r="D139" s="408"/>
      <c r="E139" s="408"/>
      <c r="F139" s="408"/>
      <c r="G139" s="408"/>
      <c r="H139" s="408"/>
      <c r="I139" s="408"/>
      <c r="J139" s="408"/>
      <c r="K139" s="408"/>
      <c r="L139" s="408"/>
      <c r="M139" s="408"/>
      <c r="N139" s="408"/>
      <c r="O139" s="419"/>
      <c r="P139" s="401" t="s">
        <v>76</v>
      </c>
      <c r="Q139" s="402"/>
      <c r="R139" s="402"/>
      <c r="S139" s="402"/>
      <c r="T139" s="402"/>
      <c r="U139" s="402"/>
      <c r="V139" s="403"/>
      <c r="W139" s="38" t="s">
        <v>77</v>
      </c>
      <c r="X139" s="391">
        <f>IFERROR(X137/H137,"0")+IFERROR(X138/H138,"0")</f>
        <v>5.5555555555555554</v>
      </c>
      <c r="Y139" s="391">
        <f>IFERROR(Y137/H137,"0")+IFERROR(Y138/H138,"0")</f>
        <v>6.0000000000000009</v>
      </c>
      <c r="Z139" s="391">
        <f>IFERROR(IF(Z137="",0,Z137),"0")+IFERROR(IF(Z138="",0,Z138),"0")</f>
        <v>0.11388000000000001</v>
      </c>
      <c r="AA139" s="392"/>
      <c r="AB139" s="392"/>
      <c r="AC139" s="392"/>
    </row>
    <row r="140" spans="1:68" x14ac:dyDescent="0.2">
      <c r="A140" s="408"/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19"/>
      <c r="P140" s="401" t="s">
        <v>76</v>
      </c>
      <c r="Q140" s="402"/>
      <c r="R140" s="402"/>
      <c r="S140" s="402"/>
      <c r="T140" s="402"/>
      <c r="U140" s="402"/>
      <c r="V140" s="403"/>
      <c r="W140" s="38" t="s">
        <v>71</v>
      </c>
      <c r="X140" s="391">
        <f>IFERROR(SUM(X137:X138),"0")</f>
        <v>60</v>
      </c>
      <c r="Y140" s="391">
        <f>IFERROR(SUM(Y137:Y138),"0")</f>
        <v>64.800000000000011</v>
      </c>
      <c r="Z140" s="38"/>
      <c r="AA140" s="392"/>
      <c r="AB140" s="392"/>
      <c r="AC140" s="392"/>
    </row>
    <row r="141" spans="1:68" ht="14.25" customHeight="1" x14ac:dyDescent="0.25">
      <c r="A141" s="410" t="s">
        <v>182</v>
      </c>
      <c r="B141" s="408"/>
      <c r="C141" s="408"/>
      <c r="D141" s="408"/>
      <c r="E141" s="408"/>
      <c r="F141" s="408"/>
      <c r="G141" s="408"/>
      <c r="H141" s="408"/>
      <c r="I141" s="408"/>
      <c r="J141" s="408"/>
      <c r="K141" s="408"/>
      <c r="L141" s="408"/>
      <c r="M141" s="408"/>
      <c r="N141" s="408"/>
      <c r="O141" s="408"/>
      <c r="P141" s="408"/>
      <c r="Q141" s="408"/>
      <c r="R141" s="408"/>
      <c r="S141" s="408"/>
      <c r="T141" s="408"/>
      <c r="U141" s="408"/>
      <c r="V141" s="408"/>
      <c r="W141" s="408"/>
      <c r="X141" s="408"/>
      <c r="Y141" s="408"/>
      <c r="Z141" s="408"/>
      <c r="AA141" s="383"/>
      <c r="AB141" s="383"/>
      <c r="AC141" s="383"/>
    </row>
    <row r="142" spans="1:68" ht="27" customHeight="1" x14ac:dyDescent="0.25">
      <c r="A142" s="55" t="s">
        <v>238</v>
      </c>
      <c r="B142" s="55" t="s">
        <v>239</v>
      </c>
      <c r="C142" s="32">
        <v>4301031224</v>
      </c>
      <c r="D142" s="397">
        <v>4680115882683</v>
      </c>
      <c r="E142" s="398"/>
      <c r="F142" s="388">
        <v>0.9</v>
      </c>
      <c r="G142" s="33">
        <v>6</v>
      </c>
      <c r="H142" s="388">
        <v>5.4</v>
      </c>
      <c r="I142" s="388">
        <v>5.61</v>
      </c>
      <c r="J142" s="33">
        <v>132</v>
      </c>
      <c r="K142" s="33" t="s">
        <v>94</v>
      </c>
      <c r="L142" s="33"/>
      <c r="M142" s="34" t="s">
        <v>70</v>
      </c>
      <c r="N142" s="34"/>
      <c r="O142" s="33">
        <v>40</v>
      </c>
      <c r="P142" s="4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2" s="394"/>
      <c r="R142" s="394"/>
      <c r="S142" s="394"/>
      <c r="T142" s="395"/>
      <c r="U142" s="35"/>
      <c r="V142" s="35"/>
      <c r="W142" s="36" t="s">
        <v>71</v>
      </c>
      <c r="X142" s="389">
        <v>65</v>
      </c>
      <c r="Y142" s="390">
        <f>IFERROR(IF(X142="",0,CEILING((X142/$H142),1)*$H142),"")</f>
        <v>70.2</v>
      </c>
      <c r="Z142" s="37">
        <f>IFERROR(IF(Y142=0,"",ROUNDUP(Y142/H142,0)*0.00902),"")</f>
        <v>0.11726</v>
      </c>
      <c r="AA142" s="57"/>
      <c r="AB142" s="58"/>
      <c r="AC142" s="178" t="s">
        <v>240</v>
      </c>
      <c r="AG142" s="65"/>
      <c r="AJ142" s="69"/>
      <c r="AK142" s="69">
        <v>0</v>
      </c>
      <c r="BB142" s="179" t="s">
        <v>1</v>
      </c>
      <c r="BM142" s="65">
        <f>IFERROR(X142*I142/H142,"0")</f>
        <v>67.527777777777786</v>
      </c>
      <c r="BN142" s="65">
        <f>IFERROR(Y142*I142/H142,"0")</f>
        <v>72.930000000000007</v>
      </c>
      <c r="BO142" s="65">
        <f>IFERROR(1/J142*(X142/H142),"0")</f>
        <v>9.1189674523007858E-2</v>
      </c>
      <c r="BP142" s="65">
        <f>IFERROR(1/J142*(Y142/H142),"0")</f>
        <v>9.8484848484848481E-2</v>
      </c>
    </row>
    <row r="143" spans="1:68" ht="27" customHeight="1" x14ac:dyDescent="0.25">
      <c r="A143" s="55" t="s">
        <v>241</v>
      </c>
      <c r="B143" s="55" t="s">
        <v>242</v>
      </c>
      <c r="C143" s="32">
        <v>4301031230</v>
      </c>
      <c r="D143" s="397">
        <v>4680115882690</v>
      </c>
      <c r="E143" s="398"/>
      <c r="F143" s="388">
        <v>0.9</v>
      </c>
      <c r="G143" s="33">
        <v>6</v>
      </c>
      <c r="H143" s="388">
        <v>5.4</v>
      </c>
      <c r="I143" s="388">
        <v>5.61</v>
      </c>
      <c r="J143" s="33">
        <v>132</v>
      </c>
      <c r="K143" s="33" t="s">
        <v>94</v>
      </c>
      <c r="L143" s="33"/>
      <c r="M143" s="34" t="s">
        <v>70</v>
      </c>
      <c r="N143" s="34"/>
      <c r="O143" s="33">
        <v>40</v>
      </c>
      <c r="P143" s="5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3" s="394"/>
      <c r="R143" s="394"/>
      <c r="S143" s="394"/>
      <c r="T143" s="395"/>
      <c r="U143" s="35"/>
      <c r="V143" s="35"/>
      <c r="W143" s="36" t="s">
        <v>71</v>
      </c>
      <c r="X143" s="389">
        <v>0</v>
      </c>
      <c r="Y143" s="390">
        <f>IFERROR(IF(X143="",0,CEILING((X143/$H143),1)*$H143),"")</f>
        <v>0</v>
      </c>
      <c r="Z143" s="37" t="str">
        <f>IFERROR(IF(Y143=0,"",ROUNDUP(Y143/H143,0)*0.00902),"")</f>
        <v/>
      </c>
      <c r="AA143" s="57"/>
      <c r="AB143" s="58"/>
      <c r="AC143" s="180" t="s">
        <v>243</v>
      </c>
      <c r="AG143" s="65"/>
      <c r="AJ143" s="69"/>
      <c r="AK143" s="69">
        <v>0</v>
      </c>
      <c r="BB143" s="181" t="s">
        <v>1</v>
      </c>
      <c r="BM143" s="65">
        <f>IFERROR(X143*I143/H143,"0")</f>
        <v>0</v>
      </c>
      <c r="BN143" s="65">
        <f>IFERROR(Y143*I143/H143,"0")</f>
        <v>0</v>
      </c>
      <c r="BO143" s="65">
        <f>IFERROR(1/J143*(X143/H143),"0")</f>
        <v>0</v>
      </c>
      <c r="BP143" s="65">
        <f>IFERROR(1/J143*(Y143/H143),"0")</f>
        <v>0</v>
      </c>
    </row>
    <row r="144" spans="1:68" ht="27" customHeight="1" x14ac:dyDescent="0.25">
      <c r="A144" s="55" t="s">
        <v>244</v>
      </c>
      <c r="B144" s="55" t="s">
        <v>245</v>
      </c>
      <c r="C144" s="32">
        <v>4301031220</v>
      </c>
      <c r="D144" s="397">
        <v>4680115882669</v>
      </c>
      <c r="E144" s="398"/>
      <c r="F144" s="388">
        <v>0.9</v>
      </c>
      <c r="G144" s="33">
        <v>6</v>
      </c>
      <c r="H144" s="388">
        <v>5.4</v>
      </c>
      <c r="I144" s="388">
        <v>5.61</v>
      </c>
      <c r="J144" s="33">
        <v>132</v>
      </c>
      <c r="K144" s="33" t="s">
        <v>94</v>
      </c>
      <c r="L144" s="33"/>
      <c r="M144" s="34" t="s">
        <v>70</v>
      </c>
      <c r="N144" s="34"/>
      <c r="O144" s="33">
        <v>40</v>
      </c>
      <c r="P144" s="3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4" s="394"/>
      <c r="R144" s="394"/>
      <c r="S144" s="394"/>
      <c r="T144" s="395"/>
      <c r="U144" s="35"/>
      <c r="V144" s="35"/>
      <c r="W144" s="36" t="s">
        <v>71</v>
      </c>
      <c r="X144" s="389">
        <v>0</v>
      </c>
      <c r="Y144" s="390">
        <f>IFERROR(IF(X144="",0,CEILING((X144/$H144),1)*$H144),"")</f>
        <v>0</v>
      </c>
      <c r="Z144" s="37" t="str">
        <f>IFERROR(IF(Y144=0,"",ROUNDUP(Y144/H144,0)*0.00902),"")</f>
        <v/>
      </c>
      <c r="AA144" s="57"/>
      <c r="AB144" s="58"/>
      <c r="AC144" s="182" t="s">
        <v>246</v>
      </c>
      <c r="AG144" s="65"/>
      <c r="AJ144" s="69"/>
      <c r="AK144" s="69">
        <v>0</v>
      </c>
      <c r="BB144" s="183" t="s">
        <v>1</v>
      </c>
      <c r="BM144" s="65">
        <f>IFERROR(X144*I144/H144,"0")</f>
        <v>0</v>
      </c>
      <c r="BN144" s="65">
        <f>IFERROR(Y144*I144/H144,"0")</f>
        <v>0</v>
      </c>
      <c r="BO144" s="65">
        <f>IFERROR(1/J144*(X144/H144),"0")</f>
        <v>0</v>
      </c>
      <c r="BP144" s="65">
        <f>IFERROR(1/J144*(Y144/H144),"0")</f>
        <v>0</v>
      </c>
    </row>
    <row r="145" spans="1:68" ht="27" customHeight="1" x14ac:dyDescent="0.25">
      <c r="A145" s="55" t="s">
        <v>247</v>
      </c>
      <c r="B145" s="55" t="s">
        <v>248</v>
      </c>
      <c r="C145" s="32">
        <v>4301031221</v>
      </c>
      <c r="D145" s="397">
        <v>4680115882676</v>
      </c>
      <c r="E145" s="398"/>
      <c r="F145" s="388">
        <v>0.9</v>
      </c>
      <c r="G145" s="33">
        <v>6</v>
      </c>
      <c r="H145" s="388">
        <v>5.4</v>
      </c>
      <c r="I145" s="388">
        <v>5.61</v>
      </c>
      <c r="J145" s="33">
        <v>132</v>
      </c>
      <c r="K145" s="33" t="s">
        <v>94</v>
      </c>
      <c r="L145" s="33"/>
      <c r="M145" s="34" t="s">
        <v>70</v>
      </c>
      <c r="N145" s="34"/>
      <c r="O145" s="33">
        <v>40</v>
      </c>
      <c r="P145" s="4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5" s="394"/>
      <c r="R145" s="394"/>
      <c r="S145" s="394"/>
      <c r="T145" s="395"/>
      <c r="U145" s="35"/>
      <c r="V145" s="35"/>
      <c r="W145" s="36" t="s">
        <v>71</v>
      </c>
      <c r="X145" s="389">
        <v>0</v>
      </c>
      <c r="Y145" s="390">
        <f>IFERROR(IF(X145="",0,CEILING((X145/$H145),1)*$H145),"")</f>
        <v>0</v>
      </c>
      <c r="Z145" s="37" t="str">
        <f>IFERROR(IF(Y145=0,"",ROUNDUP(Y145/H145,0)*0.00902),"")</f>
        <v/>
      </c>
      <c r="AA145" s="57"/>
      <c r="AB145" s="58"/>
      <c r="AC145" s="184" t="s">
        <v>249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x14ac:dyDescent="0.2">
      <c r="A146" s="418"/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08"/>
      <c r="O146" s="419"/>
      <c r="P146" s="401" t="s">
        <v>76</v>
      </c>
      <c r="Q146" s="402"/>
      <c r="R146" s="402"/>
      <c r="S146" s="402"/>
      <c r="T146" s="402"/>
      <c r="U146" s="402"/>
      <c r="V146" s="403"/>
      <c r="W146" s="38" t="s">
        <v>77</v>
      </c>
      <c r="X146" s="391">
        <f>IFERROR(X142/H142,"0")+IFERROR(X143/H143,"0")+IFERROR(X144/H144,"0")+IFERROR(X145/H145,"0")</f>
        <v>12.037037037037036</v>
      </c>
      <c r="Y146" s="391">
        <f>IFERROR(Y142/H142,"0")+IFERROR(Y143/H143,"0")+IFERROR(Y144/H144,"0")+IFERROR(Y145/H145,"0")</f>
        <v>13</v>
      </c>
      <c r="Z146" s="391">
        <f>IFERROR(IF(Z142="",0,Z142),"0")+IFERROR(IF(Z143="",0,Z143),"0")+IFERROR(IF(Z144="",0,Z144),"0")+IFERROR(IF(Z145="",0,Z145),"0")</f>
        <v>0.11726</v>
      </c>
      <c r="AA146" s="392"/>
      <c r="AB146" s="392"/>
      <c r="AC146" s="392"/>
    </row>
    <row r="147" spans="1:68" x14ac:dyDescent="0.2">
      <c r="A147" s="408"/>
      <c r="B147" s="408"/>
      <c r="C147" s="408"/>
      <c r="D147" s="408"/>
      <c r="E147" s="408"/>
      <c r="F147" s="408"/>
      <c r="G147" s="408"/>
      <c r="H147" s="408"/>
      <c r="I147" s="408"/>
      <c r="J147" s="408"/>
      <c r="K147" s="408"/>
      <c r="L147" s="408"/>
      <c r="M147" s="408"/>
      <c r="N147" s="408"/>
      <c r="O147" s="419"/>
      <c r="P147" s="401" t="s">
        <v>76</v>
      </c>
      <c r="Q147" s="402"/>
      <c r="R147" s="402"/>
      <c r="S147" s="402"/>
      <c r="T147" s="402"/>
      <c r="U147" s="402"/>
      <c r="V147" s="403"/>
      <c r="W147" s="38" t="s">
        <v>71</v>
      </c>
      <c r="X147" s="391">
        <f>IFERROR(SUM(X142:X145),"0")</f>
        <v>65</v>
      </c>
      <c r="Y147" s="391">
        <f>IFERROR(SUM(Y142:Y145),"0")</f>
        <v>70.2</v>
      </c>
      <c r="Z147" s="38"/>
      <c r="AA147" s="392"/>
      <c r="AB147" s="392"/>
      <c r="AC147" s="392"/>
    </row>
    <row r="148" spans="1:68" ht="14.25" customHeight="1" x14ac:dyDescent="0.25">
      <c r="A148" s="410" t="s">
        <v>66</v>
      </c>
      <c r="B148" s="408"/>
      <c r="C148" s="408"/>
      <c r="D148" s="408"/>
      <c r="E148" s="408"/>
      <c r="F148" s="408"/>
      <c r="G148" s="408"/>
      <c r="H148" s="408"/>
      <c r="I148" s="408"/>
      <c r="J148" s="408"/>
      <c r="K148" s="408"/>
      <c r="L148" s="408"/>
      <c r="M148" s="408"/>
      <c r="N148" s="408"/>
      <c r="O148" s="408"/>
      <c r="P148" s="408"/>
      <c r="Q148" s="408"/>
      <c r="R148" s="408"/>
      <c r="S148" s="408"/>
      <c r="T148" s="408"/>
      <c r="U148" s="408"/>
      <c r="V148" s="408"/>
      <c r="W148" s="408"/>
      <c r="X148" s="408"/>
      <c r="Y148" s="408"/>
      <c r="Z148" s="408"/>
      <c r="AA148" s="383"/>
      <c r="AB148" s="383"/>
      <c r="AC148" s="383"/>
    </row>
    <row r="149" spans="1:68" ht="27" customHeight="1" x14ac:dyDescent="0.25">
      <c r="A149" s="55" t="s">
        <v>250</v>
      </c>
      <c r="B149" s="55" t="s">
        <v>251</v>
      </c>
      <c r="C149" s="32">
        <v>4301051408</v>
      </c>
      <c r="D149" s="397">
        <v>4680115881594</v>
      </c>
      <c r="E149" s="398"/>
      <c r="F149" s="388">
        <v>1.35</v>
      </c>
      <c r="G149" s="33">
        <v>6</v>
      </c>
      <c r="H149" s="388">
        <v>8.1</v>
      </c>
      <c r="I149" s="388">
        <v>8.6189999999999998</v>
      </c>
      <c r="J149" s="33">
        <v>64</v>
      </c>
      <c r="K149" s="33" t="s">
        <v>89</v>
      </c>
      <c r="L149" s="33"/>
      <c r="M149" s="34" t="s">
        <v>95</v>
      </c>
      <c r="N149" s="34"/>
      <c r="O149" s="33">
        <v>40</v>
      </c>
      <c r="P149" s="6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49" s="394"/>
      <c r="R149" s="394"/>
      <c r="S149" s="394"/>
      <c r="T149" s="395"/>
      <c r="U149" s="35"/>
      <c r="V149" s="35"/>
      <c r="W149" s="36" t="s">
        <v>71</v>
      </c>
      <c r="X149" s="389">
        <v>0</v>
      </c>
      <c r="Y149" s="390">
        <f t="shared" ref="Y149:Y156" si="10">IFERROR(IF(X149="",0,CEILING((X149/$H149),1)*$H149),"")</f>
        <v>0</v>
      </c>
      <c r="Z149" s="37" t="str">
        <f>IFERROR(IF(Y149=0,"",ROUNDUP(Y149/H149,0)*0.01898),"")</f>
        <v/>
      </c>
      <c r="AA149" s="57"/>
      <c r="AB149" s="58"/>
      <c r="AC149" s="186" t="s">
        <v>252</v>
      </c>
      <c r="AG149" s="65"/>
      <c r="AJ149" s="69"/>
      <c r="AK149" s="69">
        <v>0</v>
      </c>
      <c r="BB149" s="187" t="s">
        <v>1</v>
      </c>
      <c r="BM149" s="65">
        <f t="shared" ref="BM149:BM156" si="11">IFERROR(X149*I149/H149,"0")</f>
        <v>0</v>
      </c>
      <c r="BN149" s="65">
        <f t="shared" ref="BN149:BN156" si="12">IFERROR(Y149*I149/H149,"0")</f>
        <v>0</v>
      </c>
      <c r="BO149" s="65">
        <f t="shared" ref="BO149:BO156" si="13">IFERROR(1/J149*(X149/H149),"0")</f>
        <v>0</v>
      </c>
      <c r="BP149" s="65">
        <f t="shared" ref="BP149:BP156" si="14">IFERROR(1/J149*(Y149/H149),"0")</f>
        <v>0</v>
      </c>
    </row>
    <row r="150" spans="1:68" ht="27" customHeight="1" x14ac:dyDescent="0.25">
      <c r="A150" s="55" t="s">
        <v>253</v>
      </c>
      <c r="B150" s="55" t="s">
        <v>254</v>
      </c>
      <c r="C150" s="32">
        <v>4301051411</v>
      </c>
      <c r="D150" s="397">
        <v>4680115881617</v>
      </c>
      <c r="E150" s="398"/>
      <c r="F150" s="388">
        <v>1.35</v>
      </c>
      <c r="G150" s="33">
        <v>6</v>
      </c>
      <c r="H150" s="388">
        <v>8.1</v>
      </c>
      <c r="I150" s="388">
        <v>8.6010000000000009</v>
      </c>
      <c r="J150" s="33">
        <v>64</v>
      </c>
      <c r="K150" s="33" t="s">
        <v>89</v>
      </c>
      <c r="L150" s="33"/>
      <c r="M150" s="34" t="s">
        <v>95</v>
      </c>
      <c r="N150" s="34"/>
      <c r="O150" s="33">
        <v>40</v>
      </c>
      <c r="P150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0" s="394"/>
      <c r="R150" s="394"/>
      <c r="S150" s="394"/>
      <c r="T150" s="395"/>
      <c r="U150" s="35"/>
      <c r="V150" s="35"/>
      <c r="W150" s="36" t="s">
        <v>71</v>
      </c>
      <c r="X150" s="389">
        <v>255</v>
      </c>
      <c r="Y150" s="390">
        <f t="shared" si="10"/>
        <v>259.2</v>
      </c>
      <c r="Z150" s="37">
        <f>IFERROR(IF(Y150=0,"",ROUNDUP(Y150/H150,0)*0.01898),"")</f>
        <v>0.60736000000000001</v>
      </c>
      <c r="AA150" s="57"/>
      <c r="AB150" s="58"/>
      <c r="AC150" s="188" t="s">
        <v>255</v>
      </c>
      <c r="AG150" s="65"/>
      <c r="AJ150" s="69"/>
      <c r="AK150" s="69">
        <v>0</v>
      </c>
      <c r="BB150" s="189" t="s">
        <v>1</v>
      </c>
      <c r="BM150" s="65">
        <f t="shared" si="11"/>
        <v>270.77222222222224</v>
      </c>
      <c r="BN150" s="65">
        <f t="shared" si="12"/>
        <v>275.23200000000003</v>
      </c>
      <c r="BO150" s="65">
        <f t="shared" si="13"/>
        <v>0.4918981481481482</v>
      </c>
      <c r="BP150" s="65">
        <f t="shared" si="14"/>
        <v>0.5</v>
      </c>
    </row>
    <row r="151" spans="1:68" ht="16.5" customHeight="1" x14ac:dyDescent="0.25">
      <c r="A151" s="55" t="s">
        <v>256</v>
      </c>
      <c r="B151" s="55" t="s">
        <v>257</v>
      </c>
      <c r="C151" s="32">
        <v>4301051656</v>
      </c>
      <c r="D151" s="397">
        <v>4680115880573</v>
      </c>
      <c r="E151" s="398"/>
      <c r="F151" s="388">
        <v>1.45</v>
      </c>
      <c r="G151" s="33">
        <v>6</v>
      </c>
      <c r="H151" s="388">
        <v>8.6999999999999993</v>
      </c>
      <c r="I151" s="388">
        <v>9.2189999999999994</v>
      </c>
      <c r="J151" s="33">
        <v>64</v>
      </c>
      <c r="K151" s="33" t="s">
        <v>89</v>
      </c>
      <c r="L151" s="33"/>
      <c r="M151" s="34" t="s">
        <v>95</v>
      </c>
      <c r="N151" s="34"/>
      <c r="O151" s="33">
        <v>45</v>
      </c>
      <c r="P151" s="6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1" s="394"/>
      <c r="R151" s="394"/>
      <c r="S151" s="394"/>
      <c r="T151" s="395"/>
      <c r="U151" s="35"/>
      <c r="V151" s="35"/>
      <c r="W151" s="36" t="s">
        <v>71</v>
      </c>
      <c r="X151" s="389">
        <v>210</v>
      </c>
      <c r="Y151" s="390">
        <f t="shared" si="10"/>
        <v>217.49999999999997</v>
      </c>
      <c r="Z151" s="37">
        <f>IFERROR(IF(Y151=0,"",ROUNDUP(Y151/H151,0)*0.01898),"")</f>
        <v>0.47450000000000003</v>
      </c>
      <c r="AA151" s="57"/>
      <c r="AB151" s="58"/>
      <c r="AC151" s="190" t="s">
        <v>258</v>
      </c>
      <c r="AG151" s="65"/>
      <c r="AJ151" s="69"/>
      <c r="AK151" s="69">
        <v>0</v>
      </c>
      <c r="BB151" s="191" t="s">
        <v>1</v>
      </c>
      <c r="BM151" s="65">
        <f t="shared" si="11"/>
        <v>222.52758620689656</v>
      </c>
      <c r="BN151" s="65">
        <f t="shared" si="12"/>
        <v>230.47499999999999</v>
      </c>
      <c r="BO151" s="65">
        <f t="shared" si="13"/>
        <v>0.37715517241379315</v>
      </c>
      <c r="BP151" s="65">
        <f t="shared" si="14"/>
        <v>0.390625</v>
      </c>
    </row>
    <row r="152" spans="1:68" ht="27" customHeight="1" x14ac:dyDescent="0.25">
      <c r="A152" s="55" t="s">
        <v>259</v>
      </c>
      <c r="B152" s="55" t="s">
        <v>260</v>
      </c>
      <c r="C152" s="32">
        <v>4301051407</v>
      </c>
      <c r="D152" s="397">
        <v>4680115882195</v>
      </c>
      <c r="E152" s="398"/>
      <c r="F152" s="388">
        <v>0.4</v>
      </c>
      <c r="G152" s="33">
        <v>6</v>
      </c>
      <c r="H152" s="388">
        <v>2.4</v>
      </c>
      <c r="I152" s="388">
        <v>2.67</v>
      </c>
      <c r="J152" s="33">
        <v>182</v>
      </c>
      <c r="K152" s="33" t="s">
        <v>69</v>
      </c>
      <c r="L152" s="33"/>
      <c r="M152" s="34" t="s">
        <v>95</v>
      </c>
      <c r="N152" s="34"/>
      <c r="O152" s="33">
        <v>40</v>
      </c>
      <c r="P152" s="4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2" s="394"/>
      <c r="R152" s="394"/>
      <c r="S152" s="394"/>
      <c r="T152" s="395"/>
      <c r="U152" s="35"/>
      <c r="V152" s="35"/>
      <c r="W152" s="36" t="s">
        <v>71</v>
      </c>
      <c r="X152" s="389">
        <v>0</v>
      </c>
      <c r="Y152" s="390">
        <f t="shared" si="10"/>
        <v>0</v>
      </c>
      <c r="Z152" s="37" t="str">
        <f>IFERROR(IF(Y152=0,"",ROUNDUP(Y152/H152,0)*0.00651),"")</f>
        <v/>
      </c>
      <c r="AA152" s="57"/>
      <c r="AB152" s="58"/>
      <c r="AC152" s="192" t="s">
        <v>252</v>
      </c>
      <c r="AG152" s="65"/>
      <c r="AJ152" s="69"/>
      <c r="AK152" s="69">
        <v>0</v>
      </c>
      <c r="BB152" s="193" t="s">
        <v>1</v>
      </c>
      <c r="BM152" s="65">
        <f t="shared" si="11"/>
        <v>0</v>
      </c>
      <c r="BN152" s="65">
        <f t="shared" si="12"/>
        <v>0</v>
      </c>
      <c r="BO152" s="65">
        <f t="shared" si="13"/>
        <v>0</v>
      </c>
      <c r="BP152" s="65">
        <f t="shared" si="14"/>
        <v>0</v>
      </c>
    </row>
    <row r="153" spans="1:68" ht="27" customHeight="1" x14ac:dyDescent="0.25">
      <c r="A153" s="55" t="s">
        <v>261</v>
      </c>
      <c r="B153" s="55" t="s">
        <v>262</v>
      </c>
      <c r="C153" s="32">
        <v>4301051752</v>
      </c>
      <c r="D153" s="397">
        <v>4680115882607</v>
      </c>
      <c r="E153" s="398"/>
      <c r="F153" s="388">
        <v>0.3</v>
      </c>
      <c r="G153" s="33">
        <v>6</v>
      </c>
      <c r="H153" s="388">
        <v>1.8</v>
      </c>
      <c r="I153" s="388">
        <v>2.052</v>
      </c>
      <c r="J153" s="33">
        <v>182</v>
      </c>
      <c r="K153" s="33" t="s">
        <v>69</v>
      </c>
      <c r="L153" s="33"/>
      <c r="M153" s="34" t="s">
        <v>112</v>
      </c>
      <c r="N153" s="34"/>
      <c r="O153" s="33">
        <v>45</v>
      </c>
      <c r="P153" s="53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3" s="394"/>
      <c r="R153" s="394"/>
      <c r="S153" s="394"/>
      <c r="T153" s="395"/>
      <c r="U153" s="35"/>
      <c r="V153" s="35"/>
      <c r="W153" s="36" t="s">
        <v>71</v>
      </c>
      <c r="X153" s="389">
        <v>0</v>
      </c>
      <c r="Y153" s="390">
        <f t="shared" si="10"/>
        <v>0</v>
      </c>
      <c r="Z153" s="37" t="str">
        <f>IFERROR(IF(Y153=0,"",ROUNDUP(Y153/H153,0)*0.00651),"")</f>
        <v/>
      </c>
      <c r="AA153" s="57"/>
      <c r="AB153" s="58"/>
      <c r="AC153" s="194" t="s">
        <v>263</v>
      </c>
      <c r="AG153" s="65"/>
      <c r="AJ153" s="69"/>
      <c r="AK153" s="69">
        <v>0</v>
      </c>
      <c r="BB153" s="195" t="s">
        <v>1</v>
      </c>
      <c r="BM153" s="65">
        <f t="shared" si="11"/>
        <v>0</v>
      </c>
      <c r="BN153" s="65">
        <f t="shared" si="12"/>
        <v>0</v>
      </c>
      <c r="BO153" s="65">
        <f t="shared" si="13"/>
        <v>0</v>
      </c>
      <c r="BP153" s="65">
        <f t="shared" si="14"/>
        <v>0</v>
      </c>
    </row>
    <row r="154" spans="1:68" ht="27" customHeight="1" x14ac:dyDescent="0.25">
      <c r="A154" s="55" t="s">
        <v>264</v>
      </c>
      <c r="B154" s="55" t="s">
        <v>265</v>
      </c>
      <c r="C154" s="32">
        <v>4301051666</v>
      </c>
      <c r="D154" s="397">
        <v>4680115880092</v>
      </c>
      <c r="E154" s="398"/>
      <c r="F154" s="388">
        <v>0.4</v>
      </c>
      <c r="G154" s="33">
        <v>6</v>
      </c>
      <c r="H154" s="388">
        <v>2.4</v>
      </c>
      <c r="I154" s="388">
        <v>2.6520000000000001</v>
      </c>
      <c r="J154" s="33">
        <v>182</v>
      </c>
      <c r="K154" s="33" t="s">
        <v>69</v>
      </c>
      <c r="L154" s="33"/>
      <c r="M154" s="34" t="s">
        <v>95</v>
      </c>
      <c r="N154" s="34"/>
      <c r="O154" s="33">
        <v>45</v>
      </c>
      <c r="P154" s="5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4" s="394"/>
      <c r="R154" s="394"/>
      <c r="S154" s="394"/>
      <c r="T154" s="395"/>
      <c r="U154" s="35"/>
      <c r="V154" s="35"/>
      <c r="W154" s="36" t="s">
        <v>71</v>
      </c>
      <c r="X154" s="389">
        <v>85</v>
      </c>
      <c r="Y154" s="390">
        <f t="shared" si="10"/>
        <v>86.399999999999991</v>
      </c>
      <c r="Z154" s="37">
        <f>IFERROR(IF(Y154=0,"",ROUNDUP(Y154/H154,0)*0.00651),"")</f>
        <v>0.23436000000000001</v>
      </c>
      <c r="AA154" s="57"/>
      <c r="AB154" s="58"/>
      <c r="AC154" s="196" t="s">
        <v>258</v>
      </c>
      <c r="AG154" s="65"/>
      <c r="AJ154" s="69"/>
      <c r="AK154" s="69">
        <v>0</v>
      </c>
      <c r="BB154" s="197" t="s">
        <v>1</v>
      </c>
      <c r="BM154" s="65">
        <f t="shared" si="11"/>
        <v>93.925000000000011</v>
      </c>
      <c r="BN154" s="65">
        <f t="shared" si="12"/>
        <v>95.472000000000008</v>
      </c>
      <c r="BO154" s="65">
        <f t="shared" si="13"/>
        <v>0.19459706959706963</v>
      </c>
      <c r="BP154" s="65">
        <f t="shared" si="14"/>
        <v>0.19780219780219782</v>
      </c>
    </row>
    <row r="155" spans="1:68" ht="27" customHeight="1" x14ac:dyDescent="0.25">
      <c r="A155" s="55" t="s">
        <v>266</v>
      </c>
      <c r="B155" s="55" t="s">
        <v>267</v>
      </c>
      <c r="C155" s="32">
        <v>4301051668</v>
      </c>
      <c r="D155" s="397">
        <v>4680115880221</v>
      </c>
      <c r="E155" s="398"/>
      <c r="F155" s="388">
        <v>0.4</v>
      </c>
      <c r="G155" s="33">
        <v>6</v>
      </c>
      <c r="H155" s="388">
        <v>2.4</v>
      </c>
      <c r="I155" s="388">
        <v>2.6520000000000001</v>
      </c>
      <c r="J155" s="33">
        <v>182</v>
      </c>
      <c r="K155" s="33" t="s">
        <v>69</v>
      </c>
      <c r="L155" s="33"/>
      <c r="M155" s="34" t="s">
        <v>95</v>
      </c>
      <c r="N155" s="34"/>
      <c r="O155" s="33">
        <v>45</v>
      </c>
      <c r="P155" s="4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5" s="394"/>
      <c r="R155" s="394"/>
      <c r="S155" s="394"/>
      <c r="T155" s="395"/>
      <c r="U155" s="35"/>
      <c r="V155" s="35"/>
      <c r="W155" s="36" t="s">
        <v>71</v>
      </c>
      <c r="X155" s="389">
        <v>50</v>
      </c>
      <c r="Y155" s="390">
        <f t="shared" si="10"/>
        <v>50.4</v>
      </c>
      <c r="Z155" s="37">
        <f>IFERROR(IF(Y155=0,"",ROUNDUP(Y155/H155,0)*0.00651),"")</f>
        <v>0.13671</v>
      </c>
      <c r="AA155" s="57"/>
      <c r="AB155" s="58"/>
      <c r="AC155" s="198" t="s">
        <v>258</v>
      </c>
      <c r="AG155" s="65"/>
      <c r="AJ155" s="69"/>
      <c r="AK155" s="69">
        <v>0</v>
      </c>
      <c r="BB155" s="199" t="s">
        <v>1</v>
      </c>
      <c r="BM155" s="65">
        <f t="shared" si="11"/>
        <v>55.25</v>
      </c>
      <c r="BN155" s="65">
        <f t="shared" si="12"/>
        <v>55.692</v>
      </c>
      <c r="BO155" s="65">
        <f t="shared" si="13"/>
        <v>0.11446886446886449</v>
      </c>
      <c r="BP155" s="65">
        <f t="shared" si="14"/>
        <v>0.11538461538461539</v>
      </c>
    </row>
    <row r="156" spans="1:68" ht="27" customHeight="1" x14ac:dyDescent="0.25">
      <c r="A156" s="55" t="s">
        <v>268</v>
      </c>
      <c r="B156" s="55" t="s">
        <v>269</v>
      </c>
      <c r="C156" s="32">
        <v>4301051410</v>
      </c>
      <c r="D156" s="397">
        <v>4680115882164</v>
      </c>
      <c r="E156" s="398"/>
      <c r="F156" s="388">
        <v>0.4</v>
      </c>
      <c r="G156" s="33">
        <v>6</v>
      </c>
      <c r="H156" s="388">
        <v>2.4</v>
      </c>
      <c r="I156" s="388">
        <v>2.6579999999999999</v>
      </c>
      <c r="J156" s="33">
        <v>182</v>
      </c>
      <c r="K156" s="33" t="s">
        <v>69</v>
      </c>
      <c r="L156" s="33"/>
      <c r="M156" s="34" t="s">
        <v>95</v>
      </c>
      <c r="N156" s="34"/>
      <c r="O156" s="33">
        <v>40</v>
      </c>
      <c r="P156" s="5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6" s="394"/>
      <c r="R156" s="394"/>
      <c r="S156" s="394"/>
      <c r="T156" s="395"/>
      <c r="U156" s="35"/>
      <c r="V156" s="35"/>
      <c r="W156" s="36" t="s">
        <v>71</v>
      </c>
      <c r="X156" s="389">
        <v>0</v>
      </c>
      <c r="Y156" s="390">
        <f t="shared" si="10"/>
        <v>0</v>
      </c>
      <c r="Z156" s="37" t="str">
        <f>IFERROR(IF(Y156=0,"",ROUNDUP(Y156/H156,0)*0.00651),"")</f>
        <v/>
      </c>
      <c r="AA156" s="57"/>
      <c r="AB156" s="58"/>
      <c r="AC156" s="200" t="s">
        <v>255</v>
      </c>
      <c r="AG156" s="65"/>
      <c r="AJ156" s="69"/>
      <c r="AK156" s="69">
        <v>0</v>
      </c>
      <c r="BB156" s="201" t="s">
        <v>1</v>
      </c>
      <c r="BM156" s="65">
        <f t="shared" si="11"/>
        <v>0</v>
      </c>
      <c r="BN156" s="65">
        <f t="shared" si="12"/>
        <v>0</v>
      </c>
      <c r="BO156" s="65">
        <f t="shared" si="13"/>
        <v>0</v>
      </c>
      <c r="BP156" s="65">
        <f t="shared" si="14"/>
        <v>0</v>
      </c>
    </row>
    <row r="157" spans="1:68" x14ac:dyDescent="0.2">
      <c r="A157" s="418"/>
      <c r="B157" s="408"/>
      <c r="C157" s="408"/>
      <c r="D157" s="408"/>
      <c r="E157" s="408"/>
      <c r="F157" s="408"/>
      <c r="G157" s="408"/>
      <c r="H157" s="408"/>
      <c r="I157" s="408"/>
      <c r="J157" s="408"/>
      <c r="K157" s="408"/>
      <c r="L157" s="408"/>
      <c r="M157" s="408"/>
      <c r="N157" s="408"/>
      <c r="O157" s="419"/>
      <c r="P157" s="401" t="s">
        <v>76</v>
      </c>
      <c r="Q157" s="402"/>
      <c r="R157" s="402"/>
      <c r="S157" s="402"/>
      <c r="T157" s="402"/>
      <c r="U157" s="402"/>
      <c r="V157" s="403"/>
      <c r="W157" s="38" t="s">
        <v>77</v>
      </c>
      <c r="X157" s="391">
        <f>IFERROR(X149/H149,"0")+IFERROR(X150/H150,"0")+IFERROR(X151/H151,"0")+IFERROR(X152/H152,"0")+IFERROR(X153/H153,"0")+IFERROR(X154/H154,"0")+IFERROR(X155/H155,"0")+IFERROR(X156/H156,"0")</f>
        <v>111.86941251596426</v>
      </c>
      <c r="Y157" s="391">
        <f>IFERROR(Y149/H149,"0")+IFERROR(Y150/H150,"0")+IFERROR(Y151/H151,"0")+IFERROR(Y152/H152,"0")+IFERROR(Y153/H153,"0")+IFERROR(Y154/H154,"0")+IFERROR(Y155/H155,"0")+IFERROR(Y156/H156,"0")</f>
        <v>114</v>
      </c>
      <c r="Z157" s="391">
        <f>IFERROR(IF(Z149="",0,Z149),"0")+IFERROR(IF(Z150="",0,Z150),"0")+IFERROR(IF(Z151="",0,Z151),"0")+IFERROR(IF(Z152="",0,Z152),"0")+IFERROR(IF(Z153="",0,Z153),"0")+IFERROR(IF(Z154="",0,Z154),"0")+IFERROR(IF(Z155="",0,Z155),"0")+IFERROR(IF(Z156="",0,Z156),"0")</f>
        <v>1.4529299999999998</v>
      </c>
      <c r="AA157" s="392"/>
      <c r="AB157" s="392"/>
      <c r="AC157" s="392"/>
    </row>
    <row r="158" spans="1:68" x14ac:dyDescent="0.2">
      <c r="A158" s="408"/>
      <c r="B158" s="408"/>
      <c r="C158" s="408"/>
      <c r="D158" s="408"/>
      <c r="E158" s="408"/>
      <c r="F158" s="408"/>
      <c r="G158" s="408"/>
      <c r="H158" s="408"/>
      <c r="I158" s="408"/>
      <c r="J158" s="408"/>
      <c r="K158" s="408"/>
      <c r="L158" s="408"/>
      <c r="M158" s="408"/>
      <c r="N158" s="408"/>
      <c r="O158" s="419"/>
      <c r="P158" s="401" t="s">
        <v>76</v>
      </c>
      <c r="Q158" s="402"/>
      <c r="R158" s="402"/>
      <c r="S158" s="402"/>
      <c r="T158" s="402"/>
      <c r="U158" s="402"/>
      <c r="V158" s="403"/>
      <c r="W158" s="38" t="s">
        <v>71</v>
      </c>
      <c r="X158" s="391">
        <f>IFERROR(SUM(X149:X156),"0")</f>
        <v>600</v>
      </c>
      <c r="Y158" s="391">
        <f>IFERROR(SUM(Y149:Y156),"0")</f>
        <v>613.49999999999989</v>
      </c>
      <c r="Z158" s="38"/>
      <c r="AA158" s="392"/>
      <c r="AB158" s="392"/>
      <c r="AC158" s="392"/>
    </row>
    <row r="159" spans="1:68" ht="14.25" customHeight="1" x14ac:dyDescent="0.25">
      <c r="A159" s="410" t="s">
        <v>125</v>
      </c>
      <c r="B159" s="408"/>
      <c r="C159" s="408"/>
      <c r="D159" s="408"/>
      <c r="E159" s="408"/>
      <c r="F159" s="408"/>
      <c r="G159" s="408"/>
      <c r="H159" s="408"/>
      <c r="I159" s="408"/>
      <c r="J159" s="408"/>
      <c r="K159" s="408"/>
      <c r="L159" s="408"/>
      <c r="M159" s="408"/>
      <c r="N159" s="408"/>
      <c r="O159" s="408"/>
      <c r="P159" s="408"/>
      <c r="Q159" s="408"/>
      <c r="R159" s="408"/>
      <c r="S159" s="408"/>
      <c r="T159" s="408"/>
      <c r="U159" s="408"/>
      <c r="V159" s="408"/>
      <c r="W159" s="408"/>
      <c r="X159" s="408"/>
      <c r="Y159" s="408"/>
      <c r="Z159" s="408"/>
      <c r="AA159" s="383"/>
      <c r="AB159" s="383"/>
      <c r="AC159" s="383"/>
    </row>
    <row r="160" spans="1:68" ht="27" customHeight="1" x14ac:dyDescent="0.25">
      <c r="A160" s="55" t="s">
        <v>270</v>
      </c>
      <c r="B160" s="55" t="s">
        <v>271</v>
      </c>
      <c r="C160" s="32">
        <v>4301060389</v>
      </c>
      <c r="D160" s="397">
        <v>4680115880801</v>
      </c>
      <c r="E160" s="398"/>
      <c r="F160" s="388">
        <v>0.4</v>
      </c>
      <c r="G160" s="33">
        <v>6</v>
      </c>
      <c r="H160" s="388">
        <v>2.4</v>
      </c>
      <c r="I160" s="388">
        <v>2.6520000000000001</v>
      </c>
      <c r="J160" s="33">
        <v>182</v>
      </c>
      <c r="K160" s="33" t="s">
        <v>69</v>
      </c>
      <c r="L160" s="33"/>
      <c r="M160" s="34" t="s">
        <v>95</v>
      </c>
      <c r="N160" s="34"/>
      <c r="O160" s="33">
        <v>40</v>
      </c>
      <c r="P160" s="4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0" s="394"/>
      <c r="R160" s="394"/>
      <c r="S160" s="394"/>
      <c r="T160" s="395"/>
      <c r="U160" s="35"/>
      <c r="V160" s="35"/>
      <c r="W160" s="36" t="s">
        <v>71</v>
      </c>
      <c r="X160" s="389">
        <v>0</v>
      </c>
      <c r="Y160" s="390">
        <f>IFERROR(IF(X160="",0,CEILING((X160/$H160),1)*$H160),"")</f>
        <v>0</v>
      </c>
      <c r="Z160" s="37" t="str">
        <f>IFERROR(IF(Y160=0,"",ROUNDUP(Y160/H160,0)*0.00651),"")</f>
        <v/>
      </c>
      <c r="AA160" s="57"/>
      <c r="AB160" s="58"/>
      <c r="AC160" s="202" t="s">
        <v>272</v>
      </c>
      <c r="AG160" s="65"/>
      <c r="AJ160" s="69"/>
      <c r="AK160" s="69">
        <v>0</v>
      </c>
      <c r="BB160" s="203" t="s">
        <v>1</v>
      </c>
      <c r="BM160" s="65">
        <f>IFERROR(X160*I160/H160,"0")</f>
        <v>0</v>
      </c>
      <c r="BN160" s="65">
        <f>IFERROR(Y160*I160/H160,"0")</f>
        <v>0</v>
      </c>
      <c r="BO160" s="65">
        <f>IFERROR(1/J160*(X160/H160),"0")</f>
        <v>0</v>
      </c>
      <c r="BP160" s="65">
        <f>IFERROR(1/J160*(Y160/H160),"0")</f>
        <v>0</v>
      </c>
    </row>
    <row r="161" spans="1:68" x14ac:dyDescent="0.2">
      <c r="A161" s="418"/>
      <c r="B161" s="408"/>
      <c r="C161" s="408"/>
      <c r="D161" s="408"/>
      <c r="E161" s="408"/>
      <c r="F161" s="408"/>
      <c r="G161" s="408"/>
      <c r="H161" s="408"/>
      <c r="I161" s="408"/>
      <c r="J161" s="408"/>
      <c r="K161" s="408"/>
      <c r="L161" s="408"/>
      <c r="M161" s="408"/>
      <c r="N161" s="408"/>
      <c r="O161" s="419"/>
      <c r="P161" s="401" t="s">
        <v>76</v>
      </c>
      <c r="Q161" s="402"/>
      <c r="R161" s="402"/>
      <c r="S161" s="402"/>
      <c r="T161" s="402"/>
      <c r="U161" s="402"/>
      <c r="V161" s="403"/>
      <c r="W161" s="38" t="s">
        <v>77</v>
      </c>
      <c r="X161" s="391">
        <f>IFERROR(X160/H160,"0")</f>
        <v>0</v>
      </c>
      <c r="Y161" s="391">
        <f>IFERROR(Y160/H160,"0")</f>
        <v>0</v>
      </c>
      <c r="Z161" s="391">
        <f>IFERROR(IF(Z160="",0,Z160),"0")</f>
        <v>0</v>
      </c>
      <c r="AA161" s="392"/>
      <c r="AB161" s="392"/>
      <c r="AC161" s="392"/>
    </row>
    <row r="162" spans="1:68" x14ac:dyDescent="0.2">
      <c r="A162" s="408"/>
      <c r="B162" s="408"/>
      <c r="C162" s="408"/>
      <c r="D162" s="408"/>
      <c r="E162" s="408"/>
      <c r="F162" s="408"/>
      <c r="G162" s="408"/>
      <c r="H162" s="408"/>
      <c r="I162" s="408"/>
      <c r="J162" s="408"/>
      <c r="K162" s="408"/>
      <c r="L162" s="408"/>
      <c r="M162" s="408"/>
      <c r="N162" s="408"/>
      <c r="O162" s="419"/>
      <c r="P162" s="401" t="s">
        <v>76</v>
      </c>
      <c r="Q162" s="402"/>
      <c r="R162" s="402"/>
      <c r="S162" s="402"/>
      <c r="T162" s="402"/>
      <c r="U162" s="402"/>
      <c r="V162" s="403"/>
      <c r="W162" s="38" t="s">
        <v>71</v>
      </c>
      <c r="X162" s="391">
        <f>IFERROR(SUM(X160:X160),"0")</f>
        <v>0</v>
      </c>
      <c r="Y162" s="391">
        <f>IFERROR(SUM(Y160:Y160),"0")</f>
        <v>0</v>
      </c>
      <c r="Z162" s="38"/>
      <c r="AA162" s="392"/>
      <c r="AB162" s="392"/>
      <c r="AC162" s="392"/>
    </row>
    <row r="163" spans="1:68" ht="16.5" customHeight="1" x14ac:dyDescent="0.25">
      <c r="A163" s="407" t="s">
        <v>273</v>
      </c>
      <c r="B163" s="408"/>
      <c r="C163" s="408"/>
      <c r="D163" s="408"/>
      <c r="E163" s="408"/>
      <c r="F163" s="408"/>
      <c r="G163" s="408"/>
      <c r="H163" s="408"/>
      <c r="I163" s="408"/>
      <c r="J163" s="408"/>
      <c r="K163" s="408"/>
      <c r="L163" s="408"/>
      <c r="M163" s="408"/>
      <c r="N163" s="408"/>
      <c r="O163" s="408"/>
      <c r="P163" s="408"/>
      <c r="Q163" s="408"/>
      <c r="R163" s="408"/>
      <c r="S163" s="408"/>
      <c r="T163" s="408"/>
      <c r="U163" s="408"/>
      <c r="V163" s="408"/>
      <c r="W163" s="408"/>
      <c r="X163" s="408"/>
      <c r="Y163" s="408"/>
      <c r="Z163" s="408"/>
      <c r="AA163" s="385"/>
      <c r="AB163" s="385"/>
      <c r="AC163" s="385"/>
    </row>
    <row r="164" spans="1:68" ht="14.25" customHeight="1" x14ac:dyDescent="0.25">
      <c r="A164" s="410" t="s">
        <v>86</v>
      </c>
      <c r="B164" s="408"/>
      <c r="C164" s="408"/>
      <c r="D164" s="408"/>
      <c r="E164" s="408"/>
      <c r="F164" s="408"/>
      <c r="G164" s="408"/>
      <c r="H164" s="408"/>
      <c r="I164" s="408"/>
      <c r="J164" s="408"/>
      <c r="K164" s="408"/>
      <c r="L164" s="408"/>
      <c r="M164" s="408"/>
      <c r="N164" s="408"/>
      <c r="O164" s="408"/>
      <c r="P164" s="408"/>
      <c r="Q164" s="408"/>
      <c r="R164" s="408"/>
      <c r="S164" s="408"/>
      <c r="T164" s="408"/>
      <c r="U164" s="408"/>
      <c r="V164" s="408"/>
      <c r="W164" s="408"/>
      <c r="X164" s="408"/>
      <c r="Y164" s="408"/>
      <c r="Z164" s="408"/>
      <c r="AA164" s="383"/>
      <c r="AB164" s="383"/>
      <c r="AC164" s="383"/>
    </row>
    <row r="165" spans="1:68" ht="27" customHeight="1" x14ac:dyDescent="0.25">
      <c r="A165" s="55" t="s">
        <v>274</v>
      </c>
      <c r="B165" s="55" t="s">
        <v>275</v>
      </c>
      <c r="C165" s="32">
        <v>4301011826</v>
      </c>
      <c r="D165" s="397">
        <v>4680115884137</v>
      </c>
      <c r="E165" s="398"/>
      <c r="F165" s="388">
        <v>1.45</v>
      </c>
      <c r="G165" s="33">
        <v>8</v>
      </c>
      <c r="H165" s="388">
        <v>11.6</v>
      </c>
      <c r="I165" s="388">
        <v>12.035</v>
      </c>
      <c r="J165" s="33">
        <v>64</v>
      </c>
      <c r="K165" s="33" t="s">
        <v>89</v>
      </c>
      <c r="L165" s="33"/>
      <c r="M165" s="34" t="s">
        <v>90</v>
      </c>
      <c r="N165" s="34"/>
      <c r="O165" s="33">
        <v>55</v>
      </c>
      <c r="P165" s="4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5" s="394"/>
      <c r="R165" s="394"/>
      <c r="S165" s="394"/>
      <c r="T165" s="395"/>
      <c r="U165" s="35"/>
      <c r="V165" s="35"/>
      <c r="W165" s="36" t="s">
        <v>71</v>
      </c>
      <c r="X165" s="389">
        <v>0</v>
      </c>
      <c r="Y165" s="390">
        <f t="shared" ref="Y165:Y172" si="15">IFERROR(IF(X165="",0,CEILING((X165/$H165),1)*$H165),"")</f>
        <v>0</v>
      </c>
      <c r="Z165" s="37" t="str">
        <f>IFERROR(IF(Y165=0,"",ROUNDUP(Y165/H165,0)*0.01898),"")</f>
        <v/>
      </c>
      <c r="AA165" s="57"/>
      <c r="AB165" s="58"/>
      <c r="AC165" s="204" t="s">
        <v>276</v>
      </c>
      <c r="AG165" s="65"/>
      <c r="AJ165" s="69"/>
      <c r="AK165" s="69">
        <v>0</v>
      </c>
      <c r="BB165" s="205" t="s">
        <v>1</v>
      </c>
      <c r="BM165" s="65">
        <f t="shared" ref="BM165:BM172" si="16">IFERROR(X165*I165/H165,"0")</f>
        <v>0</v>
      </c>
      <c r="BN165" s="65">
        <f t="shared" ref="BN165:BN172" si="17">IFERROR(Y165*I165/H165,"0")</f>
        <v>0</v>
      </c>
      <c r="BO165" s="65">
        <f t="shared" ref="BO165:BO172" si="18">IFERROR(1/J165*(X165/H165),"0")</f>
        <v>0</v>
      </c>
      <c r="BP165" s="65">
        <f t="shared" ref="BP165:BP172" si="19">IFERROR(1/J165*(Y165/H165),"0")</f>
        <v>0</v>
      </c>
    </row>
    <row r="166" spans="1:68" ht="27" customHeight="1" x14ac:dyDescent="0.25">
      <c r="A166" s="55" t="s">
        <v>277</v>
      </c>
      <c r="B166" s="55" t="s">
        <v>278</v>
      </c>
      <c r="C166" s="32">
        <v>4301011724</v>
      </c>
      <c r="D166" s="397">
        <v>4680115884236</v>
      </c>
      <c r="E166" s="398"/>
      <c r="F166" s="388">
        <v>1.45</v>
      </c>
      <c r="G166" s="33">
        <v>8</v>
      </c>
      <c r="H166" s="388">
        <v>11.6</v>
      </c>
      <c r="I166" s="388">
        <v>12.035</v>
      </c>
      <c r="J166" s="33">
        <v>64</v>
      </c>
      <c r="K166" s="33" t="s">
        <v>89</v>
      </c>
      <c r="L166" s="33"/>
      <c r="M166" s="34" t="s">
        <v>90</v>
      </c>
      <c r="N166" s="34"/>
      <c r="O166" s="33">
        <v>55</v>
      </c>
      <c r="P166" s="4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6" s="394"/>
      <c r="R166" s="394"/>
      <c r="S166" s="394"/>
      <c r="T166" s="395"/>
      <c r="U166" s="35"/>
      <c r="V166" s="35"/>
      <c r="W166" s="36" t="s">
        <v>71</v>
      </c>
      <c r="X166" s="389">
        <v>0</v>
      </c>
      <c r="Y166" s="390">
        <f t="shared" si="15"/>
        <v>0</v>
      </c>
      <c r="Z166" s="37" t="str">
        <f>IFERROR(IF(Y166=0,"",ROUNDUP(Y166/H166,0)*0.01898),"")</f>
        <v/>
      </c>
      <c r="AA166" s="57"/>
      <c r="AB166" s="58"/>
      <c r="AC166" s="206" t="s">
        <v>279</v>
      </c>
      <c r="AG166" s="65"/>
      <c r="AJ166" s="69"/>
      <c r="AK166" s="69">
        <v>0</v>
      </c>
      <c r="BB166" s="207" t="s">
        <v>1</v>
      </c>
      <c r="BM166" s="65">
        <f t="shared" si="16"/>
        <v>0</v>
      </c>
      <c r="BN166" s="65">
        <f t="shared" si="17"/>
        <v>0</v>
      </c>
      <c r="BO166" s="65">
        <f t="shared" si="18"/>
        <v>0</v>
      </c>
      <c r="BP166" s="65">
        <f t="shared" si="19"/>
        <v>0</v>
      </c>
    </row>
    <row r="167" spans="1:68" ht="27" customHeight="1" x14ac:dyDescent="0.25">
      <c r="A167" s="55" t="s">
        <v>280</v>
      </c>
      <c r="B167" s="55" t="s">
        <v>281</v>
      </c>
      <c r="C167" s="32">
        <v>4301011721</v>
      </c>
      <c r="D167" s="397">
        <v>4680115884175</v>
      </c>
      <c r="E167" s="398"/>
      <c r="F167" s="388">
        <v>1.45</v>
      </c>
      <c r="G167" s="33">
        <v>8</v>
      </c>
      <c r="H167" s="388">
        <v>11.6</v>
      </c>
      <c r="I167" s="388">
        <v>12.035</v>
      </c>
      <c r="J167" s="33">
        <v>64</v>
      </c>
      <c r="K167" s="33" t="s">
        <v>89</v>
      </c>
      <c r="L167" s="33"/>
      <c r="M167" s="34" t="s">
        <v>90</v>
      </c>
      <c r="N167" s="34"/>
      <c r="O167" s="33">
        <v>55</v>
      </c>
      <c r="P167" s="4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7" s="394"/>
      <c r="R167" s="394"/>
      <c r="S167" s="394"/>
      <c r="T167" s="395"/>
      <c r="U167" s="35"/>
      <c r="V167" s="35"/>
      <c r="W167" s="36" t="s">
        <v>71</v>
      </c>
      <c r="X167" s="389">
        <v>0</v>
      </c>
      <c r="Y167" s="390">
        <f t="shared" si="15"/>
        <v>0</v>
      </c>
      <c r="Z167" s="37" t="str">
        <f>IFERROR(IF(Y167=0,"",ROUNDUP(Y167/H167,0)*0.01898),"")</f>
        <v/>
      </c>
      <c r="AA167" s="57"/>
      <c r="AB167" s="58"/>
      <c r="AC167" s="208" t="s">
        <v>282</v>
      </c>
      <c r="AG167" s="65"/>
      <c r="AJ167" s="69"/>
      <c r="AK167" s="69">
        <v>0</v>
      </c>
      <c r="BB167" s="209" t="s">
        <v>1</v>
      </c>
      <c r="BM167" s="65">
        <f t="shared" si="16"/>
        <v>0</v>
      </c>
      <c r="BN167" s="65">
        <f t="shared" si="17"/>
        <v>0</v>
      </c>
      <c r="BO167" s="65">
        <f t="shared" si="18"/>
        <v>0</v>
      </c>
      <c r="BP167" s="65">
        <f t="shared" si="19"/>
        <v>0</v>
      </c>
    </row>
    <row r="168" spans="1:68" ht="27" customHeight="1" x14ac:dyDescent="0.25">
      <c r="A168" s="55" t="s">
        <v>283</v>
      </c>
      <c r="B168" s="55" t="s">
        <v>284</v>
      </c>
      <c r="C168" s="32">
        <v>4301011824</v>
      </c>
      <c r="D168" s="397">
        <v>4680115884144</v>
      </c>
      <c r="E168" s="398"/>
      <c r="F168" s="388">
        <v>0.4</v>
      </c>
      <c r="G168" s="33">
        <v>10</v>
      </c>
      <c r="H168" s="388">
        <v>4</v>
      </c>
      <c r="I168" s="388">
        <v>4.21</v>
      </c>
      <c r="J168" s="33">
        <v>132</v>
      </c>
      <c r="K168" s="33" t="s">
        <v>94</v>
      </c>
      <c r="L168" s="33"/>
      <c r="M168" s="34" t="s">
        <v>90</v>
      </c>
      <c r="N168" s="34"/>
      <c r="O168" s="33">
        <v>55</v>
      </c>
      <c r="P168" s="4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8" s="394"/>
      <c r="R168" s="394"/>
      <c r="S168" s="394"/>
      <c r="T168" s="395"/>
      <c r="U168" s="35"/>
      <c r="V168" s="35"/>
      <c r="W168" s="36" t="s">
        <v>71</v>
      </c>
      <c r="X168" s="389">
        <v>0</v>
      </c>
      <c r="Y168" s="390">
        <f t="shared" si="15"/>
        <v>0</v>
      </c>
      <c r="Z168" s="37" t="str">
        <f>IFERROR(IF(Y168=0,"",ROUNDUP(Y168/H168,0)*0.00902),"")</f>
        <v/>
      </c>
      <c r="AA168" s="57"/>
      <c r="AB168" s="58"/>
      <c r="AC168" s="210" t="s">
        <v>276</v>
      </c>
      <c r="AG168" s="65"/>
      <c r="AJ168" s="69"/>
      <c r="AK168" s="69">
        <v>0</v>
      </c>
      <c r="BB168" s="211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283</v>
      </c>
      <c r="B169" s="55" t="s">
        <v>285</v>
      </c>
      <c r="C169" s="32">
        <v>4301012196</v>
      </c>
      <c r="D169" s="397">
        <v>4680115884144</v>
      </c>
      <c r="E169" s="398"/>
      <c r="F169" s="388">
        <v>0.4</v>
      </c>
      <c r="G169" s="33">
        <v>10</v>
      </c>
      <c r="H169" s="388">
        <v>4</v>
      </c>
      <c r="I169" s="388">
        <v>4.21</v>
      </c>
      <c r="J169" s="33">
        <v>132</v>
      </c>
      <c r="K169" s="33" t="s">
        <v>94</v>
      </c>
      <c r="L169" s="33"/>
      <c r="M169" s="34" t="s">
        <v>90</v>
      </c>
      <c r="N169" s="34"/>
      <c r="O169" s="33">
        <v>55</v>
      </c>
      <c r="P169" s="490" t="s">
        <v>286</v>
      </c>
      <c r="Q169" s="394"/>
      <c r="R169" s="394"/>
      <c r="S169" s="394"/>
      <c r="T169" s="395"/>
      <c r="U169" s="35"/>
      <c r="V169" s="35"/>
      <c r="W169" s="36" t="s">
        <v>71</v>
      </c>
      <c r="X169" s="389">
        <v>0</v>
      </c>
      <c r="Y169" s="390">
        <f t="shared" si="15"/>
        <v>0</v>
      </c>
      <c r="Z169" s="37" t="str">
        <f>IFERROR(IF(Y169=0,"",ROUNDUP(Y169/H169,0)*0.00902),"")</f>
        <v/>
      </c>
      <c r="AA169" s="57"/>
      <c r="AB169" s="58"/>
      <c r="AC169" s="212" t="s">
        <v>276</v>
      </c>
      <c r="AG169" s="65"/>
      <c r="AJ169" s="69"/>
      <c r="AK169" s="69">
        <v>0</v>
      </c>
      <c r="BB169" s="213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287</v>
      </c>
      <c r="B170" s="55" t="s">
        <v>288</v>
      </c>
      <c r="C170" s="32">
        <v>4301011726</v>
      </c>
      <c r="D170" s="397">
        <v>4680115884182</v>
      </c>
      <c r="E170" s="398"/>
      <c r="F170" s="388">
        <v>0.37</v>
      </c>
      <c r="G170" s="33">
        <v>10</v>
      </c>
      <c r="H170" s="388">
        <v>3.7</v>
      </c>
      <c r="I170" s="388">
        <v>3.91</v>
      </c>
      <c r="J170" s="33">
        <v>132</v>
      </c>
      <c r="K170" s="33" t="s">
        <v>94</v>
      </c>
      <c r="L170" s="33"/>
      <c r="M170" s="34" t="s">
        <v>90</v>
      </c>
      <c r="N170" s="34"/>
      <c r="O170" s="33">
        <v>55</v>
      </c>
      <c r="P170" s="4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0" s="394"/>
      <c r="R170" s="394"/>
      <c r="S170" s="394"/>
      <c r="T170" s="395"/>
      <c r="U170" s="35"/>
      <c r="V170" s="35"/>
      <c r="W170" s="36" t="s">
        <v>71</v>
      </c>
      <c r="X170" s="389">
        <v>0</v>
      </c>
      <c r="Y170" s="390">
        <f t="shared" si="15"/>
        <v>0</v>
      </c>
      <c r="Z170" s="37" t="str">
        <f>IFERROR(IF(Y170=0,"",ROUNDUP(Y170/H170,0)*0.00902),"")</f>
        <v/>
      </c>
      <c r="AA170" s="57"/>
      <c r="AB170" s="58"/>
      <c r="AC170" s="214" t="s">
        <v>279</v>
      </c>
      <c r="AG170" s="65"/>
      <c r="AJ170" s="69"/>
      <c r="AK170" s="69">
        <v>0</v>
      </c>
      <c r="BB170" s="215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ht="27" customHeight="1" x14ac:dyDescent="0.25">
      <c r="A171" s="55" t="s">
        <v>289</v>
      </c>
      <c r="B171" s="55" t="s">
        <v>290</v>
      </c>
      <c r="C171" s="32">
        <v>4301011722</v>
      </c>
      <c r="D171" s="397">
        <v>4680115884205</v>
      </c>
      <c r="E171" s="398"/>
      <c r="F171" s="388">
        <v>0.4</v>
      </c>
      <c r="G171" s="33">
        <v>10</v>
      </c>
      <c r="H171" s="388">
        <v>4</v>
      </c>
      <c r="I171" s="388">
        <v>4.21</v>
      </c>
      <c r="J171" s="33">
        <v>132</v>
      </c>
      <c r="K171" s="33" t="s">
        <v>94</v>
      </c>
      <c r="L171" s="33"/>
      <c r="M171" s="34" t="s">
        <v>90</v>
      </c>
      <c r="N171" s="34"/>
      <c r="O171" s="33">
        <v>55</v>
      </c>
      <c r="P171" s="4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1" s="394"/>
      <c r="R171" s="394"/>
      <c r="S171" s="394"/>
      <c r="T171" s="395"/>
      <c r="U171" s="35"/>
      <c r="V171" s="35"/>
      <c r="W171" s="36" t="s">
        <v>71</v>
      </c>
      <c r="X171" s="389">
        <v>0</v>
      </c>
      <c r="Y171" s="390">
        <f t="shared" si="15"/>
        <v>0</v>
      </c>
      <c r="Z171" s="37" t="str">
        <f>IFERROR(IF(Y171=0,"",ROUNDUP(Y171/H171,0)*0.00902),"")</f>
        <v/>
      </c>
      <c r="AA171" s="57"/>
      <c r="AB171" s="58"/>
      <c r="AC171" s="216" t="s">
        <v>291</v>
      </c>
      <c r="AG171" s="65"/>
      <c r="AJ171" s="69"/>
      <c r="AK171" s="69">
        <v>0</v>
      </c>
      <c r="BB171" s="217" t="s">
        <v>1</v>
      </c>
      <c r="BM171" s="65">
        <f t="shared" si="16"/>
        <v>0</v>
      </c>
      <c r="BN171" s="65">
        <f t="shared" si="17"/>
        <v>0</v>
      </c>
      <c r="BO171" s="65">
        <f t="shared" si="18"/>
        <v>0</v>
      </c>
      <c r="BP171" s="65">
        <f t="shared" si="19"/>
        <v>0</v>
      </c>
    </row>
    <row r="172" spans="1:68" ht="27" customHeight="1" x14ac:dyDescent="0.25">
      <c r="A172" s="55" t="s">
        <v>289</v>
      </c>
      <c r="B172" s="55" t="s">
        <v>292</v>
      </c>
      <c r="C172" s="32">
        <v>4301012195</v>
      </c>
      <c r="D172" s="397">
        <v>4680115884205</v>
      </c>
      <c r="E172" s="398"/>
      <c r="F172" s="388">
        <v>0.4</v>
      </c>
      <c r="G172" s="33">
        <v>10</v>
      </c>
      <c r="H172" s="388">
        <v>4</v>
      </c>
      <c r="I172" s="388">
        <v>4.21</v>
      </c>
      <c r="J172" s="33">
        <v>132</v>
      </c>
      <c r="K172" s="33" t="s">
        <v>94</v>
      </c>
      <c r="L172" s="33"/>
      <c r="M172" s="34" t="s">
        <v>90</v>
      </c>
      <c r="N172" s="34"/>
      <c r="O172" s="33">
        <v>55</v>
      </c>
      <c r="P172" s="415" t="s">
        <v>293</v>
      </c>
      <c r="Q172" s="394"/>
      <c r="R172" s="394"/>
      <c r="S172" s="394"/>
      <c r="T172" s="395"/>
      <c r="U172" s="35"/>
      <c r="V172" s="35"/>
      <c r="W172" s="36" t="s">
        <v>71</v>
      </c>
      <c r="X172" s="389">
        <v>0</v>
      </c>
      <c r="Y172" s="390">
        <f t="shared" si="15"/>
        <v>0</v>
      </c>
      <c r="Z172" s="37" t="str">
        <f>IFERROR(IF(Y172=0,"",ROUNDUP(Y172/H172,0)*0.00902),"")</f>
        <v/>
      </c>
      <c r="AA172" s="57"/>
      <c r="AB172" s="58"/>
      <c r="AC172" s="218" t="s">
        <v>291</v>
      </c>
      <c r="AG172" s="65"/>
      <c r="AJ172" s="69"/>
      <c r="AK172" s="69">
        <v>0</v>
      </c>
      <c r="BB172" s="219" t="s">
        <v>1</v>
      </c>
      <c r="BM172" s="65">
        <f t="shared" si="16"/>
        <v>0</v>
      </c>
      <c r="BN172" s="65">
        <f t="shared" si="17"/>
        <v>0</v>
      </c>
      <c r="BO172" s="65">
        <f t="shared" si="18"/>
        <v>0</v>
      </c>
      <c r="BP172" s="65">
        <f t="shared" si="19"/>
        <v>0</v>
      </c>
    </row>
    <row r="173" spans="1:68" x14ac:dyDescent="0.2">
      <c r="A173" s="418"/>
      <c r="B173" s="408"/>
      <c r="C173" s="408"/>
      <c r="D173" s="408"/>
      <c r="E173" s="408"/>
      <c r="F173" s="408"/>
      <c r="G173" s="408"/>
      <c r="H173" s="408"/>
      <c r="I173" s="408"/>
      <c r="J173" s="408"/>
      <c r="K173" s="408"/>
      <c r="L173" s="408"/>
      <c r="M173" s="408"/>
      <c r="N173" s="408"/>
      <c r="O173" s="419"/>
      <c r="P173" s="401" t="s">
        <v>76</v>
      </c>
      <c r="Q173" s="402"/>
      <c r="R173" s="402"/>
      <c r="S173" s="402"/>
      <c r="T173" s="402"/>
      <c r="U173" s="402"/>
      <c r="V173" s="403"/>
      <c r="W173" s="38" t="s">
        <v>77</v>
      </c>
      <c r="X173" s="391">
        <f>IFERROR(X165/H165,"0")+IFERROR(X166/H166,"0")+IFERROR(X167/H167,"0")+IFERROR(X168/H168,"0")+IFERROR(X169/H169,"0")+IFERROR(X170/H170,"0")+IFERROR(X171/H171,"0")+IFERROR(X172/H172,"0")</f>
        <v>0</v>
      </c>
      <c r="Y173" s="391">
        <f>IFERROR(Y165/H165,"0")+IFERROR(Y166/H166,"0")+IFERROR(Y167/H167,"0")+IFERROR(Y168/H168,"0")+IFERROR(Y169/H169,"0")+IFERROR(Y170/H170,"0")+IFERROR(Y171/H171,"0")+IFERROR(Y172/H172,"0")</f>
        <v>0</v>
      </c>
      <c r="Z173" s="391">
        <f>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392"/>
      <c r="AB173" s="392"/>
      <c r="AC173" s="392"/>
    </row>
    <row r="174" spans="1:68" x14ac:dyDescent="0.2">
      <c r="A174" s="408"/>
      <c r="B174" s="408"/>
      <c r="C174" s="408"/>
      <c r="D174" s="408"/>
      <c r="E174" s="408"/>
      <c r="F174" s="408"/>
      <c r="G174" s="408"/>
      <c r="H174" s="408"/>
      <c r="I174" s="408"/>
      <c r="J174" s="408"/>
      <c r="K174" s="408"/>
      <c r="L174" s="408"/>
      <c r="M174" s="408"/>
      <c r="N174" s="408"/>
      <c r="O174" s="419"/>
      <c r="P174" s="401" t="s">
        <v>76</v>
      </c>
      <c r="Q174" s="402"/>
      <c r="R174" s="402"/>
      <c r="S174" s="402"/>
      <c r="T174" s="402"/>
      <c r="U174" s="402"/>
      <c r="V174" s="403"/>
      <c r="W174" s="38" t="s">
        <v>71</v>
      </c>
      <c r="X174" s="391">
        <f>IFERROR(SUM(X165:X172),"0")</f>
        <v>0</v>
      </c>
      <c r="Y174" s="391">
        <f>IFERROR(SUM(Y165:Y172),"0")</f>
        <v>0</v>
      </c>
      <c r="Z174" s="38"/>
      <c r="AA174" s="392"/>
      <c r="AB174" s="392"/>
      <c r="AC174" s="392"/>
    </row>
    <row r="175" spans="1:68" ht="16.5" customHeight="1" x14ac:dyDescent="0.25">
      <c r="A175" s="407" t="s">
        <v>294</v>
      </c>
      <c r="B175" s="408"/>
      <c r="C175" s="408"/>
      <c r="D175" s="408"/>
      <c r="E175" s="408"/>
      <c r="F175" s="408"/>
      <c r="G175" s="408"/>
      <c r="H175" s="408"/>
      <c r="I175" s="408"/>
      <c r="J175" s="408"/>
      <c r="K175" s="408"/>
      <c r="L175" s="408"/>
      <c r="M175" s="408"/>
      <c r="N175" s="408"/>
      <c r="O175" s="408"/>
      <c r="P175" s="408"/>
      <c r="Q175" s="408"/>
      <c r="R175" s="408"/>
      <c r="S175" s="408"/>
      <c r="T175" s="408"/>
      <c r="U175" s="408"/>
      <c r="V175" s="408"/>
      <c r="W175" s="408"/>
      <c r="X175" s="408"/>
      <c r="Y175" s="408"/>
      <c r="Z175" s="408"/>
      <c r="AA175" s="385"/>
      <c r="AB175" s="385"/>
      <c r="AC175" s="385"/>
    </row>
    <row r="176" spans="1:68" ht="14.25" customHeight="1" x14ac:dyDescent="0.25">
      <c r="A176" s="410" t="s">
        <v>86</v>
      </c>
      <c r="B176" s="408"/>
      <c r="C176" s="408"/>
      <c r="D176" s="408"/>
      <c r="E176" s="408"/>
      <c r="F176" s="408"/>
      <c r="G176" s="408"/>
      <c r="H176" s="408"/>
      <c r="I176" s="408"/>
      <c r="J176" s="408"/>
      <c r="K176" s="408"/>
      <c r="L176" s="408"/>
      <c r="M176" s="408"/>
      <c r="N176" s="408"/>
      <c r="O176" s="408"/>
      <c r="P176" s="408"/>
      <c r="Q176" s="408"/>
      <c r="R176" s="408"/>
      <c r="S176" s="408"/>
      <c r="T176" s="408"/>
      <c r="U176" s="408"/>
      <c r="V176" s="408"/>
      <c r="W176" s="408"/>
      <c r="X176" s="408"/>
      <c r="Y176" s="408"/>
      <c r="Z176" s="408"/>
      <c r="AA176" s="383"/>
      <c r="AB176" s="383"/>
      <c r="AC176" s="383"/>
    </row>
    <row r="177" spans="1:68" ht="27" customHeight="1" x14ac:dyDescent="0.25">
      <c r="A177" s="55" t="s">
        <v>295</v>
      </c>
      <c r="B177" s="55" t="s">
        <v>296</v>
      </c>
      <c r="C177" s="32">
        <v>4301011855</v>
      </c>
      <c r="D177" s="397">
        <v>4680115885837</v>
      </c>
      <c r="E177" s="398"/>
      <c r="F177" s="388">
        <v>1.35</v>
      </c>
      <c r="G177" s="33">
        <v>8</v>
      </c>
      <c r="H177" s="388">
        <v>10.8</v>
      </c>
      <c r="I177" s="388">
        <v>11.234999999999999</v>
      </c>
      <c r="J177" s="33">
        <v>64</v>
      </c>
      <c r="K177" s="33" t="s">
        <v>89</v>
      </c>
      <c r="L177" s="33"/>
      <c r="M177" s="34" t="s">
        <v>90</v>
      </c>
      <c r="N177" s="34"/>
      <c r="O177" s="33">
        <v>55</v>
      </c>
      <c r="P177" s="5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7" s="394"/>
      <c r="R177" s="394"/>
      <c r="S177" s="394"/>
      <c r="T177" s="395"/>
      <c r="U177" s="35"/>
      <c r="V177" s="35"/>
      <c r="W177" s="36" t="s">
        <v>71</v>
      </c>
      <c r="X177" s="389">
        <v>0</v>
      </c>
      <c r="Y177" s="390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20" t="s">
        <v>297</v>
      </c>
      <c r="AG177" s="65"/>
      <c r="AJ177" s="69"/>
      <c r="AK177" s="69">
        <v>0</v>
      </c>
      <c r="BB177" s="221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37.5" customHeight="1" x14ac:dyDescent="0.25">
      <c r="A178" s="55" t="s">
        <v>298</v>
      </c>
      <c r="B178" s="55" t="s">
        <v>299</v>
      </c>
      <c r="C178" s="32">
        <v>4301011853</v>
      </c>
      <c r="D178" s="397">
        <v>4680115885851</v>
      </c>
      <c r="E178" s="398"/>
      <c r="F178" s="388">
        <v>1.35</v>
      </c>
      <c r="G178" s="33">
        <v>8</v>
      </c>
      <c r="H178" s="388">
        <v>10.8</v>
      </c>
      <c r="I178" s="388">
        <v>11.234999999999999</v>
      </c>
      <c r="J178" s="33">
        <v>64</v>
      </c>
      <c r="K178" s="33" t="s">
        <v>89</v>
      </c>
      <c r="L178" s="33"/>
      <c r="M178" s="34" t="s">
        <v>90</v>
      </c>
      <c r="N178" s="34"/>
      <c r="O178" s="33">
        <v>55</v>
      </c>
      <c r="P178" s="5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8" s="394"/>
      <c r="R178" s="394"/>
      <c r="S178" s="394"/>
      <c r="T178" s="395"/>
      <c r="U178" s="35"/>
      <c r="V178" s="35"/>
      <c r="W178" s="36" t="s">
        <v>71</v>
      </c>
      <c r="X178" s="389">
        <v>0</v>
      </c>
      <c r="Y178" s="390">
        <f>IFERROR(IF(X178="",0,CEILING((X178/$H178),1)*$H178),"")</f>
        <v>0</v>
      </c>
      <c r="Z178" s="37" t="str">
        <f>IFERROR(IF(Y178=0,"",ROUNDUP(Y178/H178,0)*0.01898),"")</f>
        <v/>
      </c>
      <c r="AA178" s="57"/>
      <c r="AB178" s="58"/>
      <c r="AC178" s="222" t="s">
        <v>300</v>
      </c>
      <c r="AG178" s="65"/>
      <c r="AJ178" s="69"/>
      <c r="AK178" s="69">
        <v>0</v>
      </c>
      <c r="BB178" s="223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27" customHeight="1" x14ac:dyDescent="0.25">
      <c r="A179" s="55" t="s">
        <v>301</v>
      </c>
      <c r="B179" s="55" t="s">
        <v>302</v>
      </c>
      <c r="C179" s="32">
        <v>4301011850</v>
      </c>
      <c r="D179" s="397">
        <v>4680115885806</v>
      </c>
      <c r="E179" s="398"/>
      <c r="F179" s="388">
        <v>1.35</v>
      </c>
      <c r="G179" s="33">
        <v>8</v>
      </c>
      <c r="H179" s="388">
        <v>10.8</v>
      </c>
      <c r="I179" s="388">
        <v>11.234999999999999</v>
      </c>
      <c r="J179" s="33">
        <v>64</v>
      </c>
      <c r="K179" s="33" t="s">
        <v>89</v>
      </c>
      <c r="L179" s="33"/>
      <c r="M179" s="34" t="s">
        <v>90</v>
      </c>
      <c r="N179" s="34"/>
      <c r="O179" s="33">
        <v>55</v>
      </c>
      <c r="P179" s="5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9" s="394"/>
      <c r="R179" s="394"/>
      <c r="S179" s="394"/>
      <c r="T179" s="395"/>
      <c r="U179" s="35"/>
      <c r="V179" s="35"/>
      <c r="W179" s="36" t="s">
        <v>71</v>
      </c>
      <c r="X179" s="389">
        <v>0</v>
      </c>
      <c r="Y179" s="390">
        <f>IFERROR(IF(X179="",0,CEILING((X179/$H179),1)*$H179),"")</f>
        <v>0</v>
      </c>
      <c r="Z179" s="37" t="str">
        <f>IFERROR(IF(Y179=0,"",ROUNDUP(Y179/H179,0)*0.01898),"")</f>
        <v/>
      </c>
      <c r="AA179" s="57"/>
      <c r="AB179" s="58"/>
      <c r="AC179" s="224" t="s">
        <v>303</v>
      </c>
      <c r="AG179" s="65"/>
      <c r="AJ179" s="69"/>
      <c r="AK179" s="69">
        <v>0</v>
      </c>
      <c r="BB179" s="225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ht="27" customHeight="1" x14ac:dyDescent="0.25">
      <c r="A180" s="55" t="s">
        <v>304</v>
      </c>
      <c r="B180" s="55" t="s">
        <v>305</v>
      </c>
      <c r="C180" s="32">
        <v>4301011852</v>
      </c>
      <c r="D180" s="397">
        <v>4680115885844</v>
      </c>
      <c r="E180" s="398"/>
      <c r="F180" s="388">
        <v>0.4</v>
      </c>
      <c r="G180" s="33">
        <v>10</v>
      </c>
      <c r="H180" s="388">
        <v>4</v>
      </c>
      <c r="I180" s="388">
        <v>4.21</v>
      </c>
      <c r="J180" s="33">
        <v>132</v>
      </c>
      <c r="K180" s="33" t="s">
        <v>94</v>
      </c>
      <c r="L180" s="33"/>
      <c r="M180" s="34" t="s">
        <v>90</v>
      </c>
      <c r="N180" s="34"/>
      <c r="O180" s="33">
        <v>55</v>
      </c>
      <c r="P180" s="48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0" s="394"/>
      <c r="R180" s="394"/>
      <c r="S180" s="394"/>
      <c r="T180" s="395"/>
      <c r="U180" s="35"/>
      <c r="V180" s="35"/>
      <c r="W180" s="36" t="s">
        <v>71</v>
      </c>
      <c r="X180" s="389">
        <v>0</v>
      </c>
      <c r="Y180" s="390">
        <f>IFERROR(IF(X180="",0,CEILING((X180/$H180),1)*$H180),"")</f>
        <v>0</v>
      </c>
      <c r="Z180" s="37" t="str">
        <f>IFERROR(IF(Y180=0,"",ROUNDUP(Y180/H180,0)*0.00902),"")</f>
        <v/>
      </c>
      <c r="AA180" s="57"/>
      <c r="AB180" s="58"/>
      <c r="AC180" s="226" t="s">
        <v>306</v>
      </c>
      <c r="AG180" s="65"/>
      <c r="AJ180" s="69"/>
      <c r="AK180" s="69">
        <v>0</v>
      </c>
      <c r="BB180" s="227" t="s">
        <v>1</v>
      </c>
      <c r="BM180" s="65">
        <f>IFERROR(X180*I180/H180,"0")</f>
        <v>0</v>
      </c>
      <c r="BN180" s="65">
        <f>IFERROR(Y180*I180/H180,"0")</f>
        <v>0</v>
      </c>
      <c r="BO180" s="65">
        <f>IFERROR(1/J180*(X180/H180),"0")</f>
        <v>0</v>
      </c>
      <c r="BP180" s="65">
        <f>IFERROR(1/J180*(Y180/H180),"0")</f>
        <v>0</v>
      </c>
    </row>
    <row r="181" spans="1:68" ht="37.5" customHeight="1" x14ac:dyDescent="0.25">
      <c r="A181" s="55" t="s">
        <v>307</v>
      </c>
      <c r="B181" s="55" t="s">
        <v>308</v>
      </c>
      <c r="C181" s="32">
        <v>4301011851</v>
      </c>
      <c r="D181" s="397">
        <v>4680115885820</v>
      </c>
      <c r="E181" s="398"/>
      <c r="F181" s="388">
        <v>0.4</v>
      </c>
      <c r="G181" s="33">
        <v>10</v>
      </c>
      <c r="H181" s="388">
        <v>4</v>
      </c>
      <c r="I181" s="388">
        <v>4.21</v>
      </c>
      <c r="J181" s="33">
        <v>132</v>
      </c>
      <c r="K181" s="33" t="s">
        <v>94</v>
      </c>
      <c r="L181" s="33"/>
      <c r="M181" s="34" t="s">
        <v>90</v>
      </c>
      <c r="N181" s="34"/>
      <c r="O181" s="33">
        <v>55</v>
      </c>
      <c r="P181" s="6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1" s="394"/>
      <c r="R181" s="394"/>
      <c r="S181" s="394"/>
      <c r="T181" s="395"/>
      <c r="U181" s="35"/>
      <c r="V181" s="35"/>
      <c r="W181" s="36" t="s">
        <v>71</v>
      </c>
      <c r="X181" s="389">
        <v>65</v>
      </c>
      <c r="Y181" s="390">
        <f>IFERROR(IF(X181="",0,CEILING((X181/$H181),1)*$H181),"")</f>
        <v>68</v>
      </c>
      <c r="Z181" s="37">
        <f>IFERROR(IF(Y181=0,"",ROUNDUP(Y181/H181,0)*0.00902),"")</f>
        <v>0.15334</v>
      </c>
      <c r="AA181" s="57"/>
      <c r="AB181" s="58"/>
      <c r="AC181" s="228" t="s">
        <v>309</v>
      </c>
      <c r="AG181" s="65"/>
      <c r="AJ181" s="69"/>
      <c r="AK181" s="69">
        <v>0</v>
      </c>
      <c r="BB181" s="229" t="s">
        <v>1</v>
      </c>
      <c r="BM181" s="65">
        <f>IFERROR(X181*I181/H181,"0")</f>
        <v>68.412499999999994</v>
      </c>
      <c r="BN181" s="65">
        <f>IFERROR(Y181*I181/H181,"0")</f>
        <v>71.569999999999993</v>
      </c>
      <c r="BO181" s="65">
        <f>IFERROR(1/J181*(X181/H181),"0")</f>
        <v>0.12310606060606061</v>
      </c>
      <c r="BP181" s="65">
        <f>IFERROR(1/J181*(Y181/H181),"0")</f>
        <v>0.12878787878787878</v>
      </c>
    </row>
    <row r="182" spans="1:68" x14ac:dyDescent="0.2">
      <c r="A182" s="418"/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19"/>
      <c r="P182" s="401" t="s">
        <v>76</v>
      </c>
      <c r="Q182" s="402"/>
      <c r="R182" s="402"/>
      <c r="S182" s="402"/>
      <c r="T182" s="402"/>
      <c r="U182" s="402"/>
      <c r="V182" s="403"/>
      <c r="W182" s="38" t="s">
        <v>77</v>
      </c>
      <c r="X182" s="391">
        <f>IFERROR(X177/H177,"0")+IFERROR(X178/H178,"0")+IFERROR(X179/H179,"0")+IFERROR(X180/H180,"0")+IFERROR(X181/H181,"0")</f>
        <v>16.25</v>
      </c>
      <c r="Y182" s="391">
        <f>IFERROR(Y177/H177,"0")+IFERROR(Y178/H178,"0")+IFERROR(Y179/H179,"0")+IFERROR(Y180/H180,"0")+IFERROR(Y181/H181,"0")</f>
        <v>17</v>
      </c>
      <c r="Z182" s="391">
        <f>IFERROR(IF(Z177="",0,Z177),"0")+IFERROR(IF(Z178="",0,Z178),"0")+IFERROR(IF(Z179="",0,Z179),"0")+IFERROR(IF(Z180="",0,Z180),"0")+IFERROR(IF(Z181="",0,Z181),"0")</f>
        <v>0.15334</v>
      </c>
      <c r="AA182" s="392"/>
      <c r="AB182" s="392"/>
      <c r="AC182" s="392"/>
    </row>
    <row r="183" spans="1:68" x14ac:dyDescent="0.2">
      <c r="A183" s="408"/>
      <c r="B183" s="408"/>
      <c r="C183" s="408"/>
      <c r="D183" s="408"/>
      <c r="E183" s="408"/>
      <c r="F183" s="408"/>
      <c r="G183" s="408"/>
      <c r="H183" s="408"/>
      <c r="I183" s="408"/>
      <c r="J183" s="408"/>
      <c r="K183" s="408"/>
      <c r="L183" s="408"/>
      <c r="M183" s="408"/>
      <c r="N183" s="408"/>
      <c r="O183" s="419"/>
      <c r="P183" s="401" t="s">
        <v>76</v>
      </c>
      <c r="Q183" s="402"/>
      <c r="R183" s="402"/>
      <c r="S183" s="402"/>
      <c r="T183" s="402"/>
      <c r="U183" s="402"/>
      <c r="V183" s="403"/>
      <c r="W183" s="38" t="s">
        <v>71</v>
      </c>
      <c r="X183" s="391">
        <f>IFERROR(SUM(X177:X181),"0")</f>
        <v>65</v>
      </c>
      <c r="Y183" s="391">
        <f>IFERROR(SUM(Y177:Y181),"0")</f>
        <v>68</v>
      </c>
      <c r="Z183" s="38"/>
      <c r="AA183" s="392"/>
      <c r="AB183" s="392"/>
      <c r="AC183" s="392"/>
    </row>
    <row r="184" spans="1:68" ht="16.5" customHeight="1" x14ac:dyDescent="0.25">
      <c r="A184" s="407" t="s">
        <v>310</v>
      </c>
      <c r="B184" s="408"/>
      <c r="C184" s="408"/>
      <c r="D184" s="408"/>
      <c r="E184" s="408"/>
      <c r="F184" s="408"/>
      <c r="G184" s="408"/>
      <c r="H184" s="408"/>
      <c r="I184" s="408"/>
      <c r="J184" s="408"/>
      <c r="K184" s="408"/>
      <c r="L184" s="408"/>
      <c r="M184" s="408"/>
      <c r="N184" s="408"/>
      <c r="O184" s="408"/>
      <c r="P184" s="408"/>
      <c r="Q184" s="408"/>
      <c r="R184" s="408"/>
      <c r="S184" s="408"/>
      <c r="T184" s="408"/>
      <c r="U184" s="408"/>
      <c r="V184" s="408"/>
      <c r="W184" s="408"/>
      <c r="X184" s="408"/>
      <c r="Y184" s="408"/>
      <c r="Z184" s="408"/>
      <c r="AA184" s="385"/>
      <c r="AB184" s="385"/>
      <c r="AC184" s="385"/>
    </row>
    <row r="185" spans="1:68" ht="14.25" customHeight="1" x14ac:dyDescent="0.25">
      <c r="A185" s="410" t="s">
        <v>86</v>
      </c>
      <c r="B185" s="408"/>
      <c r="C185" s="408"/>
      <c r="D185" s="408"/>
      <c r="E185" s="408"/>
      <c r="F185" s="408"/>
      <c r="G185" s="408"/>
      <c r="H185" s="408"/>
      <c r="I185" s="408"/>
      <c r="J185" s="408"/>
      <c r="K185" s="408"/>
      <c r="L185" s="408"/>
      <c r="M185" s="408"/>
      <c r="N185" s="408"/>
      <c r="O185" s="408"/>
      <c r="P185" s="408"/>
      <c r="Q185" s="408"/>
      <c r="R185" s="408"/>
      <c r="S185" s="408"/>
      <c r="T185" s="408"/>
      <c r="U185" s="408"/>
      <c r="V185" s="408"/>
      <c r="W185" s="408"/>
      <c r="X185" s="408"/>
      <c r="Y185" s="408"/>
      <c r="Z185" s="408"/>
      <c r="AA185" s="383"/>
      <c r="AB185" s="383"/>
      <c r="AC185" s="383"/>
    </row>
    <row r="186" spans="1:68" ht="27" customHeight="1" x14ac:dyDescent="0.25">
      <c r="A186" s="55" t="s">
        <v>311</v>
      </c>
      <c r="B186" s="55" t="s">
        <v>312</v>
      </c>
      <c r="C186" s="32">
        <v>4301011223</v>
      </c>
      <c r="D186" s="397">
        <v>4607091383423</v>
      </c>
      <c r="E186" s="398"/>
      <c r="F186" s="388">
        <v>1.35</v>
      </c>
      <c r="G186" s="33">
        <v>8</v>
      </c>
      <c r="H186" s="388">
        <v>10.8</v>
      </c>
      <c r="I186" s="388">
        <v>11.331</v>
      </c>
      <c r="J186" s="33">
        <v>64</v>
      </c>
      <c r="K186" s="33" t="s">
        <v>89</v>
      </c>
      <c r="L186" s="33"/>
      <c r="M186" s="34" t="s">
        <v>95</v>
      </c>
      <c r="N186" s="34"/>
      <c r="O186" s="33">
        <v>35</v>
      </c>
      <c r="P186" s="61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6" s="394"/>
      <c r="R186" s="394"/>
      <c r="S186" s="394"/>
      <c r="T186" s="395"/>
      <c r="U186" s="35"/>
      <c r="V186" s="35"/>
      <c r="W186" s="36" t="s">
        <v>71</v>
      </c>
      <c r="X186" s="389">
        <v>0</v>
      </c>
      <c r="Y186" s="390">
        <f>IFERROR(IF(X186="",0,CEILING((X186/$H186),1)*$H186),"")</f>
        <v>0</v>
      </c>
      <c r="Z186" s="37" t="str">
        <f>IFERROR(IF(Y186=0,"",ROUNDUP(Y186/H186,0)*0.01898),"")</f>
        <v/>
      </c>
      <c r="AA186" s="57"/>
      <c r="AB186" s="58"/>
      <c r="AC186" s="230" t="s">
        <v>91</v>
      </c>
      <c r="AG186" s="65"/>
      <c r="AJ186" s="69"/>
      <c r="AK186" s="69">
        <v>0</v>
      </c>
      <c r="BB186" s="231" t="s">
        <v>1</v>
      </c>
      <c r="BM186" s="65">
        <f>IFERROR(X186*I186/H186,"0")</f>
        <v>0</v>
      </c>
      <c r="BN186" s="65">
        <f>IFERROR(Y186*I186/H186,"0")</f>
        <v>0</v>
      </c>
      <c r="BO186" s="65">
        <f>IFERROR(1/J186*(X186/H186),"0")</f>
        <v>0</v>
      </c>
      <c r="BP186" s="65">
        <f>IFERROR(1/J186*(Y186/H186),"0")</f>
        <v>0</v>
      </c>
    </row>
    <row r="187" spans="1:68" ht="27" customHeight="1" x14ac:dyDescent="0.25">
      <c r="A187" s="55" t="s">
        <v>313</v>
      </c>
      <c r="B187" s="55" t="s">
        <v>314</v>
      </c>
      <c r="C187" s="32">
        <v>4301012199</v>
      </c>
      <c r="D187" s="397">
        <v>4680115886957</v>
      </c>
      <c r="E187" s="398"/>
      <c r="F187" s="388">
        <v>1.35</v>
      </c>
      <c r="G187" s="33">
        <v>8</v>
      </c>
      <c r="H187" s="388">
        <v>10.8</v>
      </c>
      <c r="I187" s="388">
        <v>11.234999999999999</v>
      </c>
      <c r="J187" s="33">
        <v>64</v>
      </c>
      <c r="K187" s="33" t="s">
        <v>89</v>
      </c>
      <c r="L187" s="33"/>
      <c r="M187" s="34" t="s">
        <v>95</v>
      </c>
      <c r="N187" s="34"/>
      <c r="O187" s="33">
        <v>30</v>
      </c>
      <c r="P187" s="474" t="s">
        <v>315</v>
      </c>
      <c r="Q187" s="394"/>
      <c r="R187" s="394"/>
      <c r="S187" s="394"/>
      <c r="T187" s="395"/>
      <c r="U187" s="35"/>
      <c r="V187" s="35"/>
      <c r="W187" s="36" t="s">
        <v>71</v>
      </c>
      <c r="X187" s="389">
        <v>0</v>
      </c>
      <c r="Y187" s="390">
        <f>IFERROR(IF(X187="",0,CEILING((X187/$H187),1)*$H187),"")</f>
        <v>0</v>
      </c>
      <c r="Z187" s="37" t="str">
        <f>IFERROR(IF(Y187=0,"",ROUNDUP(Y187/H187,0)*0.01898),"")</f>
        <v/>
      </c>
      <c r="AA187" s="57"/>
      <c r="AB187" s="58"/>
      <c r="AC187" s="232" t="s">
        <v>316</v>
      </c>
      <c r="AG187" s="65"/>
      <c r="AJ187" s="69"/>
      <c r="AK187" s="69">
        <v>0</v>
      </c>
      <c r="BB187" s="233" t="s">
        <v>1</v>
      </c>
      <c r="BM187" s="65">
        <f>IFERROR(X187*I187/H187,"0")</f>
        <v>0</v>
      </c>
      <c r="BN187" s="65">
        <f>IFERROR(Y187*I187/H187,"0")</f>
        <v>0</v>
      </c>
      <c r="BO187" s="65">
        <f>IFERROR(1/J187*(X187/H187),"0")</f>
        <v>0</v>
      </c>
      <c r="BP187" s="65">
        <f>IFERROR(1/J187*(Y187/H187),"0")</f>
        <v>0</v>
      </c>
    </row>
    <row r="188" spans="1:68" x14ac:dyDescent="0.2">
      <c r="A188" s="418"/>
      <c r="B188" s="408"/>
      <c r="C188" s="408"/>
      <c r="D188" s="408"/>
      <c r="E188" s="408"/>
      <c r="F188" s="408"/>
      <c r="G188" s="408"/>
      <c r="H188" s="408"/>
      <c r="I188" s="408"/>
      <c r="J188" s="408"/>
      <c r="K188" s="408"/>
      <c r="L188" s="408"/>
      <c r="M188" s="408"/>
      <c r="N188" s="408"/>
      <c r="O188" s="419"/>
      <c r="P188" s="401" t="s">
        <v>76</v>
      </c>
      <c r="Q188" s="402"/>
      <c r="R188" s="402"/>
      <c r="S188" s="402"/>
      <c r="T188" s="402"/>
      <c r="U188" s="402"/>
      <c r="V188" s="403"/>
      <c r="W188" s="38" t="s">
        <v>77</v>
      </c>
      <c r="X188" s="391">
        <f>IFERROR(X186/H186,"0")+IFERROR(X187/H187,"0")</f>
        <v>0</v>
      </c>
      <c r="Y188" s="391">
        <f>IFERROR(Y186/H186,"0")+IFERROR(Y187/H187,"0")</f>
        <v>0</v>
      </c>
      <c r="Z188" s="391">
        <f>IFERROR(IF(Z186="",0,Z186),"0")+IFERROR(IF(Z187="",0,Z187),"0")</f>
        <v>0</v>
      </c>
      <c r="AA188" s="392"/>
      <c r="AB188" s="392"/>
      <c r="AC188" s="392"/>
    </row>
    <row r="189" spans="1:68" x14ac:dyDescent="0.2">
      <c r="A189" s="408"/>
      <c r="B189" s="408"/>
      <c r="C189" s="408"/>
      <c r="D189" s="408"/>
      <c r="E189" s="408"/>
      <c r="F189" s="408"/>
      <c r="G189" s="408"/>
      <c r="H189" s="408"/>
      <c r="I189" s="408"/>
      <c r="J189" s="408"/>
      <c r="K189" s="408"/>
      <c r="L189" s="408"/>
      <c r="M189" s="408"/>
      <c r="N189" s="408"/>
      <c r="O189" s="419"/>
      <c r="P189" s="401" t="s">
        <v>76</v>
      </c>
      <c r="Q189" s="402"/>
      <c r="R189" s="402"/>
      <c r="S189" s="402"/>
      <c r="T189" s="402"/>
      <c r="U189" s="402"/>
      <c r="V189" s="403"/>
      <c r="W189" s="38" t="s">
        <v>71</v>
      </c>
      <c r="X189" s="391">
        <f>IFERROR(SUM(X186:X187),"0")</f>
        <v>0</v>
      </c>
      <c r="Y189" s="391">
        <f>IFERROR(SUM(Y186:Y187),"0")</f>
        <v>0</v>
      </c>
      <c r="Z189" s="38"/>
      <c r="AA189" s="392"/>
      <c r="AB189" s="392"/>
      <c r="AC189" s="392"/>
    </row>
    <row r="190" spans="1:68" ht="16.5" customHeight="1" x14ac:dyDescent="0.25">
      <c r="A190" s="407" t="s">
        <v>317</v>
      </c>
      <c r="B190" s="408"/>
      <c r="C190" s="408"/>
      <c r="D190" s="408"/>
      <c r="E190" s="408"/>
      <c r="F190" s="408"/>
      <c r="G190" s="408"/>
      <c r="H190" s="408"/>
      <c r="I190" s="408"/>
      <c r="J190" s="408"/>
      <c r="K190" s="408"/>
      <c r="L190" s="408"/>
      <c r="M190" s="408"/>
      <c r="N190" s="408"/>
      <c r="O190" s="408"/>
      <c r="P190" s="408"/>
      <c r="Q190" s="408"/>
      <c r="R190" s="408"/>
      <c r="S190" s="408"/>
      <c r="T190" s="408"/>
      <c r="U190" s="408"/>
      <c r="V190" s="408"/>
      <c r="W190" s="408"/>
      <c r="X190" s="408"/>
      <c r="Y190" s="408"/>
      <c r="Z190" s="408"/>
      <c r="AA190" s="385"/>
      <c r="AB190" s="385"/>
      <c r="AC190" s="385"/>
    </row>
    <row r="191" spans="1:68" ht="14.25" customHeight="1" x14ac:dyDescent="0.25">
      <c r="A191" s="410" t="s">
        <v>66</v>
      </c>
      <c r="B191" s="408"/>
      <c r="C191" s="408"/>
      <c r="D191" s="408"/>
      <c r="E191" s="408"/>
      <c r="F191" s="408"/>
      <c r="G191" s="408"/>
      <c r="H191" s="408"/>
      <c r="I191" s="408"/>
      <c r="J191" s="408"/>
      <c r="K191" s="408"/>
      <c r="L191" s="408"/>
      <c r="M191" s="408"/>
      <c r="N191" s="408"/>
      <c r="O191" s="408"/>
      <c r="P191" s="408"/>
      <c r="Q191" s="408"/>
      <c r="R191" s="408"/>
      <c r="S191" s="408"/>
      <c r="T191" s="408"/>
      <c r="U191" s="408"/>
      <c r="V191" s="408"/>
      <c r="W191" s="408"/>
      <c r="X191" s="408"/>
      <c r="Y191" s="408"/>
      <c r="Z191" s="408"/>
      <c r="AA191" s="383"/>
      <c r="AB191" s="383"/>
      <c r="AC191" s="383"/>
    </row>
    <row r="192" spans="1:68" ht="37.5" customHeight="1" x14ac:dyDescent="0.25">
      <c r="A192" s="55" t="s">
        <v>318</v>
      </c>
      <c r="B192" s="55" t="s">
        <v>319</v>
      </c>
      <c r="C192" s="32">
        <v>4301051388</v>
      </c>
      <c r="D192" s="397">
        <v>4680115881211</v>
      </c>
      <c r="E192" s="398"/>
      <c r="F192" s="388">
        <v>0.4</v>
      </c>
      <c r="G192" s="33">
        <v>6</v>
      </c>
      <c r="H192" s="388">
        <v>2.4</v>
      </c>
      <c r="I192" s="388">
        <v>2.58</v>
      </c>
      <c r="J192" s="33">
        <v>182</v>
      </c>
      <c r="K192" s="33" t="s">
        <v>69</v>
      </c>
      <c r="L192" s="33"/>
      <c r="M192" s="34" t="s">
        <v>95</v>
      </c>
      <c r="N192" s="34"/>
      <c r="O192" s="33">
        <v>45</v>
      </c>
      <c r="P192" s="46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2" s="394"/>
      <c r="R192" s="394"/>
      <c r="S192" s="394"/>
      <c r="T192" s="395"/>
      <c r="U192" s="35"/>
      <c r="V192" s="35"/>
      <c r="W192" s="36" t="s">
        <v>71</v>
      </c>
      <c r="X192" s="389">
        <v>0</v>
      </c>
      <c r="Y192" s="390">
        <f>IFERROR(IF(X192="",0,CEILING((X192/$H192),1)*$H192),"")</f>
        <v>0</v>
      </c>
      <c r="Z192" s="37" t="str">
        <f>IFERROR(IF(Y192=0,"",ROUNDUP(Y192/H192,0)*0.00651),"")</f>
        <v/>
      </c>
      <c r="AA192" s="57"/>
      <c r="AB192" s="58"/>
      <c r="AC192" s="234" t="s">
        <v>320</v>
      </c>
      <c r="AG192" s="65"/>
      <c r="AJ192" s="69"/>
      <c r="AK192" s="69">
        <v>0</v>
      </c>
      <c r="BB192" s="235" t="s">
        <v>1</v>
      </c>
      <c r="BM192" s="65">
        <f>IFERROR(X192*I192/H192,"0")</f>
        <v>0</v>
      </c>
      <c r="BN192" s="65">
        <f>IFERROR(Y192*I192/H192,"0")</f>
        <v>0</v>
      </c>
      <c r="BO192" s="65">
        <f>IFERROR(1/J192*(X192/H192),"0")</f>
        <v>0</v>
      </c>
      <c r="BP192" s="65">
        <f>IFERROR(1/J192*(Y192/H192),"0")</f>
        <v>0</v>
      </c>
    </row>
    <row r="193" spans="1:68" x14ac:dyDescent="0.2">
      <c r="A193" s="418"/>
      <c r="B193" s="408"/>
      <c r="C193" s="408"/>
      <c r="D193" s="408"/>
      <c r="E193" s="408"/>
      <c r="F193" s="408"/>
      <c r="G193" s="408"/>
      <c r="H193" s="408"/>
      <c r="I193" s="408"/>
      <c r="J193" s="408"/>
      <c r="K193" s="408"/>
      <c r="L193" s="408"/>
      <c r="M193" s="408"/>
      <c r="N193" s="408"/>
      <c r="O193" s="419"/>
      <c r="P193" s="401" t="s">
        <v>76</v>
      </c>
      <c r="Q193" s="402"/>
      <c r="R193" s="402"/>
      <c r="S193" s="402"/>
      <c r="T193" s="402"/>
      <c r="U193" s="402"/>
      <c r="V193" s="403"/>
      <c r="W193" s="38" t="s">
        <v>77</v>
      </c>
      <c r="X193" s="391">
        <f>IFERROR(X192/H192,"0")</f>
        <v>0</v>
      </c>
      <c r="Y193" s="391">
        <f>IFERROR(Y192/H192,"0")</f>
        <v>0</v>
      </c>
      <c r="Z193" s="391">
        <f>IFERROR(IF(Z192="",0,Z192),"0")</f>
        <v>0</v>
      </c>
      <c r="AA193" s="392"/>
      <c r="AB193" s="392"/>
      <c r="AC193" s="392"/>
    </row>
    <row r="194" spans="1:68" x14ac:dyDescent="0.2">
      <c r="A194" s="408"/>
      <c r="B194" s="408"/>
      <c r="C194" s="408"/>
      <c r="D194" s="408"/>
      <c r="E194" s="408"/>
      <c r="F194" s="408"/>
      <c r="G194" s="408"/>
      <c r="H194" s="408"/>
      <c r="I194" s="408"/>
      <c r="J194" s="408"/>
      <c r="K194" s="408"/>
      <c r="L194" s="408"/>
      <c r="M194" s="408"/>
      <c r="N194" s="408"/>
      <c r="O194" s="419"/>
      <c r="P194" s="401" t="s">
        <v>76</v>
      </c>
      <c r="Q194" s="402"/>
      <c r="R194" s="402"/>
      <c r="S194" s="402"/>
      <c r="T194" s="402"/>
      <c r="U194" s="402"/>
      <c r="V194" s="403"/>
      <c r="W194" s="38" t="s">
        <v>71</v>
      </c>
      <c r="X194" s="391">
        <f>IFERROR(SUM(X192:X192),"0")</f>
        <v>0</v>
      </c>
      <c r="Y194" s="391">
        <f>IFERROR(SUM(Y192:Y192),"0")</f>
        <v>0</v>
      </c>
      <c r="Z194" s="38"/>
      <c r="AA194" s="392"/>
      <c r="AB194" s="392"/>
      <c r="AC194" s="392"/>
    </row>
    <row r="195" spans="1:68" ht="16.5" customHeight="1" x14ac:dyDescent="0.25">
      <c r="A195" s="407" t="s">
        <v>321</v>
      </c>
      <c r="B195" s="408"/>
      <c r="C195" s="408"/>
      <c r="D195" s="408"/>
      <c r="E195" s="408"/>
      <c r="F195" s="408"/>
      <c r="G195" s="408"/>
      <c r="H195" s="408"/>
      <c r="I195" s="408"/>
      <c r="J195" s="408"/>
      <c r="K195" s="408"/>
      <c r="L195" s="408"/>
      <c r="M195" s="408"/>
      <c r="N195" s="408"/>
      <c r="O195" s="408"/>
      <c r="P195" s="408"/>
      <c r="Q195" s="408"/>
      <c r="R195" s="408"/>
      <c r="S195" s="408"/>
      <c r="T195" s="408"/>
      <c r="U195" s="408"/>
      <c r="V195" s="408"/>
      <c r="W195" s="408"/>
      <c r="X195" s="408"/>
      <c r="Y195" s="408"/>
      <c r="Z195" s="408"/>
      <c r="AA195" s="385"/>
      <c r="AB195" s="385"/>
      <c r="AC195" s="385"/>
    </row>
    <row r="196" spans="1:68" ht="14.25" customHeight="1" x14ac:dyDescent="0.25">
      <c r="A196" s="410" t="s">
        <v>66</v>
      </c>
      <c r="B196" s="408"/>
      <c r="C196" s="408"/>
      <c r="D196" s="408"/>
      <c r="E196" s="408"/>
      <c r="F196" s="408"/>
      <c r="G196" s="408"/>
      <c r="H196" s="408"/>
      <c r="I196" s="408"/>
      <c r="J196" s="408"/>
      <c r="K196" s="408"/>
      <c r="L196" s="408"/>
      <c r="M196" s="408"/>
      <c r="N196" s="408"/>
      <c r="O196" s="408"/>
      <c r="P196" s="408"/>
      <c r="Q196" s="408"/>
      <c r="R196" s="408"/>
      <c r="S196" s="408"/>
      <c r="T196" s="408"/>
      <c r="U196" s="408"/>
      <c r="V196" s="408"/>
      <c r="W196" s="408"/>
      <c r="X196" s="408"/>
      <c r="Y196" s="408"/>
      <c r="Z196" s="408"/>
      <c r="AA196" s="383"/>
      <c r="AB196" s="383"/>
      <c r="AC196" s="383"/>
    </row>
    <row r="197" spans="1:68" ht="27" customHeight="1" x14ac:dyDescent="0.25">
      <c r="A197" s="55" t="s">
        <v>322</v>
      </c>
      <c r="B197" s="55" t="s">
        <v>323</v>
      </c>
      <c r="C197" s="32">
        <v>4301051782</v>
      </c>
      <c r="D197" s="397">
        <v>4680115884618</v>
      </c>
      <c r="E197" s="398"/>
      <c r="F197" s="388">
        <v>0.6</v>
      </c>
      <c r="G197" s="33">
        <v>6</v>
      </c>
      <c r="H197" s="388">
        <v>3.6</v>
      </c>
      <c r="I197" s="388">
        <v>3.81</v>
      </c>
      <c r="J197" s="33">
        <v>132</v>
      </c>
      <c r="K197" s="33" t="s">
        <v>94</v>
      </c>
      <c r="L197" s="33"/>
      <c r="M197" s="34" t="s">
        <v>95</v>
      </c>
      <c r="N197" s="34"/>
      <c r="O197" s="33">
        <v>45</v>
      </c>
      <c r="P197" s="49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7" s="394"/>
      <c r="R197" s="394"/>
      <c r="S197" s="394"/>
      <c r="T197" s="395"/>
      <c r="U197" s="35"/>
      <c r="V197" s="35"/>
      <c r="W197" s="36" t="s">
        <v>71</v>
      </c>
      <c r="X197" s="389">
        <v>0</v>
      </c>
      <c r="Y197" s="390">
        <f>IFERROR(IF(X197="",0,CEILING((X197/$H197),1)*$H197),"")</f>
        <v>0</v>
      </c>
      <c r="Z197" s="37" t="str">
        <f>IFERROR(IF(Y197=0,"",ROUNDUP(Y197/H197,0)*0.00902),"")</f>
        <v/>
      </c>
      <c r="AA197" s="57"/>
      <c r="AB197" s="58"/>
      <c r="AC197" s="236" t="s">
        <v>324</v>
      </c>
      <c r="AG197" s="65"/>
      <c r="AJ197" s="69"/>
      <c r="AK197" s="69">
        <v>0</v>
      </c>
      <c r="BB197" s="237" t="s">
        <v>1</v>
      </c>
      <c r="BM197" s="65">
        <f>IFERROR(X197*I197/H197,"0")</f>
        <v>0</v>
      </c>
      <c r="BN197" s="65">
        <f>IFERROR(Y197*I197/H197,"0")</f>
        <v>0</v>
      </c>
      <c r="BO197" s="65">
        <f>IFERROR(1/J197*(X197/H197),"0")</f>
        <v>0</v>
      </c>
      <c r="BP197" s="65">
        <f>IFERROR(1/J197*(Y197/H197),"0")</f>
        <v>0</v>
      </c>
    </row>
    <row r="198" spans="1:68" x14ac:dyDescent="0.2">
      <c r="A198" s="418"/>
      <c r="B198" s="408"/>
      <c r="C198" s="408"/>
      <c r="D198" s="408"/>
      <c r="E198" s="408"/>
      <c r="F198" s="408"/>
      <c r="G198" s="408"/>
      <c r="H198" s="408"/>
      <c r="I198" s="408"/>
      <c r="J198" s="408"/>
      <c r="K198" s="408"/>
      <c r="L198" s="408"/>
      <c r="M198" s="408"/>
      <c r="N198" s="408"/>
      <c r="O198" s="419"/>
      <c r="P198" s="401" t="s">
        <v>76</v>
      </c>
      <c r="Q198" s="402"/>
      <c r="R198" s="402"/>
      <c r="S198" s="402"/>
      <c r="T198" s="402"/>
      <c r="U198" s="402"/>
      <c r="V198" s="403"/>
      <c r="W198" s="38" t="s">
        <v>77</v>
      </c>
      <c r="X198" s="391">
        <f>IFERROR(X197/H197,"0")</f>
        <v>0</v>
      </c>
      <c r="Y198" s="391">
        <f>IFERROR(Y197/H197,"0")</f>
        <v>0</v>
      </c>
      <c r="Z198" s="391">
        <f>IFERROR(IF(Z197="",0,Z197),"0")</f>
        <v>0</v>
      </c>
      <c r="AA198" s="392"/>
      <c r="AB198" s="392"/>
      <c r="AC198" s="392"/>
    </row>
    <row r="199" spans="1:68" x14ac:dyDescent="0.2">
      <c r="A199" s="408"/>
      <c r="B199" s="408"/>
      <c r="C199" s="408"/>
      <c r="D199" s="408"/>
      <c r="E199" s="408"/>
      <c r="F199" s="408"/>
      <c r="G199" s="408"/>
      <c r="H199" s="408"/>
      <c r="I199" s="408"/>
      <c r="J199" s="408"/>
      <c r="K199" s="408"/>
      <c r="L199" s="408"/>
      <c r="M199" s="408"/>
      <c r="N199" s="408"/>
      <c r="O199" s="419"/>
      <c r="P199" s="401" t="s">
        <v>76</v>
      </c>
      <c r="Q199" s="402"/>
      <c r="R199" s="402"/>
      <c r="S199" s="402"/>
      <c r="T199" s="402"/>
      <c r="U199" s="402"/>
      <c r="V199" s="403"/>
      <c r="W199" s="38" t="s">
        <v>71</v>
      </c>
      <c r="X199" s="391">
        <f>IFERROR(SUM(X197:X197),"0")</f>
        <v>0</v>
      </c>
      <c r="Y199" s="391">
        <f>IFERROR(SUM(Y197:Y197),"0")</f>
        <v>0</v>
      </c>
      <c r="Z199" s="38"/>
      <c r="AA199" s="392"/>
      <c r="AB199" s="392"/>
      <c r="AC199" s="392"/>
    </row>
    <row r="200" spans="1:68" ht="16.5" customHeight="1" x14ac:dyDescent="0.25">
      <c r="A200" s="407" t="s">
        <v>325</v>
      </c>
      <c r="B200" s="408"/>
      <c r="C200" s="408"/>
      <c r="D200" s="408"/>
      <c r="E200" s="408"/>
      <c r="F200" s="408"/>
      <c r="G200" s="408"/>
      <c r="H200" s="408"/>
      <c r="I200" s="408"/>
      <c r="J200" s="408"/>
      <c r="K200" s="408"/>
      <c r="L200" s="408"/>
      <c r="M200" s="408"/>
      <c r="N200" s="408"/>
      <c r="O200" s="408"/>
      <c r="P200" s="408"/>
      <c r="Q200" s="408"/>
      <c r="R200" s="408"/>
      <c r="S200" s="408"/>
      <c r="T200" s="408"/>
      <c r="U200" s="408"/>
      <c r="V200" s="408"/>
      <c r="W200" s="408"/>
      <c r="X200" s="408"/>
      <c r="Y200" s="408"/>
      <c r="Z200" s="408"/>
      <c r="AA200" s="385"/>
      <c r="AB200" s="385"/>
      <c r="AC200" s="385"/>
    </row>
    <row r="201" spans="1:68" ht="14.25" customHeight="1" x14ac:dyDescent="0.25">
      <c r="A201" s="410" t="s">
        <v>86</v>
      </c>
      <c r="B201" s="408"/>
      <c r="C201" s="408"/>
      <c r="D201" s="408"/>
      <c r="E201" s="408"/>
      <c r="F201" s="408"/>
      <c r="G201" s="408"/>
      <c r="H201" s="408"/>
      <c r="I201" s="408"/>
      <c r="J201" s="408"/>
      <c r="K201" s="408"/>
      <c r="L201" s="408"/>
      <c r="M201" s="408"/>
      <c r="N201" s="408"/>
      <c r="O201" s="408"/>
      <c r="P201" s="408"/>
      <c r="Q201" s="408"/>
      <c r="R201" s="408"/>
      <c r="S201" s="408"/>
      <c r="T201" s="408"/>
      <c r="U201" s="408"/>
      <c r="V201" s="408"/>
      <c r="W201" s="408"/>
      <c r="X201" s="408"/>
      <c r="Y201" s="408"/>
      <c r="Z201" s="408"/>
      <c r="AA201" s="383"/>
      <c r="AB201" s="383"/>
      <c r="AC201" s="383"/>
    </row>
    <row r="202" spans="1:68" ht="27" customHeight="1" x14ac:dyDescent="0.25">
      <c r="A202" s="55" t="s">
        <v>326</v>
      </c>
      <c r="B202" s="55" t="s">
        <v>327</v>
      </c>
      <c r="C202" s="32">
        <v>4301011662</v>
      </c>
      <c r="D202" s="397">
        <v>4680115883703</v>
      </c>
      <c r="E202" s="398"/>
      <c r="F202" s="388">
        <v>1.35</v>
      </c>
      <c r="G202" s="33">
        <v>8</v>
      </c>
      <c r="H202" s="388">
        <v>10.8</v>
      </c>
      <c r="I202" s="388">
        <v>11.234999999999999</v>
      </c>
      <c r="J202" s="33">
        <v>64</v>
      </c>
      <c r="K202" s="33" t="s">
        <v>89</v>
      </c>
      <c r="L202" s="33"/>
      <c r="M202" s="34" t="s">
        <v>90</v>
      </c>
      <c r="N202" s="34"/>
      <c r="O202" s="33">
        <v>55</v>
      </c>
      <c r="P202" s="63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2" s="394"/>
      <c r="R202" s="394"/>
      <c r="S202" s="394"/>
      <c r="T202" s="395"/>
      <c r="U202" s="35"/>
      <c r="V202" s="35"/>
      <c r="W202" s="36" t="s">
        <v>71</v>
      </c>
      <c r="X202" s="389">
        <v>0</v>
      </c>
      <c r="Y202" s="390">
        <f>IFERROR(IF(X202="",0,CEILING((X202/$H202),1)*$H202),"")</f>
        <v>0</v>
      </c>
      <c r="Z202" s="37" t="str">
        <f>IFERROR(IF(Y202=0,"",ROUNDUP(Y202/H202,0)*0.01898),"")</f>
        <v/>
      </c>
      <c r="AA202" s="57" t="s">
        <v>328</v>
      </c>
      <c r="AB202" s="58"/>
      <c r="AC202" s="238" t="s">
        <v>329</v>
      </c>
      <c r="AG202" s="65"/>
      <c r="AJ202" s="69"/>
      <c r="AK202" s="69">
        <v>0</v>
      </c>
      <c r="BB202" s="239" t="s">
        <v>1</v>
      </c>
      <c r="BM202" s="65">
        <f>IFERROR(X202*I202/H202,"0")</f>
        <v>0</v>
      </c>
      <c r="BN202" s="65">
        <f>IFERROR(Y202*I202/H202,"0")</f>
        <v>0</v>
      </c>
      <c r="BO202" s="65">
        <f>IFERROR(1/J202*(X202/H202),"0")</f>
        <v>0</v>
      </c>
      <c r="BP202" s="65">
        <f>IFERROR(1/J202*(Y202/H202),"0")</f>
        <v>0</v>
      </c>
    </row>
    <row r="203" spans="1:68" x14ac:dyDescent="0.2">
      <c r="A203" s="418"/>
      <c r="B203" s="408"/>
      <c r="C203" s="408"/>
      <c r="D203" s="408"/>
      <c r="E203" s="408"/>
      <c r="F203" s="408"/>
      <c r="G203" s="408"/>
      <c r="H203" s="408"/>
      <c r="I203" s="408"/>
      <c r="J203" s="408"/>
      <c r="K203" s="408"/>
      <c r="L203" s="408"/>
      <c r="M203" s="408"/>
      <c r="N203" s="408"/>
      <c r="O203" s="419"/>
      <c r="P203" s="401" t="s">
        <v>76</v>
      </c>
      <c r="Q203" s="402"/>
      <c r="R203" s="402"/>
      <c r="S203" s="402"/>
      <c r="T203" s="402"/>
      <c r="U203" s="402"/>
      <c r="V203" s="403"/>
      <c r="W203" s="38" t="s">
        <v>77</v>
      </c>
      <c r="X203" s="391">
        <f>IFERROR(X202/H202,"0")</f>
        <v>0</v>
      </c>
      <c r="Y203" s="391">
        <f>IFERROR(Y202/H202,"0")</f>
        <v>0</v>
      </c>
      <c r="Z203" s="391">
        <f>IFERROR(IF(Z202="",0,Z202),"0")</f>
        <v>0</v>
      </c>
      <c r="AA203" s="392"/>
      <c r="AB203" s="392"/>
      <c r="AC203" s="392"/>
    </row>
    <row r="204" spans="1:68" x14ac:dyDescent="0.2">
      <c r="A204" s="408"/>
      <c r="B204" s="408"/>
      <c r="C204" s="408"/>
      <c r="D204" s="408"/>
      <c r="E204" s="408"/>
      <c r="F204" s="408"/>
      <c r="G204" s="408"/>
      <c r="H204" s="408"/>
      <c r="I204" s="408"/>
      <c r="J204" s="408"/>
      <c r="K204" s="408"/>
      <c r="L204" s="408"/>
      <c r="M204" s="408"/>
      <c r="N204" s="408"/>
      <c r="O204" s="419"/>
      <c r="P204" s="401" t="s">
        <v>76</v>
      </c>
      <c r="Q204" s="402"/>
      <c r="R204" s="402"/>
      <c r="S204" s="402"/>
      <c r="T204" s="402"/>
      <c r="U204" s="402"/>
      <c r="V204" s="403"/>
      <c r="W204" s="38" t="s">
        <v>71</v>
      </c>
      <c r="X204" s="391">
        <f>IFERROR(SUM(X202:X202),"0")</f>
        <v>0</v>
      </c>
      <c r="Y204" s="391">
        <f>IFERROR(SUM(Y202:Y202),"0")</f>
        <v>0</v>
      </c>
      <c r="Z204" s="38"/>
      <c r="AA204" s="392"/>
      <c r="AB204" s="392"/>
      <c r="AC204" s="392"/>
    </row>
    <row r="205" spans="1:68" ht="16.5" customHeight="1" x14ac:dyDescent="0.25">
      <c r="A205" s="407" t="s">
        <v>330</v>
      </c>
      <c r="B205" s="408"/>
      <c r="C205" s="408"/>
      <c r="D205" s="408"/>
      <c r="E205" s="408"/>
      <c r="F205" s="408"/>
      <c r="G205" s="408"/>
      <c r="H205" s="408"/>
      <c r="I205" s="408"/>
      <c r="J205" s="408"/>
      <c r="K205" s="408"/>
      <c r="L205" s="408"/>
      <c r="M205" s="408"/>
      <c r="N205" s="408"/>
      <c r="O205" s="408"/>
      <c r="P205" s="408"/>
      <c r="Q205" s="408"/>
      <c r="R205" s="408"/>
      <c r="S205" s="408"/>
      <c r="T205" s="408"/>
      <c r="U205" s="408"/>
      <c r="V205" s="408"/>
      <c r="W205" s="408"/>
      <c r="X205" s="408"/>
      <c r="Y205" s="408"/>
      <c r="Z205" s="408"/>
      <c r="AA205" s="385"/>
      <c r="AB205" s="385"/>
      <c r="AC205" s="385"/>
    </row>
    <row r="206" spans="1:68" ht="14.25" customHeight="1" x14ac:dyDescent="0.25">
      <c r="A206" s="410" t="s">
        <v>86</v>
      </c>
      <c r="B206" s="408"/>
      <c r="C206" s="408"/>
      <c r="D206" s="408"/>
      <c r="E206" s="408"/>
      <c r="F206" s="408"/>
      <c r="G206" s="408"/>
      <c r="H206" s="408"/>
      <c r="I206" s="408"/>
      <c r="J206" s="408"/>
      <c r="K206" s="408"/>
      <c r="L206" s="408"/>
      <c r="M206" s="408"/>
      <c r="N206" s="408"/>
      <c r="O206" s="408"/>
      <c r="P206" s="408"/>
      <c r="Q206" s="408"/>
      <c r="R206" s="408"/>
      <c r="S206" s="408"/>
      <c r="T206" s="408"/>
      <c r="U206" s="408"/>
      <c r="V206" s="408"/>
      <c r="W206" s="408"/>
      <c r="X206" s="408"/>
      <c r="Y206" s="408"/>
      <c r="Z206" s="408"/>
      <c r="AA206" s="383"/>
      <c r="AB206" s="383"/>
      <c r="AC206" s="383"/>
    </row>
    <row r="207" spans="1:68" ht="27" customHeight="1" x14ac:dyDescent="0.25">
      <c r="A207" s="55" t="s">
        <v>331</v>
      </c>
      <c r="B207" s="55" t="s">
        <v>332</v>
      </c>
      <c r="C207" s="32">
        <v>4301012024</v>
      </c>
      <c r="D207" s="397">
        <v>4680115885615</v>
      </c>
      <c r="E207" s="398"/>
      <c r="F207" s="388">
        <v>1.35</v>
      </c>
      <c r="G207" s="33">
        <v>8</v>
      </c>
      <c r="H207" s="388">
        <v>10.8</v>
      </c>
      <c r="I207" s="388">
        <v>11.234999999999999</v>
      </c>
      <c r="J207" s="33">
        <v>64</v>
      </c>
      <c r="K207" s="33" t="s">
        <v>89</v>
      </c>
      <c r="L207" s="33"/>
      <c r="M207" s="34" t="s">
        <v>95</v>
      </c>
      <c r="N207" s="34"/>
      <c r="O207" s="33">
        <v>55</v>
      </c>
      <c r="P207" s="5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7" s="394"/>
      <c r="R207" s="394"/>
      <c r="S207" s="394"/>
      <c r="T207" s="395"/>
      <c r="U207" s="35"/>
      <c r="V207" s="35"/>
      <c r="W207" s="36" t="s">
        <v>71</v>
      </c>
      <c r="X207" s="389">
        <v>0</v>
      </c>
      <c r="Y207" s="390">
        <f>IFERROR(IF(X207="",0,CEILING((X207/$H207),1)*$H207),"")</f>
        <v>0</v>
      </c>
      <c r="Z207" s="37" t="str">
        <f>IFERROR(IF(Y207=0,"",ROUNDUP(Y207/H207,0)*0.01898),"")</f>
        <v/>
      </c>
      <c r="AA207" s="57"/>
      <c r="AB207" s="58"/>
      <c r="AC207" s="240" t="s">
        <v>333</v>
      </c>
      <c r="AG207" s="65"/>
      <c r="AJ207" s="69"/>
      <c r="AK207" s="69">
        <v>0</v>
      </c>
      <c r="BB207" s="241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37.5" customHeight="1" x14ac:dyDescent="0.25">
      <c r="A208" s="55" t="s">
        <v>334</v>
      </c>
      <c r="B208" s="55" t="s">
        <v>335</v>
      </c>
      <c r="C208" s="32">
        <v>4301011858</v>
      </c>
      <c r="D208" s="397">
        <v>4680115885646</v>
      </c>
      <c r="E208" s="398"/>
      <c r="F208" s="388">
        <v>1.35</v>
      </c>
      <c r="G208" s="33">
        <v>8</v>
      </c>
      <c r="H208" s="388">
        <v>10.8</v>
      </c>
      <c r="I208" s="388">
        <v>11.234999999999999</v>
      </c>
      <c r="J208" s="33">
        <v>64</v>
      </c>
      <c r="K208" s="33" t="s">
        <v>89</v>
      </c>
      <c r="L208" s="33"/>
      <c r="M208" s="34" t="s">
        <v>90</v>
      </c>
      <c r="N208" s="34"/>
      <c r="O208" s="33">
        <v>55</v>
      </c>
      <c r="P208" s="5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8" s="394"/>
      <c r="R208" s="394"/>
      <c r="S208" s="394"/>
      <c r="T208" s="395"/>
      <c r="U208" s="35"/>
      <c r="V208" s="35"/>
      <c r="W208" s="36" t="s">
        <v>71</v>
      </c>
      <c r="X208" s="389">
        <v>0</v>
      </c>
      <c r="Y208" s="390">
        <f>IFERROR(IF(X208="",0,CEILING((X208/$H208),1)*$H208),"")</f>
        <v>0</v>
      </c>
      <c r="Z208" s="37" t="str">
        <f>IFERROR(IF(Y208=0,"",ROUNDUP(Y208/H208,0)*0.01898),"")</f>
        <v/>
      </c>
      <c r="AA208" s="57"/>
      <c r="AB208" s="58"/>
      <c r="AC208" s="242" t="s">
        <v>336</v>
      </c>
      <c r="AG208" s="65"/>
      <c r="AJ208" s="69"/>
      <c r="AK208" s="69">
        <v>0</v>
      </c>
      <c r="BB208" s="243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ht="27" customHeight="1" x14ac:dyDescent="0.25">
      <c r="A209" s="55" t="s">
        <v>337</v>
      </c>
      <c r="B209" s="55" t="s">
        <v>338</v>
      </c>
      <c r="C209" s="32">
        <v>4301012016</v>
      </c>
      <c r="D209" s="397">
        <v>4680115885554</v>
      </c>
      <c r="E209" s="398"/>
      <c r="F209" s="388">
        <v>1.35</v>
      </c>
      <c r="G209" s="33">
        <v>8</v>
      </c>
      <c r="H209" s="388">
        <v>10.8</v>
      </c>
      <c r="I209" s="388">
        <v>11.234999999999999</v>
      </c>
      <c r="J209" s="33">
        <v>64</v>
      </c>
      <c r="K209" s="33" t="s">
        <v>89</v>
      </c>
      <c r="L209" s="33"/>
      <c r="M209" s="34" t="s">
        <v>95</v>
      </c>
      <c r="N209" s="34"/>
      <c r="O209" s="33">
        <v>55</v>
      </c>
      <c r="P209" s="43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9" s="394"/>
      <c r="R209" s="394"/>
      <c r="S209" s="394"/>
      <c r="T209" s="395"/>
      <c r="U209" s="35"/>
      <c r="V209" s="35"/>
      <c r="W209" s="36" t="s">
        <v>71</v>
      </c>
      <c r="X209" s="389">
        <v>0</v>
      </c>
      <c r="Y209" s="390">
        <f>IFERROR(IF(X209="",0,CEILING((X209/$H209),1)*$H209),"")</f>
        <v>0</v>
      </c>
      <c r="Z209" s="37" t="str">
        <f>IFERROR(IF(Y209=0,"",ROUNDUP(Y209/H209,0)*0.01898),"")</f>
        <v/>
      </c>
      <c r="AA209" s="57"/>
      <c r="AB209" s="58"/>
      <c r="AC209" s="244" t="s">
        <v>339</v>
      </c>
      <c r="AG209" s="65"/>
      <c r="AJ209" s="69"/>
      <c r="AK209" s="69">
        <v>0</v>
      </c>
      <c r="BB209" s="245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ht="27" customHeight="1" x14ac:dyDescent="0.25">
      <c r="A210" s="55" t="s">
        <v>340</v>
      </c>
      <c r="B210" s="55" t="s">
        <v>341</v>
      </c>
      <c r="C210" s="32">
        <v>4301011857</v>
      </c>
      <c r="D210" s="397">
        <v>4680115885622</v>
      </c>
      <c r="E210" s="398"/>
      <c r="F210" s="388">
        <v>0.4</v>
      </c>
      <c r="G210" s="33">
        <v>10</v>
      </c>
      <c r="H210" s="388">
        <v>4</v>
      </c>
      <c r="I210" s="388">
        <v>4.21</v>
      </c>
      <c r="J210" s="33">
        <v>132</v>
      </c>
      <c r="K210" s="33" t="s">
        <v>94</v>
      </c>
      <c r="L210" s="33"/>
      <c r="M210" s="34" t="s">
        <v>90</v>
      </c>
      <c r="N210" s="34"/>
      <c r="O210" s="33">
        <v>55</v>
      </c>
      <c r="P210" s="5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10" s="394"/>
      <c r="R210" s="394"/>
      <c r="S210" s="394"/>
      <c r="T210" s="395"/>
      <c r="U210" s="35"/>
      <c r="V210" s="35"/>
      <c r="W210" s="36" t="s">
        <v>71</v>
      </c>
      <c r="X210" s="389">
        <v>0</v>
      </c>
      <c r="Y210" s="390">
        <f>IFERROR(IF(X210="",0,CEILING((X210/$H210),1)*$H210),"")</f>
        <v>0</v>
      </c>
      <c r="Z210" s="37" t="str">
        <f>IFERROR(IF(Y210=0,"",ROUNDUP(Y210/H210,0)*0.00902),"")</f>
        <v/>
      </c>
      <c r="AA210" s="57"/>
      <c r="AB210" s="58"/>
      <c r="AC210" s="246" t="s">
        <v>333</v>
      </c>
      <c r="AG210" s="65"/>
      <c r="AJ210" s="69"/>
      <c r="AK210" s="69">
        <v>0</v>
      </c>
      <c r="BB210" s="247" t="s">
        <v>1</v>
      </c>
      <c r="BM210" s="65">
        <f>IFERROR(X210*I210/H210,"0")</f>
        <v>0</v>
      </c>
      <c r="BN210" s="65">
        <f>IFERROR(Y210*I210/H210,"0")</f>
        <v>0</v>
      </c>
      <c r="BO210" s="65">
        <f>IFERROR(1/J210*(X210/H210),"0")</f>
        <v>0</v>
      </c>
      <c r="BP210" s="65">
        <f>IFERROR(1/J210*(Y210/H210),"0")</f>
        <v>0</v>
      </c>
    </row>
    <row r="211" spans="1:68" ht="27" customHeight="1" x14ac:dyDescent="0.25">
      <c r="A211" s="55" t="s">
        <v>342</v>
      </c>
      <c r="B211" s="55" t="s">
        <v>343</v>
      </c>
      <c r="C211" s="32">
        <v>4301011859</v>
      </c>
      <c r="D211" s="397">
        <v>4680115885608</v>
      </c>
      <c r="E211" s="398"/>
      <c r="F211" s="388">
        <v>0.4</v>
      </c>
      <c r="G211" s="33">
        <v>10</v>
      </c>
      <c r="H211" s="388">
        <v>4</v>
      </c>
      <c r="I211" s="388">
        <v>4.21</v>
      </c>
      <c r="J211" s="33">
        <v>132</v>
      </c>
      <c r="K211" s="33" t="s">
        <v>94</v>
      </c>
      <c r="L211" s="33"/>
      <c r="M211" s="34" t="s">
        <v>90</v>
      </c>
      <c r="N211" s="34"/>
      <c r="O211" s="33">
        <v>55</v>
      </c>
      <c r="P211" s="5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11" s="394"/>
      <c r="R211" s="394"/>
      <c r="S211" s="394"/>
      <c r="T211" s="395"/>
      <c r="U211" s="35"/>
      <c r="V211" s="35"/>
      <c r="W211" s="36" t="s">
        <v>71</v>
      </c>
      <c r="X211" s="389">
        <v>0</v>
      </c>
      <c r="Y211" s="390">
        <f>IFERROR(IF(X211="",0,CEILING((X211/$H211),1)*$H211),"")</f>
        <v>0</v>
      </c>
      <c r="Z211" s="37" t="str">
        <f>IFERROR(IF(Y211=0,"",ROUNDUP(Y211/H211,0)*0.00902),"")</f>
        <v/>
      </c>
      <c r="AA211" s="57"/>
      <c r="AB211" s="58"/>
      <c r="AC211" s="248" t="s">
        <v>344</v>
      </c>
      <c r="AG211" s="65"/>
      <c r="AJ211" s="69"/>
      <c r="AK211" s="69">
        <v>0</v>
      </c>
      <c r="BB211" s="249" t="s">
        <v>1</v>
      </c>
      <c r="BM211" s="65">
        <f>IFERROR(X211*I211/H211,"0")</f>
        <v>0</v>
      </c>
      <c r="BN211" s="65">
        <f>IFERROR(Y211*I211/H211,"0")</f>
        <v>0</v>
      </c>
      <c r="BO211" s="65">
        <f>IFERROR(1/J211*(X211/H211),"0")</f>
        <v>0</v>
      </c>
      <c r="BP211" s="65">
        <f>IFERROR(1/J211*(Y211/H211),"0")</f>
        <v>0</v>
      </c>
    </row>
    <row r="212" spans="1:68" x14ac:dyDescent="0.2">
      <c r="A212" s="418"/>
      <c r="B212" s="408"/>
      <c r="C212" s="408"/>
      <c r="D212" s="408"/>
      <c r="E212" s="408"/>
      <c r="F212" s="408"/>
      <c r="G212" s="408"/>
      <c r="H212" s="408"/>
      <c r="I212" s="408"/>
      <c r="J212" s="408"/>
      <c r="K212" s="408"/>
      <c r="L212" s="408"/>
      <c r="M212" s="408"/>
      <c r="N212" s="408"/>
      <c r="O212" s="419"/>
      <c r="P212" s="401" t="s">
        <v>76</v>
      </c>
      <c r="Q212" s="402"/>
      <c r="R212" s="402"/>
      <c r="S212" s="402"/>
      <c r="T212" s="402"/>
      <c r="U212" s="402"/>
      <c r="V212" s="403"/>
      <c r="W212" s="38" t="s">
        <v>77</v>
      </c>
      <c r="X212" s="391">
        <f>IFERROR(X207/H207,"0")+IFERROR(X208/H208,"0")+IFERROR(X209/H209,"0")+IFERROR(X210/H210,"0")+IFERROR(X211/H211,"0")</f>
        <v>0</v>
      </c>
      <c r="Y212" s="391">
        <f>IFERROR(Y207/H207,"0")+IFERROR(Y208/H208,"0")+IFERROR(Y209/H209,"0")+IFERROR(Y210/H210,"0")+IFERROR(Y211/H211,"0")</f>
        <v>0</v>
      </c>
      <c r="Z212" s="391">
        <f>IFERROR(IF(Z207="",0,Z207),"0")+IFERROR(IF(Z208="",0,Z208),"0")+IFERROR(IF(Z209="",0,Z209),"0")+IFERROR(IF(Z210="",0,Z210),"0")+IFERROR(IF(Z211="",0,Z211),"0")</f>
        <v>0</v>
      </c>
      <c r="AA212" s="392"/>
      <c r="AB212" s="392"/>
      <c r="AC212" s="392"/>
    </row>
    <row r="213" spans="1:68" x14ac:dyDescent="0.2">
      <c r="A213" s="408"/>
      <c r="B213" s="408"/>
      <c r="C213" s="408"/>
      <c r="D213" s="408"/>
      <c r="E213" s="408"/>
      <c r="F213" s="408"/>
      <c r="G213" s="408"/>
      <c r="H213" s="408"/>
      <c r="I213" s="408"/>
      <c r="J213" s="408"/>
      <c r="K213" s="408"/>
      <c r="L213" s="408"/>
      <c r="M213" s="408"/>
      <c r="N213" s="408"/>
      <c r="O213" s="419"/>
      <c r="P213" s="401" t="s">
        <v>76</v>
      </c>
      <c r="Q213" s="402"/>
      <c r="R213" s="402"/>
      <c r="S213" s="402"/>
      <c r="T213" s="402"/>
      <c r="U213" s="402"/>
      <c r="V213" s="403"/>
      <c r="W213" s="38" t="s">
        <v>71</v>
      </c>
      <c r="X213" s="391">
        <f>IFERROR(SUM(X207:X211),"0")</f>
        <v>0</v>
      </c>
      <c r="Y213" s="391">
        <f>IFERROR(SUM(Y207:Y211),"0")</f>
        <v>0</v>
      </c>
      <c r="Z213" s="38"/>
      <c r="AA213" s="392"/>
      <c r="AB213" s="392"/>
      <c r="AC213" s="392"/>
    </row>
    <row r="214" spans="1:68" ht="14.25" customHeight="1" x14ac:dyDescent="0.25">
      <c r="A214" s="410" t="s">
        <v>182</v>
      </c>
      <c r="B214" s="408"/>
      <c r="C214" s="408"/>
      <c r="D214" s="408"/>
      <c r="E214" s="408"/>
      <c r="F214" s="408"/>
      <c r="G214" s="408"/>
      <c r="H214" s="408"/>
      <c r="I214" s="408"/>
      <c r="J214" s="408"/>
      <c r="K214" s="408"/>
      <c r="L214" s="408"/>
      <c r="M214" s="408"/>
      <c r="N214" s="408"/>
      <c r="O214" s="408"/>
      <c r="P214" s="408"/>
      <c r="Q214" s="408"/>
      <c r="R214" s="408"/>
      <c r="S214" s="408"/>
      <c r="T214" s="408"/>
      <c r="U214" s="408"/>
      <c r="V214" s="408"/>
      <c r="W214" s="408"/>
      <c r="X214" s="408"/>
      <c r="Y214" s="408"/>
      <c r="Z214" s="408"/>
      <c r="AA214" s="383"/>
      <c r="AB214" s="383"/>
      <c r="AC214" s="383"/>
    </row>
    <row r="215" spans="1:68" ht="27" customHeight="1" x14ac:dyDescent="0.25">
      <c r="A215" s="55" t="s">
        <v>345</v>
      </c>
      <c r="B215" s="55" t="s">
        <v>346</v>
      </c>
      <c r="C215" s="32">
        <v>4301030878</v>
      </c>
      <c r="D215" s="397">
        <v>4607091387193</v>
      </c>
      <c r="E215" s="398"/>
      <c r="F215" s="388">
        <v>0.7</v>
      </c>
      <c r="G215" s="33">
        <v>6</v>
      </c>
      <c r="H215" s="388">
        <v>4.2</v>
      </c>
      <c r="I215" s="388">
        <v>4.47</v>
      </c>
      <c r="J215" s="33">
        <v>132</v>
      </c>
      <c r="K215" s="33" t="s">
        <v>94</v>
      </c>
      <c r="L215" s="33"/>
      <c r="M215" s="34" t="s">
        <v>70</v>
      </c>
      <c r="N215" s="34"/>
      <c r="O215" s="33">
        <v>35</v>
      </c>
      <c r="P215" s="4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5" s="394"/>
      <c r="R215" s="394"/>
      <c r="S215" s="394"/>
      <c r="T215" s="395"/>
      <c r="U215" s="35"/>
      <c r="V215" s="35"/>
      <c r="W215" s="36" t="s">
        <v>71</v>
      </c>
      <c r="X215" s="389">
        <v>0</v>
      </c>
      <c r="Y215" s="390">
        <f t="shared" ref="Y215:Y220" si="20">IFERROR(IF(X215="",0,CEILING((X215/$H215),1)*$H215),"")</f>
        <v>0</v>
      </c>
      <c r="Z215" s="37" t="str">
        <f>IFERROR(IF(Y215=0,"",ROUNDUP(Y215/H215,0)*0.00902),"")</f>
        <v/>
      </c>
      <c r="AA215" s="57"/>
      <c r="AB215" s="58"/>
      <c r="AC215" s="250" t="s">
        <v>347</v>
      </c>
      <c r="AG215" s="65"/>
      <c r="AJ215" s="69"/>
      <c r="AK215" s="69">
        <v>0</v>
      </c>
      <c r="BB215" s="251" t="s">
        <v>1</v>
      </c>
      <c r="BM215" s="65">
        <f t="shared" ref="BM215:BM220" si="21">IFERROR(X215*I215/H215,"0")</f>
        <v>0</v>
      </c>
      <c r="BN215" s="65">
        <f t="shared" ref="BN215:BN220" si="22">IFERROR(Y215*I215/H215,"0")</f>
        <v>0</v>
      </c>
      <c r="BO215" s="65">
        <f t="shared" ref="BO215:BO220" si="23">IFERROR(1/J215*(X215/H215),"0")</f>
        <v>0</v>
      </c>
      <c r="BP215" s="65">
        <f t="shared" ref="BP215:BP220" si="24">IFERROR(1/J215*(Y215/H215),"0")</f>
        <v>0</v>
      </c>
    </row>
    <row r="216" spans="1:68" ht="27" customHeight="1" x14ac:dyDescent="0.25">
      <c r="A216" s="55" t="s">
        <v>348</v>
      </c>
      <c r="B216" s="55" t="s">
        <v>349</v>
      </c>
      <c r="C216" s="32">
        <v>4301031153</v>
      </c>
      <c r="D216" s="397">
        <v>4607091387230</v>
      </c>
      <c r="E216" s="398"/>
      <c r="F216" s="388">
        <v>0.7</v>
      </c>
      <c r="G216" s="33">
        <v>6</v>
      </c>
      <c r="H216" s="388">
        <v>4.2</v>
      </c>
      <c r="I216" s="388">
        <v>4.47</v>
      </c>
      <c r="J216" s="33">
        <v>132</v>
      </c>
      <c r="K216" s="33" t="s">
        <v>94</v>
      </c>
      <c r="L216" s="33"/>
      <c r="M216" s="34" t="s">
        <v>70</v>
      </c>
      <c r="N216" s="34"/>
      <c r="O216" s="33">
        <v>40</v>
      </c>
      <c r="P216" s="5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6" s="394"/>
      <c r="R216" s="394"/>
      <c r="S216" s="394"/>
      <c r="T216" s="395"/>
      <c r="U216" s="35"/>
      <c r="V216" s="35"/>
      <c r="W216" s="36" t="s">
        <v>71</v>
      </c>
      <c r="X216" s="389">
        <v>0</v>
      </c>
      <c r="Y216" s="390">
        <f t="shared" si="20"/>
        <v>0</v>
      </c>
      <c r="Z216" s="37" t="str">
        <f>IFERROR(IF(Y216=0,"",ROUNDUP(Y216/H216,0)*0.00902),"")</f>
        <v/>
      </c>
      <c r="AA216" s="57"/>
      <c r="AB216" s="58"/>
      <c r="AC216" s="252" t="s">
        <v>350</v>
      </c>
      <c r="AG216" s="65"/>
      <c r="AJ216" s="69"/>
      <c r="AK216" s="69">
        <v>0</v>
      </c>
      <c r="BB216" s="253" t="s">
        <v>1</v>
      </c>
      <c r="BM216" s="65">
        <f t="shared" si="21"/>
        <v>0</v>
      </c>
      <c r="BN216" s="65">
        <f t="shared" si="22"/>
        <v>0</v>
      </c>
      <c r="BO216" s="65">
        <f t="shared" si="23"/>
        <v>0</v>
      </c>
      <c r="BP216" s="65">
        <f t="shared" si="24"/>
        <v>0</v>
      </c>
    </row>
    <row r="217" spans="1:68" ht="27" customHeight="1" x14ac:dyDescent="0.25">
      <c r="A217" s="55" t="s">
        <v>351</v>
      </c>
      <c r="B217" s="55" t="s">
        <v>352</v>
      </c>
      <c r="C217" s="32">
        <v>4301031154</v>
      </c>
      <c r="D217" s="397">
        <v>4607091387292</v>
      </c>
      <c r="E217" s="398"/>
      <c r="F217" s="388">
        <v>0.73</v>
      </c>
      <c r="G217" s="33">
        <v>6</v>
      </c>
      <c r="H217" s="388">
        <v>4.38</v>
      </c>
      <c r="I217" s="388">
        <v>4.6500000000000004</v>
      </c>
      <c r="J217" s="33">
        <v>132</v>
      </c>
      <c r="K217" s="33" t="s">
        <v>94</v>
      </c>
      <c r="L217" s="33"/>
      <c r="M217" s="34" t="s">
        <v>70</v>
      </c>
      <c r="N217" s="34"/>
      <c r="O217" s="33">
        <v>45</v>
      </c>
      <c r="P217" s="5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7" s="394"/>
      <c r="R217" s="394"/>
      <c r="S217" s="394"/>
      <c r="T217" s="395"/>
      <c r="U217" s="35"/>
      <c r="V217" s="35"/>
      <c r="W217" s="36" t="s">
        <v>71</v>
      </c>
      <c r="X217" s="389">
        <v>0</v>
      </c>
      <c r="Y217" s="390">
        <f t="shared" si="20"/>
        <v>0</v>
      </c>
      <c r="Z217" s="37" t="str">
        <f>IFERROR(IF(Y217=0,"",ROUNDUP(Y217/H217,0)*0.00902),"")</f>
        <v/>
      </c>
      <c r="AA217" s="57"/>
      <c r="AB217" s="58"/>
      <c r="AC217" s="254" t="s">
        <v>353</v>
      </c>
      <c r="AG217" s="65"/>
      <c r="AJ217" s="69"/>
      <c r="AK217" s="69">
        <v>0</v>
      </c>
      <c r="BB217" s="255" t="s">
        <v>1</v>
      </c>
      <c r="BM217" s="65">
        <f t="shared" si="21"/>
        <v>0</v>
      </c>
      <c r="BN217" s="65">
        <f t="shared" si="22"/>
        <v>0</v>
      </c>
      <c r="BO217" s="65">
        <f t="shared" si="23"/>
        <v>0</v>
      </c>
      <c r="BP217" s="65">
        <f t="shared" si="24"/>
        <v>0</v>
      </c>
    </row>
    <row r="218" spans="1:68" ht="27" customHeight="1" x14ac:dyDescent="0.25">
      <c r="A218" s="55" t="s">
        <v>354</v>
      </c>
      <c r="B218" s="55" t="s">
        <v>355</v>
      </c>
      <c r="C218" s="32">
        <v>4301031152</v>
      </c>
      <c r="D218" s="397">
        <v>4607091387285</v>
      </c>
      <c r="E218" s="398"/>
      <c r="F218" s="388">
        <v>0.35</v>
      </c>
      <c r="G218" s="33">
        <v>6</v>
      </c>
      <c r="H218" s="388">
        <v>2.1</v>
      </c>
      <c r="I218" s="388">
        <v>2.23</v>
      </c>
      <c r="J218" s="33">
        <v>234</v>
      </c>
      <c r="K218" s="33" t="s">
        <v>162</v>
      </c>
      <c r="L218" s="33"/>
      <c r="M218" s="34" t="s">
        <v>70</v>
      </c>
      <c r="N218" s="34"/>
      <c r="O218" s="33">
        <v>40</v>
      </c>
      <c r="P218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8" s="394"/>
      <c r="R218" s="394"/>
      <c r="S218" s="394"/>
      <c r="T218" s="395"/>
      <c r="U218" s="35"/>
      <c r="V218" s="35"/>
      <c r="W218" s="36" t="s">
        <v>71</v>
      </c>
      <c r="X218" s="389">
        <v>0</v>
      </c>
      <c r="Y218" s="390">
        <f t="shared" si="20"/>
        <v>0</v>
      </c>
      <c r="Z218" s="37" t="str">
        <f>IFERROR(IF(Y218=0,"",ROUNDUP(Y218/H218,0)*0.00502),"")</f>
        <v/>
      </c>
      <c r="AA218" s="57"/>
      <c r="AB218" s="58"/>
      <c r="AC218" s="256" t="s">
        <v>350</v>
      </c>
      <c r="AG218" s="65"/>
      <c r="AJ218" s="69"/>
      <c r="AK218" s="69">
        <v>0</v>
      </c>
      <c r="BB218" s="257" t="s">
        <v>1</v>
      </c>
      <c r="BM218" s="65">
        <f t="shared" si="21"/>
        <v>0</v>
      </c>
      <c r="BN218" s="65">
        <f t="shared" si="22"/>
        <v>0</v>
      </c>
      <c r="BO218" s="65">
        <f t="shared" si="23"/>
        <v>0</v>
      </c>
      <c r="BP218" s="65">
        <f t="shared" si="24"/>
        <v>0</v>
      </c>
    </row>
    <row r="219" spans="1:68" ht="27" customHeight="1" x14ac:dyDescent="0.25">
      <c r="A219" s="55" t="s">
        <v>356</v>
      </c>
      <c r="B219" s="55" t="s">
        <v>357</v>
      </c>
      <c r="C219" s="32">
        <v>4301031305</v>
      </c>
      <c r="D219" s="397">
        <v>4607091389845</v>
      </c>
      <c r="E219" s="398"/>
      <c r="F219" s="388">
        <v>0.35</v>
      </c>
      <c r="G219" s="33">
        <v>6</v>
      </c>
      <c r="H219" s="388">
        <v>2.1</v>
      </c>
      <c r="I219" s="388">
        <v>2.2000000000000002</v>
      </c>
      <c r="J219" s="33">
        <v>234</v>
      </c>
      <c r="K219" s="33" t="s">
        <v>162</v>
      </c>
      <c r="L219" s="33"/>
      <c r="M219" s="34" t="s">
        <v>70</v>
      </c>
      <c r="N219" s="34"/>
      <c r="O219" s="33">
        <v>40</v>
      </c>
      <c r="P219" s="5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9" s="394"/>
      <c r="R219" s="394"/>
      <c r="S219" s="394"/>
      <c r="T219" s="395"/>
      <c r="U219" s="35"/>
      <c r="V219" s="35"/>
      <c r="W219" s="36" t="s">
        <v>71</v>
      </c>
      <c r="X219" s="389">
        <v>0</v>
      </c>
      <c r="Y219" s="390">
        <f t="shared" si="20"/>
        <v>0</v>
      </c>
      <c r="Z219" s="37" t="str">
        <f>IFERROR(IF(Y219=0,"",ROUNDUP(Y219/H219,0)*0.00502),"")</f>
        <v/>
      </c>
      <c r="AA219" s="57"/>
      <c r="AB219" s="58"/>
      <c r="AC219" s="258" t="s">
        <v>358</v>
      </c>
      <c r="AG219" s="65"/>
      <c r="AJ219" s="69"/>
      <c r="AK219" s="69">
        <v>0</v>
      </c>
      <c r="BB219" s="259" t="s">
        <v>1</v>
      </c>
      <c r="BM219" s="65">
        <f t="shared" si="21"/>
        <v>0</v>
      </c>
      <c r="BN219" s="65">
        <f t="shared" si="22"/>
        <v>0</v>
      </c>
      <c r="BO219" s="65">
        <f t="shared" si="23"/>
        <v>0</v>
      </c>
      <c r="BP219" s="65">
        <f t="shared" si="24"/>
        <v>0</v>
      </c>
    </row>
    <row r="220" spans="1:68" ht="27" customHeight="1" x14ac:dyDescent="0.25">
      <c r="A220" s="55" t="s">
        <v>359</v>
      </c>
      <c r="B220" s="55" t="s">
        <v>360</v>
      </c>
      <c r="C220" s="32">
        <v>4301031066</v>
      </c>
      <c r="D220" s="397">
        <v>4607091383836</v>
      </c>
      <c r="E220" s="398"/>
      <c r="F220" s="388">
        <v>0.3</v>
      </c>
      <c r="G220" s="33">
        <v>6</v>
      </c>
      <c r="H220" s="388">
        <v>1.8</v>
      </c>
      <c r="I220" s="388">
        <v>2.028</v>
      </c>
      <c r="J220" s="33">
        <v>182</v>
      </c>
      <c r="K220" s="33" t="s">
        <v>69</v>
      </c>
      <c r="L220" s="33"/>
      <c r="M220" s="34" t="s">
        <v>70</v>
      </c>
      <c r="N220" s="34"/>
      <c r="O220" s="33">
        <v>40</v>
      </c>
      <c r="P220" s="4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20" s="394"/>
      <c r="R220" s="394"/>
      <c r="S220" s="394"/>
      <c r="T220" s="395"/>
      <c r="U220" s="35"/>
      <c r="V220" s="35"/>
      <c r="W220" s="36" t="s">
        <v>71</v>
      </c>
      <c r="X220" s="389">
        <v>0</v>
      </c>
      <c r="Y220" s="390">
        <f t="shared" si="20"/>
        <v>0</v>
      </c>
      <c r="Z220" s="37" t="str">
        <f>IFERROR(IF(Y220=0,"",ROUNDUP(Y220/H220,0)*0.00651),"")</f>
        <v/>
      </c>
      <c r="AA220" s="57"/>
      <c r="AB220" s="58"/>
      <c r="AC220" s="260" t="s">
        <v>361</v>
      </c>
      <c r="AG220" s="65"/>
      <c r="AJ220" s="69"/>
      <c r="AK220" s="69">
        <v>0</v>
      </c>
      <c r="BB220" s="261" t="s">
        <v>1</v>
      </c>
      <c r="BM220" s="65">
        <f t="shared" si="21"/>
        <v>0</v>
      </c>
      <c r="BN220" s="65">
        <f t="shared" si="22"/>
        <v>0</v>
      </c>
      <c r="BO220" s="65">
        <f t="shared" si="23"/>
        <v>0</v>
      </c>
      <c r="BP220" s="65">
        <f t="shared" si="24"/>
        <v>0</v>
      </c>
    </row>
    <row r="221" spans="1:68" x14ac:dyDescent="0.2">
      <c r="A221" s="418"/>
      <c r="B221" s="408"/>
      <c r="C221" s="408"/>
      <c r="D221" s="408"/>
      <c r="E221" s="408"/>
      <c r="F221" s="408"/>
      <c r="G221" s="408"/>
      <c r="H221" s="408"/>
      <c r="I221" s="408"/>
      <c r="J221" s="408"/>
      <c r="K221" s="408"/>
      <c r="L221" s="408"/>
      <c r="M221" s="408"/>
      <c r="N221" s="408"/>
      <c r="O221" s="419"/>
      <c r="P221" s="401" t="s">
        <v>76</v>
      </c>
      <c r="Q221" s="402"/>
      <c r="R221" s="402"/>
      <c r="S221" s="402"/>
      <c r="T221" s="402"/>
      <c r="U221" s="402"/>
      <c r="V221" s="403"/>
      <c r="W221" s="38" t="s">
        <v>77</v>
      </c>
      <c r="X221" s="391">
        <f>IFERROR(X215/H215,"0")+IFERROR(X216/H216,"0")+IFERROR(X217/H217,"0")+IFERROR(X218/H218,"0")+IFERROR(X219/H219,"0")+IFERROR(X220/H220,"0")</f>
        <v>0</v>
      </c>
      <c r="Y221" s="391">
        <f>IFERROR(Y215/H215,"0")+IFERROR(Y216/H216,"0")+IFERROR(Y217/H217,"0")+IFERROR(Y218/H218,"0")+IFERROR(Y219/H219,"0")+IFERROR(Y220/H220,"0")</f>
        <v>0</v>
      </c>
      <c r="Z221" s="391">
        <f>IFERROR(IF(Z215="",0,Z215),"0")+IFERROR(IF(Z216="",0,Z216),"0")+IFERROR(IF(Z217="",0,Z217),"0")+IFERROR(IF(Z218="",0,Z218),"0")+IFERROR(IF(Z219="",0,Z219),"0")+IFERROR(IF(Z220="",0,Z220),"0")</f>
        <v>0</v>
      </c>
      <c r="AA221" s="392"/>
      <c r="AB221" s="392"/>
      <c r="AC221" s="392"/>
    </row>
    <row r="222" spans="1:68" x14ac:dyDescent="0.2">
      <c r="A222" s="408"/>
      <c r="B222" s="408"/>
      <c r="C222" s="408"/>
      <c r="D222" s="408"/>
      <c r="E222" s="408"/>
      <c r="F222" s="408"/>
      <c r="G222" s="408"/>
      <c r="H222" s="408"/>
      <c r="I222" s="408"/>
      <c r="J222" s="408"/>
      <c r="K222" s="408"/>
      <c r="L222" s="408"/>
      <c r="M222" s="408"/>
      <c r="N222" s="408"/>
      <c r="O222" s="419"/>
      <c r="P222" s="401" t="s">
        <v>76</v>
      </c>
      <c r="Q222" s="402"/>
      <c r="R222" s="402"/>
      <c r="S222" s="402"/>
      <c r="T222" s="402"/>
      <c r="U222" s="402"/>
      <c r="V222" s="403"/>
      <c r="W222" s="38" t="s">
        <v>71</v>
      </c>
      <c r="X222" s="391">
        <f>IFERROR(SUM(X215:X220),"0")</f>
        <v>0</v>
      </c>
      <c r="Y222" s="391">
        <f>IFERROR(SUM(Y215:Y220),"0")</f>
        <v>0</v>
      </c>
      <c r="Z222" s="38"/>
      <c r="AA222" s="392"/>
      <c r="AB222" s="392"/>
      <c r="AC222" s="392"/>
    </row>
    <row r="223" spans="1:68" ht="14.25" customHeight="1" x14ac:dyDescent="0.25">
      <c r="A223" s="410" t="s">
        <v>66</v>
      </c>
      <c r="B223" s="408"/>
      <c r="C223" s="408"/>
      <c r="D223" s="408"/>
      <c r="E223" s="408"/>
      <c r="F223" s="408"/>
      <c r="G223" s="408"/>
      <c r="H223" s="408"/>
      <c r="I223" s="408"/>
      <c r="J223" s="408"/>
      <c r="K223" s="408"/>
      <c r="L223" s="408"/>
      <c r="M223" s="408"/>
      <c r="N223" s="408"/>
      <c r="O223" s="408"/>
      <c r="P223" s="408"/>
      <c r="Q223" s="408"/>
      <c r="R223" s="408"/>
      <c r="S223" s="408"/>
      <c r="T223" s="408"/>
      <c r="U223" s="408"/>
      <c r="V223" s="408"/>
      <c r="W223" s="408"/>
      <c r="X223" s="408"/>
      <c r="Y223" s="408"/>
      <c r="Z223" s="408"/>
      <c r="AA223" s="383"/>
      <c r="AB223" s="383"/>
      <c r="AC223" s="383"/>
    </row>
    <row r="224" spans="1:68" ht="27" customHeight="1" x14ac:dyDescent="0.25">
      <c r="A224" s="55" t="s">
        <v>362</v>
      </c>
      <c r="B224" s="55" t="s">
        <v>363</v>
      </c>
      <c r="C224" s="32">
        <v>4301051100</v>
      </c>
      <c r="D224" s="397">
        <v>4607091387766</v>
      </c>
      <c r="E224" s="398"/>
      <c r="F224" s="388">
        <v>1.3</v>
      </c>
      <c r="G224" s="33">
        <v>6</v>
      </c>
      <c r="H224" s="388">
        <v>7.8</v>
      </c>
      <c r="I224" s="388">
        <v>8.3130000000000006</v>
      </c>
      <c r="J224" s="33">
        <v>64</v>
      </c>
      <c r="K224" s="33" t="s">
        <v>89</v>
      </c>
      <c r="L224" s="33"/>
      <c r="M224" s="34" t="s">
        <v>95</v>
      </c>
      <c r="N224" s="34"/>
      <c r="O224" s="33">
        <v>40</v>
      </c>
      <c r="P224" s="5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4" s="394"/>
      <c r="R224" s="394"/>
      <c r="S224" s="394"/>
      <c r="T224" s="395"/>
      <c r="U224" s="35"/>
      <c r="V224" s="35"/>
      <c r="W224" s="36" t="s">
        <v>71</v>
      </c>
      <c r="X224" s="389">
        <v>0</v>
      </c>
      <c r="Y224" s="390">
        <f>IFERROR(IF(X224="",0,CEILING((X224/$H224),1)*$H224),"")</f>
        <v>0</v>
      </c>
      <c r="Z224" s="37" t="str">
        <f>IFERROR(IF(Y224=0,"",ROUNDUP(Y224/H224,0)*0.01898),"")</f>
        <v/>
      </c>
      <c r="AA224" s="57"/>
      <c r="AB224" s="58"/>
      <c r="AC224" s="262" t="s">
        <v>364</v>
      </c>
      <c r="AG224" s="65"/>
      <c r="AJ224" s="69"/>
      <c r="AK224" s="69">
        <v>0</v>
      </c>
      <c r="BB224" s="263" t="s">
        <v>1</v>
      </c>
      <c r="BM224" s="65">
        <f>IFERROR(X224*I224/H224,"0")</f>
        <v>0</v>
      </c>
      <c r="BN224" s="65">
        <f>IFERROR(Y224*I224/H224,"0")</f>
        <v>0</v>
      </c>
      <c r="BO224" s="65">
        <f>IFERROR(1/J224*(X224/H224),"0")</f>
        <v>0</v>
      </c>
      <c r="BP224" s="65">
        <f>IFERROR(1/J224*(Y224/H224),"0")</f>
        <v>0</v>
      </c>
    </row>
    <row r="225" spans="1:68" ht="27" customHeight="1" x14ac:dyDescent="0.25">
      <c r="A225" s="55" t="s">
        <v>365</v>
      </c>
      <c r="B225" s="55" t="s">
        <v>366</v>
      </c>
      <c r="C225" s="32">
        <v>4301051818</v>
      </c>
      <c r="D225" s="397">
        <v>4607091387957</v>
      </c>
      <c r="E225" s="398"/>
      <c r="F225" s="388">
        <v>1.3</v>
      </c>
      <c r="G225" s="33">
        <v>6</v>
      </c>
      <c r="H225" s="388">
        <v>7.8</v>
      </c>
      <c r="I225" s="388">
        <v>8.3190000000000008</v>
      </c>
      <c r="J225" s="33">
        <v>64</v>
      </c>
      <c r="K225" s="33" t="s">
        <v>89</v>
      </c>
      <c r="L225" s="33"/>
      <c r="M225" s="34" t="s">
        <v>95</v>
      </c>
      <c r="N225" s="34"/>
      <c r="O225" s="33">
        <v>40</v>
      </c>
      <c r="P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5" s="394"/>
      <c r="R225" s="394"/>
      <c r="S225" s="394"/>
      <c r="T225" s="395"/>
      <c r="U225" s="35"/>
      <c r="V225" s="35"/>
      <c r="W225" s="36" t="s">
        <v>71</v>
      </c>
      <c r="X225" s="389">
        <v>0</v>
      </c>
      <c r="Y225" s="390">
        <f>IFERROR(IF(X225="",0,CEILING((X225/$H225),1)*$H225),"")</f>
        <v>0</v>
      </c>
      <c r="Z225" s="37" t="str">
        <f>IFERROR(IF(Y225=0,"",ROUNDUP(Y225/H225,0)*0.01898),"")</f>
        <v/>
      </c>
      <c r="AA225" s="57"/>
      <c r="AB225" s="58"/>
      <c r="AC225" s="264" t="s">
        <v>367</v>
      </c>
      <c r="AG225" s="65"/>
      <c r="AJ225" s="69"/>
      <c r="AK225" s="69">
        <v>0</v>
      </c>
      <c r="BB225" s="265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27" customHeight="1" x14ac:dyDescent="0.25">
      <c r="A226" s="55" t="s">
        <v>368</v>
      </c>
      <c r="B226" s="55" t="s">
        <v>369</v>
      </c>
      <c r="C226" s="32">
        <v>4301051819</v>
      </c>
      <c r="D226" s="397">
        <v>4607091387964</v>
      </c>
      <c r="E226" s="398"/>
      <c r="F226" s="388">
        <v>1.35</v>
      </c>
      <c r="G226" s="33">
        <v>6</v>
      </c>
      <c r="H226" s="388">
        <v>8.1</v>
      </c>
      <c r="I226" s="388">
        <v>8.6010000000000009</v>
      </c>
      <c r="J226" s="33">
        <v>64</v>
      </c>
      <c r="K226" s="33" t="s">
        <v>89</v>
      </c>
      <c r="L226" s="33"/>
      <c r="M226" s="34" t="s">
        <v>95</v>
      </c>
      <c r="N226" s="34"/>
      <c r="O226" s="33">
        <v>40</v>
      </c>
      <c r="P226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6" s="394"/>
      <c r="R226" s="394"/>
      <c r="S226" s="394"/>
      <c r="T226" s="395"/>
      <c r="U226" s="35"/>
      <c r="V226" s="35"/>
      <c r="W226" s="36" t="s">
        <v>71</v>
      </c>
      <c r="X226" s="389">
        <v>0</v>
      </c>
      <c r="Y226" s="390">
        <f>IFERROR(IF(X226="",0,CEILING((X226/$H226),1)*$H226),"")</f>
        <v>0</v>
      </c>
      <c r="Z226" s="37" t="str">
        <f>IFERROR(IF(Y226=0,"",ROUNDUP(Y226/H226,0)*0.01898),"")</f>
        <v/>
      </c>
      <c r="AA226" s="57"/>
      <c r="AB226" s="58"/>
      <c r="AC226" s="266" t="s">
        <v>370</v>
      </c>
      <c r="AG226" s="65"/>
      <c r="AJ226" s="69"/>
      <c r="AK226" s="69">
        <v>0</v>
      </c>
      <c r="BB226" s="267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ht="27" customHeight="1" x14ac:dyDescent="0.25">
      <c r="A227" s="55" t="s">
        <v>371</v>
      </c>
      <c r="B227" s="55" t="s">
        <v>372</v>
      </c>
      <c r="C227" s="32">
        <v>4301051734</v>
      </c>
      <c r="D227" s="397">
        <v>4680115884588</v>
      </c>
      <c r="E227" s="398"/>
      <c r="F227" s="388">
        <v>0.5</v>
      </c>
      <c r="G227" s="33">
        <v>6</v>
      </c>
      <c r="H227" s="388">
        <v>3</v>
      </c>
      <c r="I227" s="388">
        <v>3.246</v>
      </c>
      <c r="J227" s="33">
        <v>182</v>
      </c>
      <c r="K227" s="33" t="s">
        <v>69</v>
      </c>
      <c r="L227" s="33"/>
      <c r="M227" s="34" t="s">
        <v>95</v>
      </c>
      <c r="N227" s="34"/>
      <c r="O227" s="33">
        <v>40</v>
      </c>
      <c r="P227" s="5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7" s="394"/>
      <c r="R227" s="394"/>
      <c r="S227" s="394"/>
      <c r="T227" s="395"/>
      <c r="U227" s="35"/>
      <c r="V227" s="35"/>
      <c r="W227" s="36" t="s">
        <v>71</v>
      </c>
      <c r="X227" s="389">
        <v>0</v>
      </c>
      <c r="Y227" s="390">
        <f>IFERROR(IF(X227="",0,CEILING((X227/$H227),1)*$H227),"")</f>
        <v>0</v>
      </c>
      <c r="Z227" s="37" t="str">
        <f>IFERROR(IF(Y227=0,"",ROUNDUP(Y227/H227,0)*0.00651),"")</f>
        <v/>
      </c>
      <c r="AA227" s="57"/>
      <c r="AB227" s="58"/>
      <c r="AC227" s="268" t="s">
        <v>373</v>
      </c>
      <c r="AG227" s="65"/>
      <c r="AJ227" s="69"/>
      <c r="AK227" s="69">
        <v>0</v>
      </c>
      <c r="BB227" s="269" t="s">
        <v>1</v>
      </c>
      <c r="BM227" s="65">
        <f>IFERROR(X227*I227/H227,"0")</f>
        <v>0</v>
      </c>
      <c r="BN227" s="65">
        <f>IFERROR(Y227*I227/H227,"0")</f>
        <v>0</v>
      </c>
      <c r="BO227" s="65">
        <f>IFERROR(1/J227*(X227/H227),"0")</f>
        <v>0</v>
      </c>
      <c r="BP227" s="65">
        <f>IFERROR(1/J227*(Y227/H227),"0")</f>
        <v>0</v>
      </c>
    </row>
    <row r="228" spans="1:68" ht="27" customHeight="1" x14ac:dyDescent="0.25">
      <c r="A228" s="55" t="s">
        <v>374</v>
      </c>
      <c r="B228" s="55" t="s">
        <v>375</v>
      </c>
      <c r="C228" s="32">
        <v>4301051578</v>
      </c>
      <c r="D228" s="397">
        <v>4607091387513</v>
      </c>
      <c r="E228" s="398"/>
      <c r="F228" s="388">
        <v>0.45</v>
      </c>
      <c r="G228" s="33">
        <v>6</v>
      </c>
      <c r="H228" s="388">
        <v>2.7</v>
      </c>
      <c r="I228" s="388">
        <v>2.9580000000000002</v>
      </c>
      <c r="J228" s="33">
        <v>182</v>
      </c>
      <c r="K228" s="33" t="s">
        <v>69</v>
      </c>
      <c r="L228" s="33"/>
      <c r="M228" s="34" t="s">
        <v>112</v>
      </c>
      <c r="N228" s="34"/>
      <c r="O228" s="33">
        <v>40</v>
      </c>
      <c r="P228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8" s="394"/>
      <c r="R228" s="394"/>
      <c r="S228" s="394"/>
      <c r="T228" s="395"/>
      <c r="U228" s="35"/>
      <c r="V228" s="35"/>
      <c r="W228" s="36" t="s">
        <v>71</v>
      </c>
      <c r="X228" s="389">
        <v>0</v>
      </c>
      <c r="Y228" s="390">
        <f>IFERROR(IF(X228="",0,CEILING((X228/$H228),1)*$H228),"")</f>
        <v>0</v>
      </c>
      <c r="Z228" s="37" t="str">
        <f>IFERROR(IF(Y228=0,"",ROUNDUP(Y228/H228,0)*0.00651),"")</f>
        <v/>
      </c>
      <c r="AA228" s="57"/>
      <c r="AB228" s="58"/>
      <c r="AC228" s="270" t="s">
        <v>376</v>
      </c>
      <c r="AG228" s="65"/>
      <c r="AJ228" s="69"/>
      <c r="AK228" s="69">
        <v>0</v>
      </c>
      <c r="BB228" s="271" t="s">
        <v>1</v>
      </c>
      <c r="BM228" s="65">
        <f>IFERROR(X228*I228/H228,"0")</f>
        <v>0</v>
      </c>
      <c r="BN228" s="65">
        <f>IFERROR(Y228*I228/H228,"0")</f>
        <v>0</v>
      </c>
      <c r="BO228" s="65">
        <f>IFERROR(1/J228*(X228/H228),"0")</f>
        <v>0</v>
      </c>
      <c r="BP228" s="65">
        <f>IFERROR(1/J228*(Y228/H228),"0")</f>
        <v>0</v>
      </c>
    </row>
    <row r="229" spans="1:68" x14ac:dyDescent="0.2">
      <c r="A229" s="418"/>
      <c r="B229" s="408"/>
      <c r="C229" s="408"/>
      <c r="D229" s="408"/>
      <c r="E229" s="408"/>
      <c r="F229" s="408"/>
      <c r="G229" s="408"/>
      <c r="H229" s="408"/>
      <c r="I229" s="408"/>
      <c r="J229" s="408"/>
      <c r="K229" s="408"/>
      <c r="L229" s="408"/>
      <c r="M229" s="408"/>
      <c r="N229" s="408"/>
      <c r="O229" s="419"/>
      <c r="P229" s="401" t="s">
        <v>76</v>
      </c>
      <c r="Q229" s="402"/>
      <c r="R229" s="402"/>
      <c r="S229" s="402"/>
      <c r="T229" s="402"/>
      <c r="U229" s="402"/>
      <c r="V229" s="403"/>
      <c r="W229" s="38" t="s">
        <v>77</v>
      </c>
      <c r="X229" s="391">
        <f>IFERROR(X224/H224,"0")+IFERROR(X225/H225,"0")+IFERROR(X226/H226,"0")+IFERROR(X227/H227,"0")+IFERROR(X228/H228,"0")</f>
        <v>0</v>
      </c>
      <c r="Y229" s="391">
        <f>IFERROR(Y224/H224,"0")+IFERROR(Y225/H225,"0")+IFERROR(Y226/H226,"0")+IFERROR(Y227/H227,"0")+IFERROR(Y228/H228,"0")</f>
        <v>0</v>
      </c>
      <c r="Z229" s="391">
        <f>IFERROR(IF(Z224="",0,Z224),"0")+IFERROR(IF(Z225="",0,Z225),"0")+IFERROR(IF(Z226="",0,Z226),"0")+IFERROR(IF(Z227="",0,Z227),"0")+IFERROR(IF(Z228="",0,Z228),"0")</f>
        <v>0</v>
      </c>
      <c r="AA229" s="392"/>
      <c r="AB229" s="392"/>
      <c r="AC229" s="392"/>
    </row>
    <row r="230" spans="1:68" x14ac:dyDescent="0.2">
      <c r="A230" s="408"/>
      <c r="B230" s="408"/>
      <c r="C230" s="408"/>
      <c r="D230" s="408"/>
      <c r="E230" s="408"/>
      <c r="F230" s="408"/>
      <c r="G230" s="408"/>
      <c r="H230" s="408"/>
      <c r="I230" s="408"/>
      <c r="J230" s="408"/>
      <c r="K230" s="408"/>
      <c r="L230" s="408"/>
      <c r="M230" s="408"/>
      <c r="N230" s="408"/>
      <c r="O230" s="419"/>
      <c r="P230" s="401" t="s">
        <v>76</v>
      </c>
      <c r="Q230" s="402"/>
      <c r="R230" s="402"/>
      <c r="S230" s="402"/>
      <c r="T230" s="402"/>
      <c r="U230" s="402"/>
      <c r="V230" s="403"/>
      <c r="W230" s="38" t="s">
        <v>71</v>
      </c>
      <c r="X230" s="391">
        <f>IFERROR(SUM(X224:X228),"0")</f>
        <v>0</v>
      </c>
      <c r="Y230" s="391">
        <f>IFERROR(SUM(Y224:Y228),"0")</f>
        <v>0</v>
      </c>
      <c r="Z230" s="38"/>
      <c r="AA230" s="392"/>
      <c r="AB230" s="392"/>
      <c r="AC230" s="392"/>
    </row>
    <row r="231" spans="1:68" ht="14.25" customHeight="1" x14ac:dyDescent="0.25">
      <c r="A231" s="410" t="s">
        <v>125</v>
      </c>
      <c r="B231" s="408"/>
      <c r="C231" s="408"/>
      <c r="D231" s="408"/>
      <c r="E231" s="408"/>
      <c r="F231" s="408"/>
      <c r="G231" s="408"/>
      <c r="H231" s="408"/>
      <c r="I231" s="408"/>
      <c r="J231" s="408"/>
      <c r="K231" s="408"/>
      <c r="L231" s="408"/>
      <c r="M231" s="408"/>
      <c r="N231" s="408"/>
      <c r="O231" s="408"/>
      <c r="P231" s="408"/>
      <c r="Q231" s="408"/>
      <c r="R231" s="408"/>
      <c r="S231" s="408"/>
      <c r="T231" s="408"/>
      <c r="U231" s="408"/>
      <c r="V231" s="408"/>
      <c r="W231" s="408"/>
      <c r="X231" s="408"/>
      <c r="Y231" s="408"/>
      <c r="Z231" s="408"/>
      <c r="AA231" s="383"/>
      <c r="AB231" s="383"/>
      <c r="AC231" s="383"/>
    </row>
    <row r="232" spans="1:68" ht="27" customHeight="1" x14ac:dyDescent="0.25">
      <c r="A232" s="55" t="s">
        <v>377</v>
      </c>
      <c r="B232" s="55" t="s">
        <v>378</v>
      </c>
      <c r="C232" s="32">
        <v>4301060387</v>
      </c>
      <c r="D232" s="397">
        <v>4607091380880</v>
      </c>
      <c r="E232" s="398"/>
      <c r="F232" s="388">
        <v>1.4</v>
      </c>
      <c r="G232" s="33">
        <v>6</v>
      </c>
      <c r="H232" s="388">
        <v>8.4</v>
      </c>
      <c r="I232" s="388">
        <v>8.9190000000000005</v>
      </c>
      <c r="J232" s="33">
        <v>64</v>
      </c>
      <c r="K232" s="33" t="s">
        <v>89</v>
      </c>
      <c r="L232" s="33"/>
      <c r="M232" s="34" t="s">
        <v>95</v>
      </c>
      <c r="N232" s="34"/>
      <c r="O232" s="33">
        <v>30</v>
      </c>
      <c r="P232" s="5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2" s="394"/>
      <c r="R232" s="394"/>
      <c r="S232" s="394"/>
      <c r="T232" s="395"/>
      <c r="U232" s="35"/>
      <c r="V232" s="35"/>
      <c r="W232" s="36" t="s">
        <v>71</v>
      </c>
      <c r="X232" s="389">
        <v>0</v>
      </c>
      <c r="Y232" s="390">
        <f>IFERROR(IF(X232="",0,CEILING((X232/$H232),1)*$H232),"")</f>
        <v>0</v>
      </c>
      <c r="Z232" s="37" t="str">
        <f>IFERROR(IF(Y232=0,"",ROUNDUP(Y232/H232,0)*0.01898),"")</f>
        <v/>
      </c>
      <c r="AA232" s="57"/>
      <c r="AB232" s="58"/>
      <c r="AC232" s="272" t="s">
        <v>379</v>
      </c>
      <c r="AG232" s="65"/>
      <c r="AJ232" s="69"/>
      <c r="AK232" s="69">
        <v>0</v>
      </c>
      <c r="BB232" s="27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ht="27" customHeight="1" x14ac:dyDescent="0.25">
      <c r="A233" s="55" t="s">
        <v>380</v>
      </c>
      <c r="B233" s="55" t="s">
        <v>381</v>
      </c>
      <c r="C233" s="32">
        <v>4301060406</v>
      </c>
      <c r="D233" s="397">
        <v>4607091384482</v>
      </c>
      <c r="E233" s="398"/>
      <c r="F233" s="388">
        <v>1.3</v>
      </c>
      <c r="G233" s="33">
        <v>6</v>
      </c>
      <c r="H233" s="388">
        <v>7.8</v>
      </c>
      <c r="I233" s="388">
        <v>8.3190000000000008</v>
      </c>
      <c r="J233" s="33">
        <v>64</v>
      </c>
      <c r="K233" s="33" t="s">
        <v>89</v>
      </c>
      <c r="L233" s="33"/>
      <c r="M233" s="34" t="s">
        <v>95</v>
      </c>
      <c r="N233" s="34"/>
      <c r="O233" s="33">
        <v>30</v>
      </c>
      <c r="P233" s="54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3" s="394"/>
      <c r="R233" s="394"/>
      <c r="S233" s="394"/>
      <c r="T233" s="395"/>
      <c r="U233" s="35"/>
      <c r="V233" s="35"/>
      <c r="W233" s="36" t="s">
        <v>71</v>
      </c>
      <c r="X233" s="389">
        <v>0</v>
      </c>
      <c r="Y233" s="390">
        <f>IFERROR(IF(X233="",0,CEILING((X233/$H233),1)*$H233),"")</f>
        <v>0</v>
      </c>
      <c r="Z233" s="37" t="str">
        <f>IFERROR(IF(Y233=0,"",ROUNDUP(Y233/H233,0)*0.01898),"")</f>
        <v/>
      </c>
      <c r="AA233" s="57"/>
      <c r="AB233" s="58"/>
      <c r="AC233" s="274" t="s">
        <v>382</v>
      </c>
      <c r="AG233" s="65"/>
      <c r="AJ233" s="69"/>
      <c r="AK233" s="69">
        <v>0</v>
      </c>
      <c r="BB233" s="275" t="s">
        <v>1</v>
      </c>
      <c r="BM233" s="65">
        <f>IFERROR(X233*I233/H233,"0")</f>
        <v>0</v>
      </c>
      <c r="BN233" s="65">
        <f>IFERROR(Y233*I233/H233,"0")</f>
        <v>0</v>
      </c>
      <c r="BO233" s="65">
        <f>IFERROR(1/J233*(X233/H233),"0")</f>
        <v>0</v>
      </c>
      <c r="BP233" s="65">
        <f>IFERROR(1/J233*(Y233/H233),"0")</f>
        <v>0</v>
      </c>
    </row>
    <row r="234" spans="1:68" ht="16.5" customHeight="1" x14ac:dyDescent="0.25">
      <c r="A234" s="55" t="s">
        <v>383</v>
      </c>
      <c r="B234" s="55" t="s">
        <v>384</v>
      </c>
      <c r="C234" s="32">
        <v>4301060484</v>
      </c>
      <c r="D234" s="397">
        <v>4607091380897</v>
      </c>
      <c r="E234" s="398"/>
      <c r="F234" s="388">
        <v>1.4</v>
      </c>
      <c r="G234" s="33">
        <v>6</v>
      </c>
      <c r="H234" s="388">
        <v>8.4</v>
      </c>
      <c r="I234" s="388">
        <v>8.9190000000000005</v>
      </c>
      <c r="J234" s="33">
        <v>64</v>
      </c>
      <c r="K234" s="33" t="s">
        <v>89</v>
      </c>
      <c r="L234" s="33"/>
      <c r="M234" s="34" t="s">
        <v>112</v>
      </c>
      <c r="N234" s="34"/>
      <c r="O234" s="33">
        <v>30</v>
      </c>
      <c r="P234" s="4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4" s="394"/>
      <c r="R234" s="394"/>
      <c r="S234" s="394"/>
      <c r="T234" s="395"/>
      <c r="U234" s="35"/>
      <c r="V234" s="35"/>
      <c r="W234" s="36" t="s">
        <v>71</v>
      </c>
      <c r="X234" s="389">
        <v>0</v>
      </c>
      <c r="Y234" s="390">
        <f>IFERROR(IF(X234="",0,CEILING((X234/$H234),1)*$H234),"")</f>
        <v>0</v>
      </c>
      <c r="Z234" s="37" t="str">
        <f>IFERROR(IF(Y234=0,"",ROUNDUP(Y234/H234,0)*0.01898),"")</f>
        <v/>
      </c>
      <c r="AA234" s="57"/>
      <c r="AB234" s="58"/>
      <c r="AC234" s="276" t="s">
        <v>385</v>
      </c>
      <c r="AG234" s="65"/>
      <c r="AJ234" s="69"/>
      <c r="AK234" s="69">
        <v>0</v>
      </c>
      <c r="BB234" s="277" t="s">
        <v>1</v>
      </c>
      <c r="BM234" s="65">
        <f>IFERROR(X234*I234/H234,"0")</f>
        <v>0</v>
      </c>
      <c r="BN234" s="65">
        <f>IFERROR(Y234*I234/H234,"0")</f>
        <v>0</v>
      </c>
      <c r="BO234" s="65">
        <f>IFERROR(1/J234*(X234/H234),"0")</f>
        <v>0</v>
      </c>
      <c r="BP234" s="65">
        <f>IFERROR(1/J234*(Y234/H234),"0")</f>
        <v>0</v>
      </c>
    </row>
    <row r="235" spans="1:68" x14ac:dyDescent="0.2">
      <c r="A235" s="418"/>
      <c r="B235" s="408"/>
      <c r="C235" s="408"/>
      <c r="D235" s="408"/>
      <c r="E235" s="408"/>
      <c r="F235" s="408"/>
      <c r="G235" s="408"/>
      <c r="H235" s="408"/>
      <c r="I235" s="408"/>
      <c r="J235" s="408"/>
      <c r="K235" s="408"/>
      <c r="L235" s="408"/>
      <c r="M235" s="408"/>
      <c r="N235" s="408"/>
      <c r="O235" s="419"/>
      <c r="P235" s="401" t="s">
        <v>76</v>
      </c>
      <c r="Q235" s="402"/>
      <c r="R235" s="402"/>
      <c r="S235" s="402"/>
      <c r="T235" s="402"/>
      <c r="U235" s="402"/>
      <c r="V235" s="403"/>
      <c r="W235" s="38" t="s">
        <v>77</v>
      </c>
      <c r="X235" s="391">
        <f>IFERROR(X232/H232,"0")+IFERROR(X233/H233,"0")+IFERROR(X234/H234,"0")</f>
        <v>0</v>
      </c>
      <c r="Y235" s="391">
        <f>IFERROR(Y232/H232,"0")+IFERROR(Y233/H233,"0")+IFERROR(Y234/H234,"0")</f>
        <v>0</v>
      </c>
      <c r="Z235" s="391">
        <f>IFERROR(IF(Z232="",0,Z232),"0")+IFERROR(IF(Z233="",0,Z233),"0")+IFERROR(IF(Z234="",0,Z234),"0")</f>
        <v>0</v>
      </c>
      <c r="AA235" s="392"/>
      <c r="AB235" s="392"/>
      <c r="AC235" s="392"/>
    </row>
    <row r="236" spans="1:68" x14ac:dyDescent="0.2">
      <c r="A236" s="408"/>
      <c r="B236" s="408"/>
      <c r="C236" s="408"/>
      <c r="D236" s="408"/>
      <c r="E236" s="408"/>
      <c r="F236" s="408"/>
      <c r="G236" s="408"/>
      <c r="H236" s="408"/>
      <c r="I236" s="408"/>
      <c r="J236" s="408"/>
      <c r="K236" s="408"/>
      <c r="L236" s="408"/>
      <c r="M236" s="408"/>
      <c r="N236" s="408"/>
      <c r="O236" s="419"/>
      <c r="P236" s="401" t="s">
        <v>76</v>
      </c>
      <c r="Q236" s="402"/>
      <c r="R236" s="402"/>
      <c r="S236" s="402"/>
      <c r="T236" s="402"/>
      <c r="U236" s="402"/>
      <c r="V236" s="403"/>
      <c r="W236" s="38" t="s">
        <v>71</v>
      </c>
      <c r="X236" s="391">
        <f>IFERROR(SUM(X232:X234),"0")</f>
        <v>0</v>
      </c>
      <c r="Y236" s="391">
        <f>IFERROR(SUM(Y232:Y234),"0")</f>
        <v>0</v>
      </c>
      <c r="Z236" s="38"/>
      <c r="AA236" s="392"/>
      <c r="AB236" s="392"/>
      <c r="AC236" s="392"/>
    </row>
    <row r="237" spans="1:68" ht="14.25" customHeight="1" x14ac:dyDescent="0.25">
      <c r="A237" s="410" t="s">
        <v>78</v>
      </c>
      <c r="B237" s="408"/>
      <c r="C237" s="408"/>
      <c r="D237" s="408"/>
      <c r="E237" s="408"/>
      <c r="F237" s="408"/>
      <c r="G237" s="408"/>
      <c r="H237" s="408"/>
      <c r="I237" s="408"/>
      <c r="J237" s="408"/>
      <c r="K237" s="408"/>
      <c r="L237" s="408"/>
      <c r="M237" s="408"/>
      <c r="N237" s="408"/>
      <c r="O237" s="408"/>
      <c r="P237" s="408"/>
      <c r="Q237" s="408"/>
      <c r="R237" s="408"/>
      <c r="S237" s="408"/>
      <c r="T237" s="408"/>
      <c r="U237" s="408"/>
      <c r="V237" s="408"/>
      <c r="W237" s="408"/>
      <c r="X237" s="408"/>
      <c r="Y237" s="408"/>
      <c r="Z237" s="408"/>
      <c r="AA237" s="383"/>
      <c r="AB237" s="383"/>
      <c r="AC237" s="383"/>
    </row>
    <row r="238" spans="1:68" ht="27" customHeight="1" x14ac:dyDescent="0.25">
      <c r="A238" s="55" t="s">
        <v>386</v>
      </c>
      <c r="B238" s="55" t="s">
        <v>387</v>
      </c>
      <c r="C238" s="32">
        <v>4301030235</v>
      </c>
      <c r="D238" s="397">
        <v>4607091388381</v>
      </c>
      <c r="E238" s="398"/>
      <c r="F238" s="388">
        <v>0.38</v>
      </c>
      <c r="G238" s="33">
        <v>8</v>
      </c>
      <c r="H238" s="388">
        <v>3.04</v>
      </c>
      <c r="I238" s="388">
        <v>3.33</v>
      </c>
      <c r="J238" s="33">
        <v>132</v>
      </c>
      <c r="K238" s="33" t="s">
        <v>94</v>
      </c>
      <c r="L238" s="33"/>
      <c r="M238" s="34" t="s">
        <v>81</v>
      </c>
      <c r="N238" s="34"/>
      <c r="O238" s="33">
        <v>180</v>
      </c>
      <c r="P238" s="538" t="s">
        <v>388</v>
      </c>
      <c r="Q238" s="394"/>
      <c r="R238" s="394"/>
      <c r="S238" s="394"/>
      <c r="T238" s="395"/>
      <c r="U238" s="35"/>
      <c r="V238" s="35"/>
      <c r="W238" s="36" t="s">
        <v>71</v>
      </c>
      <c r="X238" s="389">
        <v>0</v>
      </c>
      <c r="Y238" s="390">
        <f>IFERROR(IF(X238="",0,CEILING((X238/$H238),1)*$H238),"")</f>
        <v>0</v>
      </c>
      <c r="Z238" s="37" t="str">
        <f>IFERROR(IF(Y238=0,"",ROUNDUP(Y238/H238,0)*0.00902),"")</f>
        <v/>
      </c>
      <c r="AA238" s="57"/>
      <c r="AB238" s="58"/>
      <c r="AC238" s="278" t="s">
        <v>389</v>
      </c>
      <c r="AG238" s="65"/>
      <c r="AJ238" s="69"/>
      <c r="AK238" s="69">
        <v>0</v>
      </c>
      <c r="BB238" s="279" t="s">
        <v>1</v>
      </c>
      <c r="BM238" s="65">
        <f>IFERROR(X238*I238/H238,"0")</f>
        <v>0</v>
      </c>
      <c r="BN238" s="65">
        <f>IFERROR(Y238*I238/H238,"0")</f>
        <v>0</v>
      </c>
      <c r="BO238" s="65">
        <f>IFERROR(1/J238*(X238/H238),"0")</f>
        <v>0</v>
      </c>
      <c r="BP238" s="65">
        <f>IFERROR(1/J238*(Y238/H238),"0")</f>
        <v>0</v>
      </c>
    </row>
    <row r="239" spans="1:68" ht="27" customHeight="1" x14ac:dyDescent="0.25">
      <c r="A239" s="55" t="s">
        <v>390</v>
      </c>
      <c r="B239" s="55" t="s">
        <v>391</v>
      </c>
      <c r="C239" s="32">
        <v>4301030232</v>
      </c>
      <c r="D239" s="397">
        <v>4607091388374</v>
      </c>
      <c r="E239" s="398"/>
      <c r="F239" s="388">
        <v>0.38</v>
      </c>
      <c r="G239" s="33">
        <v>8</v>
      </c>
      <c r="H239" s="388">
        <v>3.04</v>
      </c>
      <c r="I239" s="388">
        <v>3.29</v>
      </c>
      <c r="J239" s="33">
        <v>132</v>
      </c>
      <c r="K239" s="33" t="s">
        <v>94</v>
      </c>
      <c r="L239" s="33"/>
      <c r="M239" s="34" t="s">
        <v>81</v>
      </c>
      <c r="N239" s="34"/>
      <c r="O239" s="33">
        <v>180</v>
      </c>
      <c r="P239" s="502" t="s">
        <v>392</v>
      </c>
      <c r="Q239" s="394"/>
      <c r="R239" s="394"/>
      <c r="S239" s="394"/>
      <c r="T239" s="395"/>
      <c r="U239" s="35"/>
      <c r="V239" s="35"/>
      <c r="W239" s="36" t="s">
        <v>71</v>
      </c>
      <c r="X239" s="389">
        <v>0</v>
      </c>
      <c r="Y239" s="390">
        <f>IFERROR(IF(X239="",0,CEILING((X239/$H239),1)*$H239),"")</f>
        <v>0</v>
      </c>
      <c r="Z239" s="37" t="str">
        <f>IFERROR(IF(Y239=0,"",ROUNDUP(Y239/H239,0)*0.00902),"")</f>
        <v/>
      </c>
      <c r="AA239" s="57"/>
      <c r="AB239" s="58"/>
      <c r="AC239" s="280" t="s">
        <v>389</v>
      </c>
      <c r="AG239" s="65"/>
      <c r="AJ239" s="69"/>
      <c r="AK239" s="69">
        <v>0</v>
      </c>
      <c r="BB239" s="281" t="s">
        <v>1</v>
      </c>
      <c r="BM239" s="65">
        <f>IFERROR(X239*I239/H239,"0")</f>
        <v>0</v>
      </c>
      <c r="BN239" s="65">
        <f>IFERROR(Y239*I239/H239,"0")</f>
        <v>0</v>
      </c>
      <c r="BO239" s="65">
        <f>IFERROR(1/J239*(X239/H239),"0")</f>
        <v>0</v>
      </c>
      <c r="BP239" s="65">
        <f>IFERROR(1/J239*(Y239/H239),"0")</f>
        <v>0</v>
      </c>
    </row>
    <row r="240" spans="1:68" ht="27" customHeight="1" x14ac:dyDescent="0.25">
      <c r="A240" s="55" t="s">
        <v>393</v>
      </c>
      <c r="B240" s="55" t="s">
        <v>394</v>
      </c>
      <c r="C240" s="32">
        <v>4301032015</v>
      </c>
      <c r="D240" s="397">
        <v>4607091383102</v>
      </c>
      <c r="E240" s="398"/>
      <c r="F240" s="388">
        <v>0.17</v>
      </c>
      <c r="G240" s="33">
        <v>15</v>
      </c>
      <c r="H240" s="388">
        <v>2.5499999999999998</v>
      </c>
      <c r="I240" s="388">
        <v>2.9550000000000001</v>
      </c>
      <c r="J240" s="33">
        <v>182</v>
      </c>
      <c r="K240" s="33" t="s">
        <v>69</v>
      </c>
      <c r="L240" s="33"/>
      <c r="M240" s="34" t="s">
        <v>81</v>
      </c>
      <c r="N240" s="34"/>
      <c r="O240" s="33">
        <v>180</v>
      </c>
      <c r="P240" s="45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40" s="394"/>
      <c r="R240" s="394"/>
      <c r="S240" s="394"/>
      <c r="T240" s="395"/>
      <c r="U240" s="35"/>
      <c r="V240" s="35"/>
      <c r="W240" s="36" t="s">
        <v>71</v>
      </c>
      <c r="X240" s="389">
        <v>0</v>
      </c>
      <c r="Y240" s="390">
        <f>IFERROR(IF(X240="",0,CEILING((X240/$H240),1)*$H240),"")</f>
        <v>0</v>
      </c>
      <c r="Z240" s="37" t="str">
        <f>IFERROR(IF(Y240=0,"",ROUNDUP(Y240/H240,0)*0.00651),"")</f>
        <v/>
      </c>
      <c r="AA240" s="57"/>
      <c r="AB240" s="58"/>
      <c r="AC240" s="282" t="s">
        <v>395</v>
      </c>
      <c r="AG240" s="65"/>
      <c r="AJ240" s="69"/>
      <c r="AK240" s="69">
        <v>0</v>
      </c>
      <c r="BB240" s="283" t="s">
        <v>1</v>
      </c>
      <c r="BM240" s="65">
        <f>IFERROR(X240*I240/H240,"0")</f>
        <v>0</v>
      </c>
      <c r="BN240" s="65">
        <f>IFERROR(Y240*I240/H240,"0")</f>
        <v>0</v>
      </c>
      <c r="BO240" s="65">
        <f>IFERROR(1/J240*(X240/H240),"0")</f>
        <v>0</v>
      </c>
      <c r="BP240" s="65">
        <f>IFERROR(1/J240*(Y240/H240),"0")</f>
        <v>0</v>
      </c>
    </row>
    <row r="241" spans="1:68" ht="27" customHeight="1" x14ac:dyDescent="0.25">
      <c r="A241" s="55" t="s">
        <v>396</v>
      </c>
      <c r="B241" s="55" t="s">
        <v>397</v>
      </c>
      <c r="C241" s="32">
        <v>4301030233</v>
      </c>
      <c r="D241" s="397">
        <v>4607091388404</v>
      </c>
      <c r="E241" s="398"/>
      <c r="F241" s="388">
        <v>0.17</v>
      </c>
      <c r="G241" s="33">
        <v>15</v>
      </c>
      <c r="H241" s="388">
        <v>2.5499999999999998</v>
      </c>
      <c r="I241" s="388">
        <v>2.88</v>
      </c>
      <c r="J241" s="33">
        <v>182</v>
      </c>
      <c r="K241" s="33" t="s">
        <v>69</v>
      </c>
      <c r="L241" s="33"/>
      <c r="M241" s="34" t="s">
        <v>81</v>
      </c>
      <c r="N241" s="34"/>
      <c r="O241" s="33">
        <v>180</v>
      </c>
      <c r="P241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41" s="394"/>
      <c r="R241" s="394"/>
      <c r="S241" s="394"/>
      <c r="T241" s="395"/>
      <c r="U241" s="35"/>
      <c r="V241" s="35"/>
      <c r="W241" s="36" t="s">
        <v>71</v>
      </c>
      <c r="X241" s="389">
        <v>0</v>
      </c>
      <c r="Y241" s="390">
        <f>IFERROR(IF(X241="",0,CEILING((X241/$H241),1)*$H241),"")</f>
        <v>0</v>
      </c>
      <c r="Z241" s="37" t="str">
        <f>IFERROR(IF(Y241=0,"",ROUNDUP(Y241/H241,0)*0.00651),"")</f>
        <v/>
      </c>
      <c r="AA241" s="57"/>
      <c r="AB241" s="58"/>
      <c r="AC241" s="284" t="s">
        <v>389</v>
      </c>
      <c r="AG241" s="65"/>
      <c r="AJ241" s="69"/>
      <c r="AK241" s="69">
        <v>0</v>
      </c>
      <c r="BB241" s="285" t="s">
        <v>1</v>
      </c>
      <c r="BM241" s="65">
        <f>IFERROR(X241*I241/H241,"0")</f>
        <v>0</v>
      </c>
      <c r="BN241" s="65">
        <f>IFERROR(Y241*I241/H241,"0")</f>
        <v>0</v>
      </c>
      <c r="BO241" s="65">
        <f>IFERROR(1/J241*(X241/H241),"0")</f>
        <v>0</v>
      </c>
      <c r="BP241" s="65">
        <f>IFERROR(1/J241*(Y241/H241),"0")</f>
        <v>0</v>
      </c>
    </row>
    <row r="242" spans="1:68" x14ac:dyDescent="0.2">
      <c r="A242" s="418"/>
      <c r="B242" s="408"/>
      <c r="C242" s="408"/>
      <c r="D242" s="408"/>
      <c r="E242" s="408"/>
      <c r="F242" s="408"/>
      <c r="G242" s="408"/>
      <c r="H242" s="408"/>
      <c r="I242" s="408"/>
      <c r="J242" s="408"/>
      <c r="K242" s="408"/>
      <c r="L242" s="408"/>
      <c r="M242" s="408"/>
      <c r="N242" s="408"/>
      <c r="O242" s="419"/>
      <c r="P242" s="401" t="s">
        <v>76</v>
      </c>
      <c r="Q242" s="402"/>
      <c r="R242" s="402"/>
      <c r="S242" s="402"/>
      <c r="T242" s="402"/>
      <c r="U242" s="402"/>
      <c r="V242" s="403"/>
      <c r="W242" s="38" t="s">
        <v>77</v>
      </c>
      <c r="X242" s="391">
        <f>IFERROR(X238/H238,"0")+IFERROR(X239/H239,"0")+IFERROR(X240/H240,"0")+IFERROR(X241/H241,"0")</f>
        <v>0</v>
      </c>
      <c r="Y242" s="391">
        <f>IFERROR(Y238/H238,"0")+IFERROR(Y239/H239,"0")+IFERROR(Y240/H240,"0")+IFERROR(Y241/H241,"0")</f>
        <v>0</v>
      </c>
      <c r="Z242" s="391">
        <f>IFERROR(IF(Z238="",0,Z238),"0")+IFERROR(IF(Z239="",0,Z239),"0")+IFERROR(IF(Z240="",0,Z240),"0")+IFERROR(IF(Z241="",0,Z241),"0")</f>
        <v>0</v>
      </c>
      <c r="AA242" s="392"/>
      <c r="AB242" s="392"/>
      <c r="AC242" s="392"/>
    </row>
    <row r="243" spans="1:68" x14ac:dyDescent="0.2">
      <c r="A243" s="408"/>
      <c r="B243" s="408"/>
      <c r="C243" s="408"/>
      <c r="D243" s="408"/>
      <c r="E243" s="408"/>
      <c r="F243" s="408"/>
      <c r="G243" s="408"/>
      <c r="H243" s="408"/>
      <c r="I243" s="408"/>
      <c r="J243" s="408"/>
      <c r="K243" s="408"/>
      <c r="L243" s="408"/>
      <c r="M243" s="408"/>
      <c r="N243" s="408"/>
      <c r="O243" s="419"/>
      <c r="P243" s="401" t="s">
        <v>76</v>
      </c>
      <c r="Q243" s="402"/>
      <c r="R243" s="402"/>
      <c r="S243" s="402"/>
      <c r="T243" s="402"/>
      <c r="U243" s="402"/>
      <c r="V243" s="403"/>
      <c r="W243" s="38" t="s">
        <v>71</v>
      </c>
      <c r="X243" s="391">
        <f>IFERROR(SUM(X238:X241),"0")</f>
        <v>0</v>
      </c>
      <c r="Y243" s="391">
        <f>IFERROR(SUM(Y238:Y241),"0")</f>
        <v>0</v>
      </c>
      <c r="Z243" s="38"/>
      <c r="AA243" s="392"/>
      <c r="AB243" s="392"/>
      <c r="AC243" s="392"/>
    </row>
    <row r="244" spans="1:68" ht="14.25" customHeight="1" x14ac:dyDescent="0.25">
      <c r="A244" s="410" t="s">
        <v>398</v>
      </c>
      <c r="B244" s="408"/>
      <c r="C244" s="408"/>
      <c r="D244" s="408"/>
      <c r="E244" s="408"/>
      <c r="F244" s="408"/>
      <c r="G244" s="408"/>
      <c r="H244" s="408"/>
      <c r="I244" s="408"/>
      <c r="J244" s="408"/>
      <c r="K244" s="408"/>
      <c r="L244" s="408"/>
      <c r="M244" s="408"/>
      <c r="N244" s="408"/>
      <c r="O244" s="408"/>
      <c r="P244" s="408"/>
      <c r="Q244" s="408"/>
      <c r="R244" s="408"/>
      <c r="S244" s="408"/>
      <c r="T244" s="408"/>
      <c r="U244" s="408"/>
      <c r="V244" s="408"/>
      <c r="W244" s="408"/>
      <c r="X244" s="408"/>
      <c r="Y244" s="408"/>
      <c r="Z244" s="408"/>
      <c r="AA244" s="383"/>
      <c r="AB244" s="383"/>
      <c r="AC244" s="383"/>
    </row>
    <row r="245" spans="1:68" ht="16.5" customHeight="1" x14ac:dyDescent="0.25">
      <c r="A245" s="55" t="s">
        <v>399</v>
      </c>
      <c r="B245" s="55" t="s">
        <v>400</v>
      </c>
      <c r="C245" s="32">
        <v>4301180007</v>
      </c>
      <c r="D245" s="397">
        <v>4680115881808</v>
      </c>
      <c r="E245" s="398"/>
      <c r="F245" s="388">
        <v>0.1</v>
      </c>
      <c r="G245" s="33">
        <v>20</v>
      </c>
      <c r="H245" s="388">
        <v>2</v>
      </c>
      <c r="I245" s="388">
        <v>2.2400000000000002</v>
      </c>
      <c r="J245" s="33">
        <v>238</v>
      </c>
      <c r="K245" s="33" t="s">
        <v>69</v>
      </c>
      <c r="L245" s="33"/>
      <c r="M245" s="34" t="s">
        <v>401</v>
      </c>
      <c r="N245" s="34"/>
      <c r="O245" s="33">
        <v>730</v>
      </c>
      <c r="P245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5" s="394"/>
      <c r="R245" s="394"/>
      <c r="S245" s="394"/>
      <c r="T245" s="395"/>
      <c r="U245" s="35"/>
      <c r="V245" s="35"/>
      <c r="W245" s="36" t="s">
        <v>71</v>
      </c>
      <c r="X245" s="389">
        <v>0</v>
      </c>
      <c r="Y245" s="390">
        <f>IFERROR(IF(X245="",0,CEILING((X245/$H245),1)*$H245),"")</f>
        <v>0</v>
      </c>
      <c r="Z245" s="37" t="str">
        <f>IFERROR(IF(Y245=0,"",ROUNDUP(Y245/H245,0)*0.00474),"")</f>
        <v/>
      </c>
      <c r="AA245" s="57"/>
      <c r="AB245" s="58"/>
      <c r="AC245" s="286" t="s">
        <v>402</v>
      </c>
      <c r="AG245" s="65"/>
      <c r="AJ245" s="69"/>
      <c r="AK245" s="69">
        <v>0</v>
      </c>
      <c r="BB245" s="287" t="s">
        <v>1</v>
      </c>
      <c r="BM245" s="65">
        <f>IFERROR(X245*I245/H245,"0")</f>
        <v>0</v>
      </c>
      <c r="BN245" s="65">
        <f>IFERROR(Y245*I245/H245,"0")</f>
        <v>0</v>
      </c>
      <c r="BO245" s="65">
        <f>IFERROR(1/J245*(X245/H245),"0")</f>
        <v>0</v>
      </c>
      <c r="BP245" s="65">
        <f>IFERROR(1/J245*(Y245/H245),"0")</f>
        <v>0</v>
      </c>
    </row>
    <row r="246" spans="1:68" ht="27" customHeight="1" x14ac:dyDescent="0.25">
      <c r="A246" s="55" t="s">
        <v>403</v>
      </c>
      <c r="B246" s="55" t="s">
        <v>404</v>
      </c>
      <c r="C246" s="32">
        <v>4301180006</v>
      </c>
      <c r="D246" s="397">
        <v>4680115881822</v>
      </c>
      <c r="E246" s="398"/>
      <c r="F246" s="388">
        <v>0.1</v>
      </c>
      <c r="G246" s="33">
        <v>20</v>
      </c>
      <c r="H246" s="388">
        <v>2</v>
      </c>
      <c r="I246" s="388">
        <v>2.2400000000000002</v>
      </c>
      <c r="J246" s="33">
        <v>238</v>
      </c>
      <c r="K246" s="33" t="s">
        <v>69</v>
      </c>
      <c r="L246" s="33"/>
      <c r="M246" s="34" t="s">
        <v>401</v>
      </c>
      <c r="N246" s="34"/>
      <c r="O246" s="33">
        <v>730</v>
      </c>
      <c r="P246" s="4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6" s="394"/>
      <c r="R246" s="394"/>
      <c r="S246" s="394"/>
      <c r="T246" s="395"/>
      <c r="U246" s="35"/>
      <c r="V246" s="35"/>
      <c r="W246" s="36" t="s">
        <v>71</v>
      </c>
      <c r="X246" s="389">
        <v>0</v>
      </c>
      <c r="Y246" s="390">
        <f>IFERROR(IF(X246="",0,CEILING((X246/$H246),1)*$H246),"")</f>
        <v>0</v>
      </c>
      <c r="Z246" s="37" t="str">
        <f>IFERROR(IF(Y246=0,"",ROUNDUP(Y246/H246,0)*0.00474),"")</f>
        <v/>
      </c>
      <c r="AA246" s="57"/>
      <c r="AB246" s="58"/>
      <c r="AC246" s="288" t="s">
        <v>402</v>
      </c>
      <c r="AG246" s="65"/>
      <c r="AJ246" s="69"/>
      <c r="AK246" s="69">
        <v>0</v>
      </c>
      <c r="BB246" s="289" t="s">
        <v>1</v>
      </c>
      <c r="BM246" s="65">
        <f>IFERROR(X246*I246/H246,"0")</f>
        <v>0</v>
      </c>
      <c r="BN246" s="65">
        <f>IFERROR(Y246*I246/H246,"0")</f>
        <v>0</v>
      </c>
      <c r="BO246" s="65">
        <f>IFERROR(1/J246*(X246/H246),"0")</f>
        <v>0</v>
      </c>
      <c r="BP246" s="65">
        <f>IFERROR(1/J246*(Y246/H246),"0")</f>
        <v>0</v>
      </c>
    </row>
    <row r="247" spans="1:68" ht="27" customHeight="1" x14ac:dyDescent="0.25">
      <c r="A247" s="55" t="s">
        <v>405</v>
      </c>
      <c r="B247" s="55" t="s">
        <v>406</v>
      </c>
      <c r="C247" s="32">
        <v>4301180001</v>
      </c>
      <c r="D247" s="397">
        <v>4680115880016</v>
      </c>
      <c r="E247" s="398"/>
      <c r="F247" s="388">
        <v>0.1</v>
      </c>
      <c r="G247" s="33">
        <v>20</v>
      </c>
      <c r="H247" s="388">
        <v>2</v>
      </c>
      <c r="I247" s="388">
        <v>2.2400000000000002</v>
      </c>
      <c r="J247" s="33">
        <v>238</v>
      </c>
      <c r="K247" s="33" t="s">
        <v>69</v>
      </c>
      <c r="L247" s="33"/>
      <c r="M247" s="34" t="s">
        <v>401</v>
      </c>
      <c r="N247" s="34"/>
      <c r="O247" s="33">
        <v>730</v>
      </c>
      <c r="P247" s="5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7" s="394"/>
      <c r="R247" s="394"/>
      <c r="S247" s="394"/>
      <c r="T247" s="395"/>
      <c r="U247" s="35"/>
      <c r="V247" s="35"/>
      <c r="W247" s="36" t="s">
        <v>71</v>
      </c>
      <c r="X247" s="389">
        <v>0</v>
      </c>
      <c r="Y247" s="390">
        <f>IFERROR(IF(X247="",0,CEILING((X247/$H247),1)*$H247),"")</f>
        <v>0</v>
      </c>
      <c r="Z247" s="37" t="str">
        <f>IFERROR(IF(Y247=0,"",ROUNDUP(Y247/H247,0)*0.00474),"")</f>
        <v/>
      </c>
      <c r="AA247" s="57"/>
      <c r="AB247" s="58"/>
      <c r="AC247" s="290" t="s">
        <v>402</v>
      </c>
      <c r="AG247" s="65"/>
      <c r="AJ247" s="69"/>
      <c r="AK247" s="69">
        <v>0</v>
      </c>
      <c r="BB247" s="291" t="s">
        <v>1</v>
      </c>
      <c r="BM247" s="65">
        <f>IFERROR(X247*I247/H247,"0")</f>
        <v>0</v>
      </c>
      <c r="BN247" s="65">
        <f>IFERROR(Y247*I247/H247,"0")</f>
        <v>0</v>
      </c>
      <c r="BO247" s="65">
        <f>IFERROR(1/J247*(X247/H247),"0")</f>
        <v>0</v>
      </c>
      <c r="BP247" s="65">
        <f>IFERROR(1/J247*(Y247/H247),"0")</f>
        <v>0</v>
      </c>
    </row>
    <row r="248" spans="1:68" x14ac:dyDescent="0.2">
      <c r="A248" s="418"/>
      <c r="B248" s="408"/>
      <c r="C248" s="408"/>
      <c r="D248" s="408"/>
      <c r="E248" s="408"/>
      <c r="F248" s="408"/>
      <c r="G248" s="408"/>
      <c r="H248" s="408"/>
      <c r="I248" s="408"/>
      <c r="J248" s="408"/>
      <c r="K248" s="408"/>
      <c r="L248" s="408"/>
      <c r="M248" s="408"/>
      <c r="N248" s="408"/>
      <c r="O248" s="419"/>
      <c r="P248" s="401" t="s">
        <v>76</v>
      </c>
      <c r="Q248" s="402"/>
      <c r="R248" s="402"/>
      <c r="S248" s="402"/>
      <c r="T248" s="402"/>
      <c r="U248" s="402"/>
      <c r="V248" s="403"/>
      <c r="W248" s="38" t="s">
        <v>77</v>
      </c>
      <c r="X248" s="391">
        <f>IFERROR(X245/H245,"0")+IFERROR(X246/H246,"0")+IFERROR(X247/H247,"0")</f>
        <v>0</v>
      </c>
      <c r="Y248" s="391">
        <f>IFERROR(Y245/H245,"0")+IFERROR(Y246/H246,"0")+IFERROR(Y247/H247,"0")</f>
        <v>0</v>
      </c>
      <c r="Z248" s="391">
        <f>IFERROR(IF(Z245="",0,Z245),"0")+IFERROR(IF(Z246="",0,Z246),"0")+IFERROR(IF(Z247="",0,Z247),"0")</f>
        <v>0</v>
      </c>
      <c r="AA248" s="392"/>
      <c r="AB248" s="392"/>
      <c r="AC248" s="392"/>
    </row>
    <row r="249" spans="1:68" x14ac:dyDescent="0.2">
      <c r="A249" s="408"/>
      <c r="B249" s="408"/>
      <c r="C249" s="408"/>
      <c r="D249" s="408"/>
      <c r="E249" s="408"/>
      <c r="F249" s="408"/>
      <c r="G249" s="408"/>
      <c r="H249" s="408"/>
      <c r="I249" s="408"/>
      <c r="J249" s="408"/>
      <c r="K249" s="408"/>
      <c r="L249" s="408"/>
      <c r="M249" s="408"/>
      <c r="N249" s="408"/>
      <c r="O249" s="419"/>
      <c r="P249" s="401" t="s">
        <v>76</v>
      </c>
      <c r="Q249" s="402"/>
      <c r="R249" s="402"/>
      <c r="S249" s="402"/>
      <c r="T249" s="402"/>
      <c r="U249" s="402"/>
      <c r="V249" s="403"/>
      <c r="W249" s="38" t="s">
        <v>71</v>
      </c>
      <c r="X249" s="391">
        <f>IFERROR(SUM(X245:X247),"0")</f>
        <v>0</v>
      </c>
      <c r="Y249" s="391">
        <f>IFERROR(SUM(Y245:Y247),"0")</f>
        <v>0</v>
      </c>
      <c r="Z249" s="38"/>
      <c r="AA249" s="392"/>
      <c r="AB249" s="392"/>
      <c r="AC249" s="392"/>
    </row>
    <row r="250" spans="1:68" ht="16.5" customHeight="1" x14ac:dyDescent="0.25">
      <c r="A250" s="407" t="s">
        <v>407</v>
      </c>
      <c r="B250" s="408"/>
      <c r="C250" s="408"/>
      <c r="D250" s="408"/>
      <c r="E250" s="408"/>
      <c r="F250" s="408"/>
      <c r="G250" s="408"/>
      <c r="H250" s="408"/>
      <c r="I250" s="408"/>
      <c r="J250" s="408"/>
      <c r="K250" s="408"/>
      <c r="L250" s="408"/>
      <c r="M250" s="408"/>
      <c r="N250" s="408"/>
      <c r="O250" s="408"/>
      <c r="P250" s="408"/>
      <c r="Q250" s="408"/>
      <c r="R250" s="408"/>
      <c r="S250" s="408"/>
      <c r="T250" s="408"/>
      <c r="U250" s="408"/>
      <c r="V250" s="408"/>
      <c r="W250" s="408"/>
      <c r="X250" s="408"/>
      <c r="Y250" s="408"/>
      <c r="Z250" s="408"/>
      <c r="AA250" s="385"/>
      <c r="AB250" s="385"/>
      <c r="AC250" s="385"/>
    </row>
    <row r="251" spans="1:68" ht="14.25" customHeight="1" x14ac:dyDescent="0.25">
      <c r="A251" s="410" t="s">
        <v>66</v>
      </c>
      <c r="B251" s="408"/>
      <c r="C251" s="408"/>
      <c r="D251" s="408"/>
      <c r="E251" s="408"/>
      <c r="F251" s="408"/>
      <c r="G251" s="408"/>
      <c r="H251" s="408"/>
      <c r="I251" s="408"/>
      <c r="J251" s="408"/>
      <c r="K251" s="408"/>
      <c r="L251" s="408"/>
      <c r="M251" s="408"/>
      <c r="N251" s="408"/>
      <c r="O251" s="408"/>
      <c r="P251" s="408"/>
      <c r="Q251" s="408"/>
      <c r="R251" s="408"/>
      <c r="S251" s="408"/>
      <c r="T251" s="408"/>
      <c r="U251" s="408"/>
      <c r="V251" s="408"/>
      <c r="W251" s="408"/>
      <c r="X251" s="408"/>
      <c r="Y251" s="408"/>
      <c r="Z251" s="408"/>
      <c r="AA251" s="383"/>
      <c r="AB251" s="383"/>
      <c r="AC251" s="383"/>
    </row>
    <row r="252" spans="1:68" ht="27" customHeight="1" x14ac:dyDescent="0.25">
      <c r="A252" s="55" t="s">
        <v>408</v>
      </c>
      <c r="B252" s="55" t="s">
        <v>409</v>
      </c>
      <c r="C252" s="32">
        <v>4301051489</v>
      </c>
      <c r="D252" s="397">
        <v>4607091387919</v>
      </c>
      <c r="E252" s="398"/>
      <c r="F252" s="388">
        <v>1.35</v>
      </c>
      <c r="G252" s="33">
        <v>6</v>
      </c>
      <c r="H252" s="388">
        <v>8.1</v>
      </c>
      <c r="I252" s="388">
        <v>8.6189999999999998</v>
      </c>
      <c r="J252" s="33">
        <v>64</v>
      </c>
      <c r="K252" s="33" t="s">
        <v>89</v>
      </c>
      <c r="L252" s="33"/>
      <c r="M252" s="34" t="s">
        <v>112</v>
      </c>
      <c r="N252" s="34"/>
      <c r="O252" s="33">
        <v>45</v>
      </c>
      <c r="P252" s="4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2" s="394"/>
      <c r="R252" s="394"/>
      <c r="S252" s="394"/>
      <c r="T252" s="395"/>
      <c r="U252" s="35"/>
      <c r="V252" s="35"/>
      <c r="W252" s="36" t="s">
        <v>71</v>
      </c>
      <c r="X252" s="389">
        <v>0</v>
      </c>
      <c r="Y252" s="390">
        <f>IFERROR(IF(X252="",0,CEILING((X252/$H252),1)*$H252),"")</f>
        <v>0</v>
      </c>
      <c r="Z252" s="37" t="str">
        <f>IFERROR(IF(Y252=0,"",ROUNDUP(Y252/H252,0)*0.01898),"")</f>
        <v/>
      </c>
      <c r="AA252" s="57"/>
      <c r="AB252" s="58"/>
      <c r="AC252" s="292" t="s">
        <v>410</v>
      </c>
      <c r="AG252" s="65"/>
      <c r="AJ252" s="69"/>
      <c r="AK252" s="69">
        <v>0</v>
      </c>
      <c r="BB252" s="293" t="s">
        <v>1</v>
      </c>
      <c r="BM252" s="65">
        <f>IFERROR(X252*I252/H252,"0")</f>
        <v>0</v>
      </c>
      <c r="BN252" s="65">
        <f>IFERROR(Y252*I252/H252,"0")</f>
        <v>0</v>
      </c>
      <c r="BO252" s="65">
        <f>IFERROR(1/J252*(X252/H252),"0")</f>
        <v>0</v>
      </c>
      <c r="BP252" s="65">
        <f>IFERROR(1/J252*(Y252/H252),"0")</f>
        <v>0</v>
      </c>
    </row>
    <row r="253" spans="1:68" ht="27" customHeight="1" x14ac:dyDescent="0.25">
      <c r="A253" s="55" t="s">
        <v>411</v>
      </c>
      <c r="B253" s="55" t="s">
        <v>412</v>
      </c>
      <c r="C253" s="32">
        <v>4301051461</v>
      </c>
      <c r="D253" s="397">
        <v>4680115883604</v>
      </c>
      <c r="E253" s="398"/>
      <c r="F253" s="388">
        <v>0.35</v>
      </c>
      <c r="G253" s="33">
        <v>6</v>
      </c>
      <c r="H253" s="388">
        <v>2.1</v>
      </c>
      <c r="I253" s="388">
        <v>2.3519999999999999</v>
      </c>
      <c r="J253" s="33">
        <v>182</v>
      </c>
      <c r="K253" s="33" t="s">
        <v>69</v>
      </c>
      <c r="L253" s="33"/>
      <c r="M253" s="34" t="s">
        <v>95</v>
      </c>
      <c r="N253" s="34"/>
      <c r="O253" s="33">
        <v>45</v>
      </c>
      <c r="P253" s="6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3" s="394"/>
      <c r="R253" s="394"/>
      <c r="S253" s="394"/>
      <c r="T253" s="395"/>
      <c r="U253" s="35"/>
      <c r="V253" s="35"/>
      <c r="W253" s="36" t="s">
        <v>71</v>
      </c>
      <c r="X253" s="389">
        <v>35</v>
      </c>
      <c r="Y253" s="390">
        <f>IFERROR(IF(X253="",0,CEILING((X253/$H253),1)*$H253),"")</f>
        <v>35.700000000000003</v>
      </c>
      <c r="Z253" s="37">
        <f>IFERROR(IF(Y253=0,"",ROUNDUP(Y253/H253,0)*0.00651),"")</f>
        <v>0.11067</v>
      </c>
      <c r="AA253" s="57"/>
      <c r="AB253" s="58"/>
      <c r="AC253" s="294" t="s">
        <v>413</v>
      </c>
      <c r="AG253" s="65"/>
      <c r="AJ253" s="69"/>
      <c r="AK253" s="69">
        <v>0</v>
      </c>
      <c r="BB253" s="295" t="s">
        <v>1</v>
      </c>
      <c r="BM253" s="65">
        <f>IFERROR(X253*I253/H253,"0")</f>
        <v>39.199999999999996</v>
      </c>
      <c r="BN253" s="65">
        <f>IFERROR(Y253*I253/H253,"0")</f>
        <v>39.984000000000002</v>
      </c>
      <c r="BO253" s="65">
        <f>IFERROR(1/J253*(X253/H253),"0")</f>
        <v>9.1575091575091569E-2</v>
      </c>
      <c r="BP253" s="65">
        <f>IFERROR(1/J253*(Y253/H253),"0")</f>
        <v>9.3406593406593408E-2</v>
      </c>
    </row>
    <row r="254" spans="1:68" x14ac:dyDescent="0.2">
      <c r="A254" s="418"/>
      <c r="B254" s="408"/>
      <c r="C254" s="408"/>
      <c r="D254" s="408"/>
      <c r="E254" s="408"/>
      <c r="F254" s="408"/>
      <c r="G254" s="408"/>
      <c r="H254" s="408"/>
      <c r="I254" s="408"/>
      <c r="J254" s="408"/>
      <c r="K254" s="408"/>
      <c r="L254" s="408"/>
      <c r="M254" s="408"/>
      <c r="N254" s="408"/>
      <c r="O254" s="419"/>
      <c r="P254" s="401" t="s">
        <v>76</v>
      </c>
      <c r="Q254" s="402"/>
      <c r="R254" s="402"/>
      <c r="S254" s="402"/>
      <c r="T254" s="402"/>
      <c r="U254" s="402"/>
      <c r="V254" s="403"/>
      <c r="W254" s="38" t="s">
        <v>77</v>
      </c>
      <c r="X254" s="391">
        <f>IFERROR(X252/H252,"0")+IFERROR(X253/H253,"0")</f>
        <v>16.666666666666664</v>
      </c>
      <c r="Y254" s="391">
        <f>IFERROR(Y252/H252,"0")+IFERROR(Y253/H253,"0")</f>
        <v>17</v>
      </c>
      <c r="Z254" s="391">
        <f>IFERROR(IF(Z252="",0,Z252),"0")+IFERROR(IF(Z253="",0,Z253),"0")</f>
        <v>0.11067</v>
      </c>
      <c r="AA254" s="392"/>
      <c r="AB254" s="392"/>
      <c r="AC254" s="392"/>
    </row>
    <row r="255" spans="1:68" x14ac:dyDescent="0.2">
      <c r="A255" s="408"/>
      <c r="B255" s="408"/>
      <c r="C255" s="408"/>
      <c r="D255" s="408"/>
      <c r="E255" s="408"/>
      <c r="F255" s="408"/>
      <c r="G255" s="408"/>
      <c r="H255" s="408"/>
      <c r="I255" s="408"/>
      <c r="J255" s="408"/>
      <c r="K255" s="408"/>
      <c r="L255" s="408"/>
      <c r="M255" s="408"/>
      <c r="N255" s="408"/>
      <c r="O255" s="419"/>
      <c r="P255" s="401" t="s">
        <v>76</v>
      </c>
      <c r="Q255" s="402"/>
      <c r="R255" s="402"/>
      <c r="S255" s="402"/>
      <c r="T255" s="402"/>
      <c r="U255" s="402"/>
      <c r="V255" s="403"/>
      <c r="W255" s="38" t="s">
        <v>71</v>
      </c>
      <c r="X255" s="391">
        <f>IFERROR(SUM(X252:X253),"0")</f>
        <v>35</v>
      </c>
      <c r="Y255" s="391">
        <f>IFERROR(SUM(Y252:Y253),"0")</f>
        <v>35.700000000000003</v>
      </c>
      <c r="Z255" s="38"/>
      <c r="AA255" s="392"/>
      <c r="AB255" s="392"/>
      <c r="AC255" s="392"/>
    </row>
    <row r="256" spans="1:68" ht="27.75" customHeight="1" x14ac:dyDescent="0.2">
      <c r="A256" s="476" t="s">
        <v>414</v>
      </c>
      <c r="B256" s="477"/>
      <c r="C256" s="477"/>
      <c r="D256" s="477"/>
      <c r="E256" s="477"/>
      <c r="F256" s="477"/>
      <c r="G256" s="477"/>
      <c r="H256" s="477"/>
      <c r="I256" s="477"/>
      <c r="J256" s="477"/>
      <c r="K256" s="477"/>
      <c r="L256" s="477"/>
      <c r="M256" s="477"/>
      <c r="N256" s="477"/>
      <c r="O256" s="477"/>
      <c r="P256" s="477"/>
      <c r="Q256" s="477"/>
      <c r="R256" s="477"/>
      <c r="S256" s="477"/>
      <c r="T256" s="477"/>
      <c r="U256" s="477"/>
      <c r="V256" s="477"/>
      <c r="W256" s="477"/>
      <c r="X256" s="477"/>
      <c r="Y256" s="477"/>
      <c r="Z256" s="477"/>
      <c r="AA256" s="49"/>
      <c r="AB256" s="49"/>
      <c r="AC256" s="49"/>
    </row>
    <row r="257" spans="1:68" ht="16.5" customHeight="1" x14ac:dyDescent="0.25">
      <c r="A257" s="407" t="s">
        <v>415</v>
      </c>
      <c r="B257" s="408"/>
      <c r="C257" s="408"/>
      <c r="D257" s="408"/>
      <c r="E257" s="408"/>
      <c r="F257" s="408"/>
      <c r="G257" s="408"/>
      <c r="H257" s="408"/>
      <c r="I257" s="408"/>
      <c r="J257" s="408"/>
      <c r="K257" s="408"/>
      <c r="L257" s="408"/>
      <c r="M257" s="408"/>
      <c r="N257" s="408"/>
      <c r="O257" s="408"/>
      <c r="P257" s="408"/>
      <c r="Q257" s="408"/>
      <c r="R257" s="408"/>
      <c r="S257" s="408"/>
      <c r="T257" s="408"/>
      <c r="U257" s="408"/>
      <c r="V257" s="408"/>
      <c r="W257" s="408"/>
      <c r="X257" s="408"/>
      <c r="Y257" s="408"/>
      <c r="Z257" s="408"/>
      <c r="AA257" s="385"/>
      <c r="AB257" s="385"/>
      <c r="AC257" s="385"/>
    </row>
    <row r="258" spans="1:68" ht="14.25" customHeight="1" x14ac:dyDescent="0.25">
      <c r="A258" s="410" t="s">
        <v>86</v>
      </c>
      <c r="B258" s="408"/>
      <c r="C258" s="408"/>
      <c r="D258" s="408"/>
      <c r="E258" s="408"/>
      <c r="F258" s="408"/>
      <c r="G258" s="408"/>
      <c r="H258" s="408"/>
      <c r="I258" s="408"/>
      <c r="J258" s="408"/>
      <c r="K258" s="408"/>
      <c r="L258" s="408"/>
      <c r="M258" s="408"/>
      <c r="N258" s="408"/>
      <c r="O258" s="408"/>
      <c r="P258" s="408"/>
      <c r="Q258" s="408"/>
      <c r="R258" s="408"/>
      <c r="S258" s="408"/>
      <c r="T258" s="408"/>
      <c r="U258" s="408"/>
      <c r="V258" s="408"/>
      <c r="W258" s="408"/>
      <c r="X258" s="408"/>
      <c r="Y258" s="408"/>
      <c r="Z258" s="408"/>
      <c r="AA258" s="383"/>
      <c r="AB258" s="383"/>
      <c r="AC258" s="383"/>
    </row>
    <row r="259" spans="1:68" ht="37.5" customHeight="1" x14ac:dyDescent="0.25">
      <c r="A259" s="55" t="s">
        <v>416</v>
      </c>
      <c r="B259" s="55" t="s">
        <v>417</v>
      </c>
      <c r="C259" s="32">
        <v>4301011869</v>
      </c>
      <c r="D259" s="397">
        <v>4680115884847</v>
      </c>
      <c r="E259" s="398"/>
      <c r="F259" s="388">
        <v>2.5</v>
      </c>
      <c r="G259" s="33">
        <v>6</v>
      </c>
      <c r="H259" s="388">
        <v>15</v>
      </c>
      <c r="I259" s="388">
        <v>15.48</v>
      </c>
      <c r="J259" s="33">
        <v>48</v>
      </c>
      <c r="K259" s="33" t="s">
        <v>89</v>
      </c>
      <c r="L259" s="33"/>
      <c r="M259" s="34" t="s">
        <v>70</v>
      </c>
      <c r="N259" s="34"/>
      <c r="O259" s="33">
        <v>60</v>
      </c>
      <c r="P259" s="4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9" s="394"/>
      <c r="R259" s="394"/>
      <c r="S259" s="394"/>
      <c r="T259" s="395"/>
      <c r="U259" s="35"/>
      <c r="V259" s="35"/>
      <c r="W259" s="36" t="s">
        <v>71</v>
      </c>
      <c r="X259" s="389">
        <v>630</v>
      </c>
      <c r="Y259" s="390">
        <f t="shared" ref="Y259:Y264" si="25">IFERROR(IF(X259="",0,CEILING((X259/$H259),1)*$H259),"")</f>
        <v>630</v>
      </c>
      <c r="Z259" s="37">
        <f>IFERROR(IF(Y259=0,"",ROUNDUP(Y259/H259,0)*0.02175),"")</f>
        <v>0.91349999999999998</v>
      </c>
      <c r="AA259" s="57"/>
      <c r="AB259" s="58"/>
      <c r="AC259" s="296" t="s">
        <v>418</v>
      </c>
      <c r="AG259" s="65"/>
      <c r="AJ259" s="69"/>
      <c r="AK259" s="69">
        <v>0</v>
      </c>
      <c r="BB259" s="297" t="s">
        <v>1</v>
      </c>
      <c r="BM259" s="65">
        <f t="shared" ref="BM259:BM264" si="26">IFERROR(X259*I259/H259,"0")</f>
        <v>650.16</v>
      </c>
      <c r="BN259" s="65">
        <f t="shared" ref="BN259:BN264" si="27">IFERROR(Y259*I259/H259,"0")</f>
        <v>650.16</v>
      </c>
      <c r="BO259" s="65">
        <f t="shared" ref="BO259:BO264" si="28">IFERROR(1/J259*(X259/H259),"0")</f>
        <v>0.875</v>
      </c>
      <c r="BP259" s="65">
        <f t="shared" ref="BP259:BP264" si="29">IFERROR(1/J259*(Y259/H259),"0")</f>
        <v>0.875</v>
      </c>
    </row>
    <row r="260" spans="1:68" ht="27" customHeight="1" x14ac:dyDescent="0.25">
      <c r="A260" s="55" t="s">
        <v>419</v>
      </c>
      <c r="B260" s="55" t="s">
        <v>420</v>
      </c>
      <c r="C260" s="32">
        <v>4301011870</v>
      </c>
      <c r="D260" s="397">
        <v>4680115884854</v>
      </c>
      <c r="E260" s="398"/>
      <c r="F260" s="388">
        <v>2.5</v>
      </c>
      <c r="G260" s="33">
        <v>6</v>
      </c>
      <c r="H260" s="388">
        <v>15</v>
      </c>
      <c r="I260" s="388">
        <v>15.48</v>
      </c>
      <c r="J260" s="33">
        <v>48</v>
      </c>
      <c r="K260" s="33" t="s">
        <v>89</v>
      </c>
      <c r="L260" s="33"/>
      <c r="M260" s="34" t="s">
        <v>70</v>
      </c>
      <c r="N260" s="34"/>
      <c r="O260" s="33">
        <v>60</v>
      </c>
      <c r="P260" s="5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60" s="394"/>
      <c r="R260" s="394"/>
      <c r="S260" s="394"/>
      <c r="T260" s="395"/>
      <c r="U260" s="35"/>
      <c r="V260" s="35"/>
      <c r="W260" s="36" t="s">
        <v>71</v>
      </c>
      <c r="X260" s="389">
        <v>0</v>
      </c>
      <c r="Y260" s="390">
        <f t="shared" si="25"/>
        <v>0</v>
      </c>
      <c r="Z260" s="37" t="str">
        <f>IFERROR(IF(Y260=0,"",ROUNDUP(Y260/H260,0)*0.02175),"")</f>
        <v/>
      </c>
      <c r="AA260" s="57"/>
      <c r="AB260" s="58"/>
      <c r="AC260" s="298" t="s">
        <v>421</v>
      </c>
      <c r="AG260" s="65"/>
      <c r="AJ260" s="69"/>
      <c r="AK260" s="69">
        <v>0</v>
      </c>
      <c r="BB260" s="299" t="s">
        <v>1</v>
      </c>
      <c r="BM260" s="65">
        <f t="shared" si="26"/>
        <v>0</v>
      </c>
      <c r="BN260" s="65">
        <f t="shared" si="27"/>
        <v>0</v>
      </c>
      <c r="BO260" s="65">
        <f t="shared" si="28"/>
        <v>0</v>
      </c>
      <c r="BP260" s="65">
        <f t="shared" si="29"/>
        <v>0</v>
      </c>
    </row>
    <row r="261" spans="1:68" ht="37.5" customHeight="1" x14ac:dyDescent="0.25">
      <c r="A261" s="55" t="s">
        <v>422</v>
      </c>
      <c r="B261" s="55" t="s">
        <v>423</v>
      </c>
      <c r="C261" s="32">
        <v>4301011867</v>
      </c>
      <c r="D261" s="397">
        <v>4680115884830</v>
      </c>
      <c r="E261" s="398"/>
      <c r="F261" s="388">
        <v>2.5</v>
      </c>
      <c r="G261" s="33">
        <v>6</v>
      </c>
      <c r="H261" s="388">
        <v>15</v>
      </c>
      <c r="I261" s="388">
        <v>15.48</v>
      </c>
      <c r="J261" s="33">
        <v>48</v>
      </c>
      <c r="K261" s="33" t="s">
        <v>89</v>
      </c>
      <c r="L261" s="33"/>
      <c r="M261" s="34" t="s">
        <v>70</v>
      </c>
      <c r="N261" s="34"/>
      <c r="O261" s="33">
        <v>60</v>
      </c>
      <c r="P261" s="5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61" s="394"/>
      <c r="R261" s="394"/>
      <c r="S261" s="394"/>
      <c r="T261" s="395"/>
      <c r="U261" s="35"/>
      <c r="V261" s="35"/>
      <c r="W261" s="36" t="s">
        <v>71</v>
      </c>
      <c r="X261" s="389">
        <v>190</v>
      </c>
      <c r="Y261" s="390">
        <f t="shared" si="25"/>
        <v>195</v>
      </c>
      <c r="Z261" s="37">
        <f>IFERROR(IF(Y261=0,"",ROUNDUP(Y261/H261,0)*0.02175),"")</f>
        <v>0.28275</v>
      </c>
      <c r="AA261" s="57"/>
      <c r="AB261" s="58"/>
      <c r="AC261" s="300" t="s">
        <v>424</v>
      </c>
      <c r="AG261" s="65"/>
      <c r="AJ261" s="69"/>
      <c r="AK261" s="69">
        <v>0</v>
      </c>
      <c r="BB261" s="301" t="s">
        <v>1</v>
      </c>
      <c r="BM261" s="65">
        <f t="shared" si="26"/>
        <v>196.08</v>
      </c>
      <c r="BN261" s="65">
        <f t="shared" si="27"/>
        <v>201.23999999999998</v>
      </c>
      <c r="BO261" s="65">
        <f t="shared" si="28"/>
        <v>0.26388888888888884</v>
      </c>
      <c r="BP261" s="65">
        <f t="shared" si="29"/>
        <v>0.27083333333333331</v>
      </c>
    </row>
    <row r="262" spans="1:68" ht="27" customHeight="1" x14ac:dyDescent="0.25">
      <c r="A262" s="55" t="s">
        <v>425</v>
      </c>
      <c r="B262" s="55" t="s">
        <v>426</v>
      </c>
      <c r="C262" s="32">
        <v>4301011433</v>
      </c>
      <c r="D262" s="397">
        <v>4680115882638</v>
      </c>
      <c r="E262" s="398"/>
      <c r="F262" s="388">
        <v>0.4</v>
      </c>
      <c r="G262" s="33">
        <v>10</v>
      </c>
      <c r="H262" s="388">
        <v>4</v>
      </c>
      <c r="I262" s="388">
        <v>4.21</v>
      </c>
      <c r="J262" s="33">
        <v>132</v>
      </c>
      <c r="K262" s="33" t="s">
        <v>94</v>
      </c>
      <c r="L262" s="33"/>
      <c r="M262" s="34" t="s">
        <v>90</v>
      </c>
      <c r="N262" s="34"/>
      <c r="O262" s="33">
        <v>90</v>
      </c>
      <c r="P262" s="6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2" s="394"/>
      <c r="R262" s="394"/>
      <c r="S262" s="394"/>
      <c r="T262" s="395"/>
      <c r="U262" s="35"/>
      <c r="V262" s="35"/>
      <c r="W262" s="36" t="s">
        <v>71</v>
      </c>
      <c r="X262" s="389">
        <v>0</v>
      </c>
      <c r="Y262" s="390">
        <f t="shared" si="25"/>
        <v>0</v>
      </c>
      <c r="Z262" s="37" t="str">
        <f>IFERROR(IF(Y262=0,"",ROUNDUP(Y262/H262,0)*0.00902),"")</f>
        <v/>
      </c>
      <c r="AA262" s="57"/>
      <c r="AB262" s="58"/>
      <c r="AC262" s="302" t="s">
        <v>427</v>
      </c>
      <c r="AG262" s="65"/>
      <c r="AJ262" s="69"/>
      <c r="AK262" s="69">
        <v>0</v>
      </c>
      <c r="BB262" s="303" t="s">
        <v>1</v>
      </c>
      <c r="BM262" s="65">
        <f t="shared" si="26"/>
        <v>0</v>
      </c>
      <c r="BN262" s="65">
        <f t="shared" si="27"/>
        <v>0</v>
      </c>
      <c r="BO262" s="65">
        <f t="shared" si="28"/>
        <v>0</v>
      </c>
      <c r="BP262" s="65">
        <f t="shared" si="29"/>
        <v>0</v>
      </c>
    </row>
    <row r="263" spans="1:68" ht="27" customHeight="1" x14ac:dyDescent="0.25">
      <c r="A263" s="55" t="s">
        <v>428</v>
      </c>
      <c r="B263" s="55" t="s">
        <v>429</v>
      </c>
      <c r="C263" s="32">
        <v>4301011952</v>
      </c>
      <c r="D263" s="397">
        <v>4680115884922</v>
      </c>
      <c r="E263" s="398"/>
      <c r="F263" s="388">
        <v>0.5</v>
      </c>
      <c r="G263" s="33">
        <v>10</v>
      </c>
      <c r="H263" s="388">
        <v>5</v>
      </c>
      <c r="I263" s="388">
        <v>5.21</v>
      </c>
      <c r="J263" s="33">
        <v>132</v>
      </c>
      <c r="K263" s="33" t="s">
        <v>94</v>
      </c>
      <c r="L263" s="33"/>
      <c r="M263" s="34" t="s">
        <v>70</v>
      </c>
      <c r="N263" s="34"/>
      <c r="O263" s="33">
        <v>60</v>
      </c>
      <c r="P263" s="6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3" s="394"/>
      <c r="R263" s="394"/>
      <c r="S263" s="394"/>
      <c r="T263" s="395"/>
      <c r="U263" s="35"/>
      <c r="V263" s="35"/>
      <c r="W263" s="36" t="s">
        <v>71</v>
      </c>
      <c r="X263" s="389">
        <v>0</v>
      </c>
      <c r="Y263" s="390">
        <f t="shared" si="25"/>
        <v>0</v>
      </c>
      <c r="Z263" s="37" t="str">
        <f>IFERROR(IF(Y263=0,"",ROUNDUP(Y263/H263,0)*0.00902),"")</f>
        <v/>
      </c>
      <c r="AA263" s="57"/>
      <c r="AB263" s="58"/>
      <c r="AC263" s="304" t="s">
        <v>421</v>
      </c>
      <c r="AG263" s="65"/>
      <c r="AJ263" s="69"/>
      <c r="AK263" s="69">
        <v>0</v>
      </c>
      <c r="BB263" s="305" t="s">
        <v>1</v>
      </c>
      <c r="BM263" s="65">
        <f t="shared" si="26"/>
        <v>0</v>
      </c>
      <c r="BN263" s="65">
        <f t="shared" si="27"/>
        <v>0</v>
      </c>
      <c r="BO263" s="65">
        <f t="shared" si="28"/>
        <v>0</v>
      </c>
      <c r="BP263" s="65">
        <f t="shared" si="29"/>
        <v>0</v>
      </c>
    </row>
    <row r="264" spans="1:68" ht="37.5" customHeight="1" x14ac:dyDescent="0.25">
      <c r="A264" s="55" t="s">
        <v>430</v>
      </c>
      <c r="B264" s="55" t="s">
        <v>431</v>
      </c>
      <c r="C264" s="32">
        <v>4301011868</v>
      </c>
      <c r="D264" s="397">
        <v>4680115884861</v>
      </c>
      <c r="E264" s="398"/>
      <c r="F264" s="388">
        <v>0.5</v>
      </c>
      <c r="G264" s="33">
        <v>10</v>
      </c>
      <c r="H264" s="388">
        <v>5</v>
      </c>
      <c r="I264" s="388">
        <v>5.21</v>
      </c>
      <c r="J264" s="33">
        <v>132</v>
      </c>
      <c r="K264" s="33" t="s">
        <v>94</v>
      </c>
      <c r="L264" s="33"/>
      <c r="M264" s="34" t="s">
        <v>70</v>
      </c>
      <c r="N264" s="34"/>
      <c r="O264" s="33">
        <v>60</v>
      </c>
      <c r="P264" s="5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4" s="394"/>
      <c r="R264" s="394"/>
      <c r="S264" s="394"/>
      <c r="T264" s="395"/>
      <c r="U264" s="35"/>
      <c r="V264" s="35"/>
      <c r="W264" s="36" t="s">
        <v>71</v>
      </c>
      <c r="X264" s="389">
        <v>0</v>
      </c>
      <c r="Y264" s="390">
        <f t="shared" si="25"/>
        <v>0</v>
      </c>
      <c r="Z264" s="37" t="str">
        <f>IFERROR(IF(Y264=0,"",ROUNDUP(Y264/H264,0)*0.00902),"")</f>
        <v/>
      </c>
      <c r="AA264" s="57"/>
      <c r="AB264" s="58"/>
      <c r="AC264" s="306" t="s">
        <v>424</v>
      </c>
      <c r="AG264" s="65"/>
      <c r="AJ264" s="69"/>
      <c r="AK264" s="69">
        <v>0</v>
      </c>
      <c r="BB264" s="307" t="s">
        <v>1</v>
      </c>
      <c r="BM264" s="65">
        <f t="shared" si="26"/>
        <v>0</v>
      </c>
      <c r="BN264" s="65">
        <f t="shared" si="27"/>
        <v>0</v>
      </c>
      <c r="BO264" s="65">
        <f t="shared" si="28"/>
        <v>0</v>
      </c>
      <c r="BP264" s="65">
        <f t="shared" si="29"/>
        <v>0</v>
      </c>
    </row>
    <row r="265" spans="1:68" x14ac:dyDescent="0.2">
      <c r="A265" s="418"/>
      <c r="B265" s="408"/>
      <c r="C265" s="408"/>
      <c r="D265" s="408"/>
      <c r="E265" s="408"/>
      <c r="F265" s="408"/>
      <c r="G265" s="408"/>
      <c r="H265" s="408"/>
      <c r="I265" s="408"/>
      <c r="J265" s="408"/>
      <c r="K265" s="408"/>
      <c r="L265" s="408"/>
      <c r="M265" s="408"/>
      <c r="N265" s="408"/>
      <c r="O265" s="419"/>
      <c r="P265" s="401" t="s">
        <v>76</v>
      </c>
      <c r="Q265" s="402"/>
      <c r="R265" s="402"/>
      <c r="S265" s="402"/>
      <c r="T265" s="402"/>
      <c r="U265" s="402"/>
      <c r="V265" s="403"/>
      <c r="W265" s="38" t="s">
        <v>77</v>
      </c>
      <c r="X265" s="391">
        <f>IFERROR(X259/H259,"0")+IFERROR(X260/H260,"0")+IFERROR(X261/H261,"0")+IFERROR(X262/H262,"0")+IFERROR(X263/H263,"0")+IFERROR(X264/H264,"0")</f>
        <v>54.666666666666664</v>
      </c>
      <c r="Y265" s="391">
        <f>IFERROR(Y259/H259,"0")+IFERROR(Y260/H260,"0")+IFERROR(Y261/H261,"0")+IFERROR(Y262/H262,"0")+IFERROR(Y263/H263,"0")+IFERROR(Y264/H264,"0")</f>
        <v>55</v>
      </c>
      <c r="Z265" s="391">
        <f>IFERROR(IF(Z259="",0,Z259),"0")+IFERROR(IF(Z260="",0,Z260),"0")+IFERROR(IF(Z261="",0,Z261),"0")+IFERROR(IF(Z262="",0,Z262),"0")+IFERROR(IF(Z263="",0,Z263),"0")+IFERROR(IF(Z264="",0,Z264),"0")</f>
        <v>1.19625</v>
      </c>
      <c r="AA265" s="392"/>
      <c r="AB265" s="392"/>
      <c r="AC265" s="392"/>
    </row>
    <row r="266" spans="1:68" x14ac:dyDescent="0.2">
      <c r="A266" s="408"/>
      <c r="B266" s="408"/>
      <c r="C266" s="408"/>
      <c r="D266" s="408"/>
      <c r="E266" s="408"/>
      <c r="F266" s="408"/>
      <c r="G266" s="408"/>
      <c r="H266" s="408"/>
      <c r="I266" s="408"/>
      <c r="J266" s="408"/>
      <c r="K266" s="408"/>
      <c r="L266" s="408"/>
      <c r="M266" s="408"/>
      <c r="N266" s="408"/>
      <c r="O266" s="419"/>
      <c r="P266" s="401" t="s">
        <v>76</v>
      </c>
      <c r="Q266" s="402"/>
      <c r="R266" s="402"/>
      <c r="S266" s="402"/>
      <c r="T266" s="402"/>
      <c r="U266" s="402"/>
      <c r="V266" s="403"/>
      <c r="W266" s="38" t="s">
        <v>71</v>
      </c>
      <c r="X266" s="391">
        <f>IFERROR(SUM(X259:X264),"0")</f>
        <v>820</v>
      </c>
      <c r="Y266" s="391">
        <f>IFERROR(SUM(Y259:Y264),"0")</f>
        <v>825</v>
      </c>
      <c r="Z266" s="38"/>
      <c r="AA266" s="392"/>
      <c r="AB266" s="392"/>
      <c r="AC266" s="392"/>
    </row>
    <row r="267" spans="1:68" ht="14.25" customHeight="1" x14ac:dyDescent="0.25">
      <c r="A267" s="410" t="s">
        <v>117</v>
      </c>
      <c r="B267" s="408"/>
      <c r="C267" s="408"/>
      <c r="D267" s="408"/>
      <c r="E267" s="408"/>
      <c r="F267" s="408"/>
      <c r="G267" s="408"/>
      <c r="H267" s="408"/>
      <c r="I267" s="408"/>
      <c r="J267" s="408"/>
      <c r="K267" s="408"/>
      <c r="L267" s="408"/>
      <c r="M267" s="408"/>
      <c r="N267" s="408"/>
      <c r="O267" s="408"/>
      <c r="P267" s="408"/>
      <c r="Q267" s="408"/>
      <c r="R267" s="408"/>
      <c r="S267" s="408"/>
      <c r="T267" s="408"/>
      <c r="U267" s="408"/>
      <c r="V267" s="408"/>
      <c r="W267" s="408"/>
      <c r="X267" s="408"/>
      <c r="Y267" s="408"/>
      <c r="Z267" s="408"/>
      <c r="AA267" s="383"/>
      <c r="AB267" s="383"/>
      <c r="AC267" s="383"/>
    </row>
    <row r="268" spans="1:68" ht="27" customHeight="1" x14ac:dyDescent="0.25">
      <c r="A268" s="55" t="s">
        <v>432</v>
      </c>
      <c r="B268" s="55" t="s">
        <v>433</v>
      </c>
      <c r="C268" s="32">
        <v>4301020178</v>
      </c>
      <c r="D268" s="397">
        <v>4607091383980</v>
      </c>
      <c r="E268" s="398"/>
      <c r="F268" s="388">
        <v>2.5</v>
      </c>
      <c r="G268" s="33">
        <v>6</v>
      </c>
      <c r="H268" s="388">
        <v>15</v>
      </c>
      <c r="I268" s="388">
        <v>15.48</v>
      </c>
      <c r="J268" s="33">
        <v>48</v>
      </c>
      <c r="K268" s="33" t="s">
        <v>89</v>
      </c>
      <c r="L268" s="33"/>
      <c r="M268" s="34" t="s">
        <v>90</v>
      </c>
      <c r="N268" s="34"/>
      <c r="O268" s="33">
        <v>50</v>
      </c>
      <c r="P268" s="4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8" s="394"/>
      <c r="R268" s="394"/>
      <c r="S268" s="394"/>
      <c r="T268" s="395"/>
      <c r="U268" s="35"/>
      <c r="V268" s="35"/>
      <c r="W268" s="36" t="s">
        <v>71</v>
      </c>
      <c r="X268" s="389">
        <v>130</v>
      </c>
      <c r="Y268" s="390">
        <f>IFERROR(IF(X268="",0,CEILING((X268/$H268),1)*$H268),"")</f>
        <v>135</v>
      </c>
      <c r="Z268" s="37">
        <f>IFERROR(IF(Y268=0,"",ROUNDUP(Y268/H268,0)*0.02175),"")</f>
        <v>0.19574999999999998</v>
      </c>
      <c r="AA268" s="57"/>
      <c r="AB268" s="58"/>
      <c r="AC268" s="308" t="s">
        <v>434</v>
      </c>
      <c r="AG268" s="65"/>
      <c r="AJ268" s="69"/>
      <c r="AK268" s="69">
        <v>0</v>
      </c>
      <c r="BB268" s="309" t="s">
        <v>1</v>
      </c>
      <c r="BM268" s="65">
        <f>IFERROR(X268*I268/H268,"0")</f>
        <v>134.16</v>
      </c>
      <c r="BN268" s="65">
        <f>IFERROR(Y268*I268/H268,"0")</f>
        <v>139.32000000000002</v>
      </c>
      <c r="BO268" s="65">
        <f>IFERROR(1/J268*(X268/H268),"0")</f>
        <v>0.18055555555555552</v>
      </c>
      <c r="BP268" s="65">
        <f>IFERROR(1/J268*(Y268/H268),"0")</f>
        <v>0.1875</v>
      </c>
    </row>
    <row r="269" spans="1:68" ht="16.5" customHeight="1" x14ac:dyDescent="0.25">
      <c r="A269" s="55" t="s">
        <v>435</v>
      </c>
      <c r="B269" s="55" t="s">
        <v>436</v>
      </c>
      <c r="C269" s="32">
        <v>4301020179</v>
      </c>
      <c r="D269" s="397">
        <v>4607091384178</v>
      </c>
      <c r="E269" s="398"/>
      <c r="F269" s="388">
        <v>0.4</v>
      </c>
      <c r="G269" s="33">
        <v>10</v>
      </c>
      <c r="H269" s="388">
        <v>4</v>
      </c>
      <c r="I269" s="388">
        <v>4.21</v>
      </c>
      <c r="J269" s="33">
        <v>132</v>
      </c>
      <c r="K269" s="33" t="s">
        <v>94</v>
      </c>
      <c r="L269" s="33"/>
      <c r="M269" s="34" t="s">
        <v>90</v>
      </c>
      <c r="N269" s="34"/>
      <c r="O269" s="33">
        <v>50</v>
      </c>
      <c r="P269" s="5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9" s="394"/>
      <c r="R269" s="394"/>
      <c r="S269" s="394"/>
      <c r="T269" s="395"/>
      <c r="U269" s="35"/>
      <c r="V269" s="35"/>
      <c r="W269" s="36" t="s">
        <v>71</v>
      </c>
      <c r="X269" s="389">
        <v>35</v>
      </c>
      <c r="Y269" s="390">
        <f>IFERROR(IF(X269="",0,CEILING((X269/$H269),1)*$H269),"")</f>
        <v>36</v>
      </c>
      <c r="Z269" s="37">
        <f>IFERROR(IF(Y269=0,"",ROUNDUP(Y269/H269,0)*0.00902),"")</f>
        <v>8.1180000000000002E-2</v>
      </c>
      <c r="AA269" s="57"/>
      <c r="AB269" s="58"/>
      <c r="AC269" s="310" t="s">
        <v>434</v>
      </c>
      <c r="AG269" s="65"/>
      <c r="AJ269" s="69"/>
      <c r="AK269" s="69">
        <v>0</v>
      </c>
      <c r="BB269" s="311" t="s">
        <v>1</v>
      </c>
      <c r="BM269" s="65">
        <f>IFERROR(X269*I269/H269,"0")</f>
        <v>36.837499999999999</v>
      </c>
      <c r="BN269" s="65">
        <f>IFERROR(Y269*I269/H269,"0")</f>
        <v>37.89</v>
      </c>
      <c r="BO269" s="65">
        <f>IFERROR(1/J269*(X269/H269),"0")</f>
        <v>6.6287878787878785E-2</v>
      </c>
      <c r="BP269" s="65">
        <f>IFERROR(1/J269*(Y269/H269),"0")</f>
        <v>6.8181818181818177E-2</v>
      </c>
    </row>
    <row r="270" spans="1:68" x14ac:dyDescent="0.2">
      <c r="A270" s="418"/>
      <c r="B270" s="408"/>
      <c r="C270" s="408"/>
      <c r="D270" s="408"/>
      <c r="E270" s="408"/>
      <c r="F270" s="408"/>
      <c r="G270" s="408"/>
      <c r="H270" s="408"/>
      <c r="I270" s="408"/>
      <c r="J270" s="408"/>
      <c r="K270" s="408"/>
      <c r="L270" s="408"/>
      <c r="M270" s="408"/>
      <c r="N270" s="408"/>
      <c r="O270" s="419"/>
      <c r="P270" s="401" t="s">
        <v>76</v>
      </c>
      <c r="Q270" s="402"/>
      <c r="R270" s="402"/>
      <c r="S270" s="402"/>
      <c r="T270" s="402"/>
      <c r="U270" s="402"/>
      <c r="V270" s="403"/>
      <c r="W270" s="38" t="s">
        <v>77</v>
      </c>
      <c r="X270" s="391">
        <f>IFERROR(X268/H268,"0")+IFERROR(X269/H269,"0")</f>
        <v>17.416666666666664</v>
      </c>
      <c r="Y270" s="391">
        <f>IFERROR(Y268/H268,"0")+IFERROR(Y269/H269,"0")</f>
        <v>18</v>
      </c>
      <c r="Z270" s="391">
        <f>IFERROR(IF(Z268="",0,Z268),"0")+IFERROR(IF(Z269="",0,Z269),"0")</f>
        <v>0.27693000000000001</v>
      </c>
      <c r="AA270" s="392"/>
      <c r="AB270" s="392"/>
      <c r="AC270" s="392"/>
    </row>
    <row r="271" spans="1:68" x14ac:dyDescent="0.2">
      <c r="A271" s="408"/>
      <c r="B271" s="408"/>
      <c r="C271" s="408"/>
      <c r="D271" s="408"/>
      <c r="E271" s="408"/>
      <c r="F271" s="408"/>
      <c r="G271" s="408"/>
      <c r="H271" s="408"/>
      <c r="I271" s="408"/>
      <c r="J271" s="408"/>
      <c r="K271" s="408"/>
      <c r="L271" s="408"/>
      <c r="M271" s="408"/>
      <c r="N271" s="408"/>
      <c r="O271" s="419"/>
      <c r="P271" s="401" t="s">
        <v>76</v>
      </c>
      <c r="Q271" s="402"/>
      <c r="R271" s="402"/>
      <c r="S271" s="402"/>
      <c r="T271" s="402"/>
      <c r="U271" s="402"/>
      <c r="V271" s="403"/>
      <c r="W271" s="38" t="s">
        <v>71</v>
      </c>
      <c r="X271" s="391">
        <f>IFERROR(SUM(X268:X269),"0")</f>
        <v>165</v>
      </c>
      <c r="Y271" s="391">
        <f>IFERROR(SUM(Y268:Y269),"0")</f>
        <v>171</v>
      </c>
      <c r="Z271" s="38"/>
      <c r="AA271" s="392"/>
      <c r="AB271" s="392"/>
      <c r="AC271" s="392"/>
    </row>
    <row r="272" spans="1:68" ht="14.25" customHeight="1" x14ac:dyDescent="0.25">
      <c r="A272" s="410" t="s">
        <v>66</v>
      </c>
      <c r="B272" s="408"/>
      <c r="C272" s="408"/>
      <c r="D272" s="408"/>
      <c r="E272" s="408"/>
      <c r="F272" s="408"/>
      <c r="G272" s="408"/>
      <c r="H272" s="408"/>
      <c r="I272" s="408"/>
      <c r="J272" s="408"/>
      <c r="K272" s="408"/>
      <c r="L272" s="408"/>
      <c r="M272" s="408"/>
      <c r="N272" s="408"/>
      <c r="O272" s="408"/>
      <c r="P272" s="408"/>
      <c r="Q272" s="408"/>
      <c r="R272" s="408"/>
      <c r="S272" s="408"/>
      <c r="T272" s="408"/>
      <c r="U272" s="408"/>
      <c r="V272" s="408"/>
      <c r="W272" s="408"/>
      <c r="X272" s="408"/>
      <c r="Y272" s="408"/>
      <c r="Z272" s="408"/>
      <c r="AA272" s="383"/>
      <c r="AB272" s="383"/>
      <c r="AC272" s="383"/>
    </row>
    <row r="273" spans="1:68" ht="27" customHeight="1" x14ac:dyDescent="0.25">
      <c r="A273" s="55" t="s">
        <v>437</v>
      </c>
      <c r="B273" s="55" t="s">
        <v>438</v>
      </c>
      <c r="C273" s="32">
        <v>4301051903</v>
      </c>
      <c r="D273" s="397">
        <v>4607091383928</v>
      </c>
      <c r="E273" s="398"/>
      <c r="F273" s="388">
        <v>1.5</v>
      </c>
      <c r="G273" s="33">
        <v>6</v>
      </c>
      <c r="H273" s="388">
        <v>9</v>
      </c>
      <c r="I273" s="388">
        <v>9.5250000000000004</v>
      </c>
      <c r="J273" s="33">
        <v>64</v>
      </c>
      <c r="K273" s="33" t="s">
        <v>89</v>
      </c>
      <c r="L273" s="33"/>
      <c r="M273" s="34" t="s">
        <v>95</v>
      </c>
      <c r="N273" s="34"/>
      <c r="O273" s="33">
        <v>40</v>
      </c>
      <c r="P273" s="4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3" s="394"/>
      <c r="R273" s="394"/>
      <c r="S273" s="394"/>
      <c r="T273" s="395"/>
      <c r="U273" s="35"/>
      <c r="V273" s="35"/>
      <c r="W273" s="36" t="s">
        <v>71</v>
      </c>
      <c r="X273" s="389">
        <v>0</v>
      </c>
      <c r="Y273" s="390">
        <f>IFERROR(IF(X273="",0,CEILING((X273/$H273),1)*$H273),"")</f>
        <v>0</v>
      </c>
      <c r="Z273" s="37" t="str">
        <f>IFERROR(IF(Y273=0,"",ROUNDUP(Y273/H273,0)*0.01898),"")</f>
        <v/>
      </c>
      <c r="AA273" s="57"/>
      <c r="AB273" s="58"/>
      <c r="AC273" s="312" t="s">
        <v>439</v>
      </c>
      <c r="AG273" s="65"/>
      <c r="AJ273" s="69"/>
      <c r="AK273" s="69">
        <v>0</v>
      </c>
      <c r="BB273" s="313" t="s">
        <v>1</v>
      </c>
      <c r="BM273" s="65">
        <f>IFERROR(X273*I273/H273,"0")</f>
        <v>0</v>
      </c>
      <c r="BN273" s="65">
        <f>IFERROR(Y273*I273/H273,"0")</f>
        <v>0</v>
      </c>
      <c r="BO273" s="65">
        <f>IFERROR(1/J273*(X273/H273),"0")</f>
        <v>0</v>
      </c>
      <c r="BP273" s="65">
        <f>IFERROR(1/J273*(Y273/H273),"0")</f>
        <v>0</v>
      </c>
    </row>
    <row r="274" spans="1:68" ht="27" customHeight="1" x14ac:dyDescent="0.25">
      <c r="A274" s="55" t="s">
        <v>440</v>
      </c>
      <c r="B274" s="55" t="s">
        <v>441</v>
      </c>
      <c r="C274" s="32">
        <v>4301051897</v>
      </c>
      <c r="D274" s="397">
        <v>4607091384260</v>
      </c>
      <c r="E274" s="398"/>
      <c r="F274" s="388">
        <v>1.5</v>
      </c>
      <c r="G274" s="33">
        <v>6</v>
      </c>
      <c r="H274" s="388">
        <v>9</v>
      </c>
      <c r="I274" s="388">
        <v>9.5190000000000001</v>
      </c>
      <c r="J274" s="33">
        <v>64</v>
      </c>
      <c r="K274" s="33" t="s">
        <v>89</v>
      </c>
      <c r="L274" s="33"/>
      <c r="M274" s="34" t="s">
        <v>95</v>
      </c>
      <c r="N274" s="34"/>
      <c r="O274" s="33">
        <v>40</v>
      </c>
      <c r="P274" s="56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4" s="394"/>
      <c r="R274" s="394"/>
      <c r="S274" s="394"/>
      <c r="T274" s="395"/>
      <c r="U274" s="35"/>
      <c r="V274" s="35"/>
      <c r="W274" s="36" t="s">
        <v>71</v>
      </c>
      <c r="X274" s="389">
        <v>0</v>
      </c>
      <c r="Y274" s="390">
        <f>IFERROR(IF(X274="",0,CEILING((X274/$H274),1)*$H274),"")</f>
        <v>0</v>
      </c>
      <c r="Z274" s="37" t="str">
        <f>IFERROR(IF(Y274=0,"",ROUNDUP(Y274/H274,0)*0.01898),"")</f>
        <v/>
      </c>
      <c r="AA274" s="57"/>
      <c r="AB274" s="58"/>
      <c r="AC274" s="314" t="s">
        <v>442</v>
      </c>
      <c r="AG274" s="65"/>
      <c r="AJ274" s="69"/>
      <c r="AK274" s="69">
        <v>0</v>
      </c>
      <c r="BB274" s="315" t="s">
        <v>1</v>
      </c>
      <c r="BM274" s="65">
        <f>IFERROR(X274*I274/H274,"0")</f>
        <v>0</v>
      </c>
      <c r="BN274" s="65">
        <f>IFERROR(Y274*I274/H274,"0")</f>
        <v>0</v>
      </c>
      <c r="BO274" s="65">
        <f>IFERROR(1/J274*(X274/H274),"0")</f>
        <v>0</v>
      </c>
      <c r="BP274" s="65">
        <f>IFERROR(1/J274*(Y274/H274),"0")</f>
        <v>0</v>
      </c>
    </row>
    <row r="275" spans="1:68" x14ac:dyDescent="0.2">
      <c r="A275" s="418"/>
      <c r="B275" s="408"/>
      <c r="C275" s="408"/>
      <c r="D275" s="408"/>
      <c r="E275" s="408"/>
      <c r="F275" s="408"/>
      <c r="G275" s="408"/>
      <c r="H275" s="408"/>
      <c r="I275" s="408"/>
      <c r="J275" s="408"/>
      <c r="K275" s="408"/>
      <c r="L275" s="408"/>
      <c r="M275" s="408"/>
      <c r="N275" s="408"/>
      <c r="O275" s="419"/>
      <c r="P275" s="401" t="s">
        <v>76</v>
      </c>
      <c r="Q275" s="402"/>
      <c r="R275" s="402"/>
      <c r="S275" s="402"/>
      <c r="T275" s="402"/>
      <c r="U275" s="402"/>
      <c r="V275" s="403"/>
      <c r="W275" s="38" t="s">
        <v>77</v>
      </c>
      <c r="X275" s="391">
        <f>IFERROR(X273/H273,"0")+IFERROR(X274/H274,"0")</f>
        <v>0</v>
      </c>
      <c r="Y275" s="391">
        <f>IFERROR(Y273/H273,"0")+IFERROR(Y274/H274,"0")</f>
        <v>0</v>
      </c>
      <c r="Z275" s="391">
        <f>IFERROR(IF(Z273="",0,Z273),"0")+IFERROR(IF(Z274="",0,Z274),"0")</f>
        <v>0</v>
      </c>
      <c r="AA275" s="392"/>
      <c r="AB275" s="392"/>
      <c r="AC275" s="392"/>
    </row>
    <row r="276" spans="1:68" x14ac:dyDescent="0.2">
      <c r="A276" s="408"/>
      <c r="B276" s="408"/>
      <c r="C276" s="408"/>
      <c r="D276" s="408"/>
      <c r="E276" s="408"/>
      <c r="F276" s="408"/>
      <c r="G276" s="408"/>
      <c r="H276" s="408"/>
      <c r="I276" s="408"/>
      <c r="J276" s="408"/>
      <c r="K276" s="408"/>
      <c r="L276" s="408"/>
      <c r="M276" s="408"/>
      <c r="N276" s="408"/>
      <c r="O276" s="419"/>
      <c r="P276" s="401" t="s">
        <v>76</v>
      </c>
      <c r="Q276" s="402"/>
      <c r="R276" s="402"/>
      <c r="S276" s="402"/>
      <c r="T276" s="402"/>
      <c r="U276" s="402"/>
      <c r="V276" s="403"/>
      <c r="W276" s="38" t="s">
        <v>71</v>
      </c>
      <c r="X276" s="391">
        <f>IFERROR(SUM(X273:X274),"0")</f>
        <v>0</v>
      </c>
      <c r="Y276" s="391">
        <f>IFERROR(SUM(Y273:Y274),"0")</f>
        <v>0</v>
      </c>
      <c r="Z276" s="38"/>
      <c r="AA276" s="392"/>
      <c r="AB276" s="392"/>
      <c r="AC276" s="392"/>
    </row>
    <row r="277" spans="1:68" ht="14.25" customHeight="1" x14ac:dyDescent="0.25">
      <c r="A277" s="410" t="s">
        <v>125</v>
      </c>
      <c r="B277" s="408"/>
      <c r="C277" s="408"/>
      <c r="D277" s="408"/>
      <c r="E277" s="408"/>
      <c r="F277" s="408"/>
      <c r="G277" s="408"/>
      <c r="H277" s="408"/>
      <c r="I277" s="408"/>
      <c r="J277" s="408"/>
      <c r="K277" s="408"/>
      <c r="L277" s="408"/>
      <c r="M277" s="408"/>
      <c r="N277" s="408"/>
      <c r="O277" s="408"/>
      <c r="P277" s="408"/>
      <c r="Q277" s="408"/>
      <c r="R277" s="408"/>
      <c r="S277" s="408"/>
      <c r="T277" s="408"/>
      <c r="U277" s="408"/>
      <c r="V277" s="408"/>
      <c r="W277" s="408"/>
      <c r="X277" s="408"/>
      <c r="Y277" s="408"/>
      <c r="Z277" s="408"/>
      <c r="AA277" s="383"/>
      <c r="AB277" s="383"/>
      <c r="AC277" s="383"/>
    </row>
    <row r="278" spans="1:68" ht="16.5" customHeight="1" x14ac:dyDescent="0.25">
      <c r="A278" s="55" t="s">
        <v>443</v>
      </c>
      <c r="B278" s="55" t="s">
        <v>444</v>
      </c>
      <c r="C278" s="32">
        <v>4301060524</v>
      </c>
      <c r="D278" s="397">
        <v>4607091384673</v>
      </c>
      <c r="E278" s="398"/>
      <c r="F278" s="388">
        <v>1.5</v>
      </c>
      <c r="G278" s="33">
        <v>6</v>
      </c>
      <c r="H278" s="388">
        <v>9</v>
      </c>
      <c r="I278" s="388">
        <v>9.5190000000000001</v>
      </c>
      <c r="J278" s="33">
        <v>64</v>
      </c>
      <c r="K278" s="33" t="s">
        <v>89</v>
      </c>
      <c r="L278" s="33"/>
      <c r="M278" s="34" t="s">
        <v>95</v>
      </c>
      <c r="N278" s="34"/>
      <c r="O278" s="33">
        <v>40</v>
      </c>
      <c r="P278" s="598" t="s">
        <v>445</v>
      </c>
      <c r="Q278" s="394"/>
      <c r="R278" s="394"/>
      <c r="S278" s="394"/>
      <c r="T278" s="395"/>
      <c r="U278" s="35"/>
      <c r="V278" s="35"/>
      <c r="W278" s="36" t="s">
        <v>71</v>
      </c>
      <c r="X278" s="389">
        <v>0</v>
      </c>
      <c r="Y278" s="390">
        <f>IFERROR(IF(X278="",0,CEILING((X278/$H278),1)*$H278),"")</f>
        <v>0</v>
      </c>
      <c r="Z278" s="37" t="str">
        <f>IFERROR(IF(Y278=0,"",ROUNDUP(Y278/H278,0)*0.01898),"")</f>
        <v/>
      </c>
      <c r="AA278" s="57"/>
      <c r="AB278" s="58"/>
      <c r="AC278" s="316" t="s">
        <v>446</v>
      </c>
      <c r="AG278" s="65"/>
      <c r="AJ278" s="69"/>
      <c r="AK278" s="69">
        <v>0</v>
      </c>
      <c r="BB278" s="317" t="s">
        <v>1</v>
      </c>
      <c r="BM278" s="65">
        <f>IFERROR(X278*I278/H278,"0")</f>
        <v>0</v>
      </c>
      <c r="BN278" s="65">
        <f>IFERROR(Y278*I278/H278,"0")</f>
        <v>0</v>
      </c>
      <c r="BO278" s="65">
        <f>IFERROR(1/J278*(X278/H278),"0")</f>
        <v>0</v>
      </c>
      <c r="BP278" s="65">
        <f>IFERROR(1/J278*(Y278/H278),"0")</f>
        <v>0</v>
      </c>
    </row>
    <row r="279" spans="1:68" x14ac:dyDescent="0.2">
      <c r="A279" s="418"/>
      <c r="B279" s="408"/>
      <c r="C279" s="408"/>
      <c r="D279" s="408"/>
      <c r="E279" s="408"/>
      <c r="F279" s="408"/>
      <c r="G279" s="408"/>
      <c r="H279" s="408"/>
      <c r="I279" s="408"/>
      <c r="J279" s="408"/>
      <c r="K279" s="408"/>
      <c r="L279" s="408"/>
      <c r="M279" s="408"/>
      <c r="N279" s="408"/>
      <c r="O279" s="419"/>
      <c r="P279" s="401" t="s">
        <v>76</v>
      </c>
      <c r="Q279" s="402"/>
      <c r="R279" s="402"/>
      <c r="S279" s="402"/>
      <c r="T279" s="402"/>
      <c r="U279" s="402"/>
      <c r="V279" s="403"/>
      <c r="W279" s="38" t="s">
        <v>77</v>
      </c>
      <c r="X279" s="391">
        <f>IFERROR(X278/H278,"0")</f>
        <v>0</v>
      </c>
      <c r="Y279" s="391">
        <f>IFERROR(Y278/H278,"0")</f>
        <v>0</v>
      </c>
      <c r="Z279" s="391">
        <f>IFERROR(IF(Z278="",0,Z278),"0")</f>
        <v>0</v>
      </c>
      <c r="AA279" s="392"/>
      <c r="AB279" s="392"/>
      <c r="AC279" s="392"/>
    </row>
    <row r="280" spans="1:68" x14ac:dyDescent="0.2">
      <c r="A280" s="408"/>
      <c r="B280" s="408"/>
      <c r="C280" s="408"/>
      <c r="D280" s="408"/>
      <c r="E280" s="408"/>
      <c r="F280" s="408"/>
      <c r="G280" s="408"/>
      <c r="H280" s="408"/>
      <c r="I280" s="408"/>
      <c r="J280" s="408"/>
      <c r="K280" s="408"/>
      <c r="L280" s="408"/>
      <c r="M280" s="408"/>
      <c r="N280" s="408"/>
      <c r="O280" s="419"/>
      <c r="P280" s="401" t="s">
        <v>76</v>
      </c>
      <c r="Q280" s="402"/>
      <c r="R280" s="402"/>
      <c r="S280" s="402"/>
      <c r="T280" s="402"/>
      <c r="U280" s="402"/>
      <c r="V280" s="403"/>
      <c r="W280" s="38" t="s">
        <v>71</v>
      </c>
      <c r="X280" s="391">
        <f>IFERROR(SUM(X278:X278),"0")</f>
        <v>0</v>
      </c>
      <c r="Y280" s="391">
        <f>IFERROR(SUM(Y278:Y278),"0")</f>
        <v>0</v>
      </c>
      <c r="Z280" s="38"/>
      <c r="AA280" s="392"/>
      <c r="AB280" s="392"/>
      <c r="AC280" s="392"/>
    </row>
    <row r="281" spans="1:68" ht="16.5" customHeight="1" x14ac:dyDescent="0.25">
      <c r="A281" s="407" t="s">
        <v>447</v>
      </c>
      <c r="B281" s="408"/>
      <c r="C281" s="408"/>
      <c r="D281" s="408"/>
      <c r="E281" s="408"/>
      <c r="F281" s="408"/>
      <c r="G281" s="408"/>
      <c r="H281" s="408"/>
      <c r="I281" s="408"/>
      <c r="J281" s="408"/>
      <c r="K281" s="408"/>
      <c r="L281" s="408"/>
      <c r="M281" s="408"/>
      <c r="N281" s="408"/>
      <c r="O281" s="408"/>
      <c r="P281" s="408"/>
      <c r="Q281" s="408"/>
      <c r="R281" s="408"/>
      <c r="S281" s="408"/>
      <c r="T281" s="408"/>
      <c r="U281" s="408"/>
      <c r="V281" s="408"/>
      <c r="W281" s="408"/>
      <c r="X281" s="408"/>
      <c r="Y281" s="408"/>
      <c r="Z281" s="408"/>
      <c r="AA281" s="385"/>
      <c r="AB281" s="385"/>
      <c r="AC281" s="385"/>
    </row>
    <row r="282" spans="1:68" ht="14.25" customHeight="1" x14ac:dyDescent="0.25">
      <c r="A282" s="410" t="s">
        <v>86</v>
      </c>
      <c r="B282" s="408"/>
      <c r="C282" s="408"/>
      <c r="D282" s="408"/>
      <c r="E282" s="408"/>
      <c r="F282" s="408"/>
      <c r="G282" s="408"/>
      <c r="H282" s="408"/>
      <c r="I282" s="408"/>
      <c r="J282" s="408"/>
      <c r="K282" s="408"/>
      <c r="L282" s="408"/>
      <c r="M282" s="408"/>
      <c r="N282" s="408"/>
      <c r="O282" s="408"/>
      <c r="P282" s="408"/>
      <c r="Q282" s="408"/>
      <c r="R282" s="408"/>
      <c r="S282" s="408"/>
      <c r="T282" s="408"/>
      <c r="U282" s="408"/>
      <c r="V282" s="408"/>
      <c r="W282" s="408"/>
      <c r="X282" s="408"/>
      <c r="Y282" s="408"/>
      <c r="Z282" s="408"/>
      <c r="AA282" s="383"/>
      <c r="AB282" s="383"/>
      <c r="AC282" s="383"/>
    </row>
    <row r="283" spans="1:68" ht="37.5" customHeight="1" x14ac:dyDescent="0.25">
      <c r="A283" s="55" t="s">
        <v>448</v>
      </c>
      <c r="B283" s="55" t="s">
        <v>449</v>
      </c>
      <c r="C283" s="32">
        <v>4301011873</v>
      </c>
      <c r="D283" s="397">
        <v>4680115881907</v>
      </c>
      <c r="E283" s="398"/>
      <c r="F283" s="388">
        <v>1.8</v>
      </c>
      <c r="G283" s="33">
        <v>6</v>
      </c>
      <c r="H283" s="388">
        <v>10.8</v>
      </c>
      <c r="I283" s="388">
        <v>11.234999999999999</v>
      </c>
      <c r="J283" s="33">
        <v>64</v>
      </c>
      <c r="K283" s="33" t="s">
        <v>89</v>
      </c>
      <c r="L283" s="33"/>
      <c r="M283" s="34" t="s">
        <v>70</v>
      </c>
      <c r="N283" s="34"/>
      <c r="O283" s="33">
        <v>60</v>
      </c>
      <c r="P283" s="5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3" s="394"/>
      <c r="R283" s="394"/>
      <c r="S283" s="394"/>
      <c r="T283" s="395"/>
      <c r="U283" s="35"/>
      <c r="V283" s="35"/>
      <c r="W283" s="36" t="s">
        <v>71</v>
      </c>
      <c r="X283" s="389">
        <v>0</v>
      </c>
      <c r="Y283" s="390">
        <f>IFERROR(IF(X283="",0,CEILING((X283/$H283),1)*$H283),"")</f>
        <v>0</v>
      </c>
      <c r="Z283" s="37" t="str">
        <f>IFERROR(IF(Y283=0,"",ROUNDUP(Y283/H283,0)*0.01898),"")</f>
        <v/>
      </c>
      <c r="AA283" s="57"/>
      <c r="AB283" s="58"/>
      <c r="AC283" s="318" t="s">
        <v>450</v>
      </c>
      <c r="AG283" s="65"/>
      <c r="AJ283" s="69"/>
      <c r="AK283" s="69">
        <v>0</v>
      </c>
      <c r="BB283" s="319" t="s">
        <v>1</v>
      </c>
      <c r="BM283" s="65">
        <f>IFERROR(X283*I283/H283,"0")</f>
        <v>0</v>
      </c>
      <c r="BN283" s="65">
        <f>IFERROR(Y283*I283/H283,"0")</f>
        <v>0</v>
      </c>
      <c r="BO283" s="65">
        <f>IFERROR(1/J283*(X283/H283),"0")</f>
        <v>0</v>
      </c>
      <c r="BP283" s="65">
        <f>IFERROR(1/J283*(Y283/H283),"0")</f>
        <v>0</v>
      </c>
    </row>
    <row r="284" spans="1:68" ht="37.5" customHeight="1" x14ac:dyDescent="0.25">
      <c r="A284" s="55" t="s">
        <v>451</v>
      </c>
      <c r="B284" s="55" t="s">
        <v>452</v>
      </c>
      <c r="C284" s="32">
        <v>4301011875</v>
      </c>
      <c r="D284" s="397">
        <v>4680115884885</v>
      </c>
      <c r="E284" s="398"/>
      <c r="F284" s="388">
        <v>0.8</v>
      </c>
      <c r="G284" s="33">
        <v>15</v>
      </c>
      <c r="H284" s="388">
        <v>12</v>
      </c>
      <c r="I284" s="388">
        <v>12.435</v>
      </c>
      <c r="J284" s="33">
        <v>64</v>
      </c>
      <c r="K284" s="33" t="s">
        <v>89</v>
      </c>
      <c r="L284" s="33"/>
      <c r="M284" s="34" t="s">
        <v>70</v>
      </c>
      <c r="N284" s="34"/>
      <c r="O284" s="33">
        <v>60</v>
      </c>
      <c r="P284" s="4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4" s="394"/>
      <c r="R284" s="394"/>
      <c r="S284" s="394"/>
      <c r="T284" s="395"/>
      <c r="U284" s="35"/>
      <c r="V284" s="35"/>
      <c r="W284" s="36" t="s">
        <v>71</v>
      </c>
      <c r="X284" s="389">
        <v>760</v>
      </c>
      <c r="Y284" s="390">
        <f>IFERROR(IF(X284="",0,CEILING((X284/$H284),1)*$H284),"")</f>
        <v>768</v>
      </c>
      <c r="Z284" s="37">
        <f>IFERROR(IF(Y284=0,"",ROUNDUP(Y284/H284,0)*0.01898),"")</f>
        <v>1.21472</v>
      </c>
      <c r="AA284" s="57"/>
      <c r="AB284" s="58"/>
      <c r="AC284" s="320" t="s">
        <v>453</v>
      </c>
      <c r="AG284" s="65"/>
      <c r="AJ284" s="69"/>
      <c r="AK284" s="69">
        <v>0</v>
      </c>
      <c r="BB284" s="321" t="s">
        <v>1</v>
      </c>
      <c r="BM284" s="65">
        <f>IFERROR(X284*I284/H284,"0")</f>
        <v>787.55000000000007</v>
      </c>
      <c r="BN284" s="65">
        <f>IFERROR(Y284*I284/H284,"0")</f>
        <v>795.84</v>
      </c>
      <c r="BO284" s="65">
        <f>IFERROR(1/J284*(X284/H284),"0")</f>
        <v>0.98958333333333337</v>
      </c>
      <c r="BP284" s="65">
        <f>IFERROR(1/J284*(Y284/H284),"0")</f>
        <v>1</v>
      </c>
    </row>
    <row r="285" spans="1:68" ht="37.5" customHeight="1" x14ac:dyDescent="0.25">
      <c r="A285" s="55" t="s">
        <v>454</v>
      </c>
      <c r="B285" s="55" t="s">
        <v>455</v>
      </c>
      <c r="C285" s="32">
        <v>4301011871</v>
      </c>
      <c r="D285" s="397">
        <v>4680115884908</v>
      </c>
      <c r="E285" s="398"/>
      <c r="F285" s="388">
        <v>0.4</v>
      </c>
      <c r="G285" s="33">
        <v>10</v>
      </c>
      <c r="H285" s="388">
        <v>4</v>
      </c>
      <c r="I285" s="388">
        <v>4.21</v>
      </c>
      <c r="J285" s="33">
        <v>132</v>
      </c>
      <c r="K285" s="33" t="s">
        <v>94</v>
      </c>
      <c r="L285" s="33"/>
      <c r="M285" s="34" t="s">
        <v>70</v>
      </c>
      <c r="N285" s="34"/>
      <c r="O285" s="33">
        <v>60</v>
      </c>
      <c r="P285" s="5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5" s="394"/>
      <c r="R285" s="394"/>
      <c r="S285" s="394"/>
      <c r="T285" s="395"/>
      <c r="U285" s="35"/>
      <c r="V285" s="35"/>
      <c r="W285" s="36" t="s">
        <v>71</v>
      </c>
      <c r="X285" s="389">
        <v>400</v>
      </c>
      <c r="Y285" s="390">
        <f>IFERROR(IF(X285="",0,CEILING((X285/$H285),1)*$H285),"")</f>
        <v>400</v>
      </c>
      <c r="Z285" s="37">
        <f>IFERROR(IF(Y285=0,"",ROUNDUP(Y285/H285,0)*0.00902),"")</f>
        <v>0.90200000000000002</v>
      </c>
      <c r="AA285" s="57"/>
      <c r="AB285" s="58"/>
      <c r="AC285" s="322" t="s">
        <v>453</v>
      </c>
      <c r="AG285" s="65"/>
      <c r="AJ285" s="69"/>
      <c r="AK285" s="69">
        <v>0</v>
      </c>
      <c r="BB285" s="323" t="s">
        <v>1</v>
      </c>
      <c r="BM285" s="65">
        <f>IFERROR(X285*I285/H285,"0")</f>
        <v>421</v>
      </c>
      <c r="BN285" s="65">
        <f>IFERROR(Y285*I285/H285,"0")</f>
        <v>421</v>
      </c>
      <c r="BO285" s="65">
        <f>IFERROR(1/J285*(X285/H285),"0")</f>
        <v>0.75757575757575757</v>
      </c>
      <c r="BP285" s="65">
        <f>IFERROR(1/J285*(Y285/H285),"0")</f>
        <v>0.75757575757575757</v>
      </c>
    </row>
    <row r="286" spans="1:68" x14ac:dyDescent="0.2">
      <c r="A286" s="418"/>
      <c r="B286" s="408"/>
      <c r="C286" s="408"/>
      <c r="D286" s="408"/>
      <c r="E286" s="408"/>
      <c r="F286" s="408"/>
      <c r="G286" s="408"/>
      <c r="H286" s="408"/>
      <c r="I286" s="408"/>
      <c r="J286" s="408"/>
      <c r="K286" s="408"/>
      <c r="L286" s="408"/>
      <c r="M286" s="408"/>
      <c r="N286" s="408"/>
      <c r="O286" s="419"/>
      <c r="P286" s="401" t="s">
        <v>76</v>
      </c>
      <c r="Q286" s="402"/>
      <c r="R286" s="402"/>
      <c r="S286" s="402"/>
      <c r="T286" s="402"/>
      <c r="U286" s="402"/>
      <c r="V286" s="403"/>
      <c r="W286" s="38" t="s">
        <v>77</v>
      </c>
      <c r="X286" s="391">
        <f>IFERROR(X283/H283,"0")+IFERROR(X284/H284,"0")+IFERROR(X285/H285,"0")</f>
        <v>163.33333333333334</v>
      </c>
      <c r="Y286" s="391">
        <f>IFERROR(Y283/H283,"0")+IFERROR(Y284/H284,"0")+IFERROR(Y285/H285,"0")</f>
        <v>164</v>
      </c>
      <c r="Z286" s="391">
        <f>IFERROR(IF(Z283="",0,Z283),"0")+IFERROR(IF(Z284="",0,Z284),"0")+IFERROR(IF(Z285="",0,Z285),"0")</f>
        <v>2.1167199999999999</v>
      </c>
      <c r="AA286" s="392"/>
      <c r="AB286" s="392"/>
      <c r="AC286" s="392"/>
    </row>
    <row r="287" spans="1:68" x14ac:dyDescent="0.2">
      <c r="A287" s="408"/>
      <c r="B287" s="408"/>
      <c r="C287" s="408"/>
      <c r="D287" s="408"/>
      <c r="E287" s="408"/>
      <c r="F287" s="408"/>
      <c r="G287" s="408"/>
      <c r="H287" s="408"/>
      <c r="I287" s="408"/>
      <c r="J287" s="408"/>
      <c r="K287" s="408"/>
      <c r="L287" s="408"/>
      <c r="M287" s="408"/>
      <c r="N287" s="408"/>
      <c r="O287" s="419"/>
      <c r="P287" s="401" t="s">
        <v>76</v>
      </c>
      <c r="Q287" s="402"/>
      <c r="R287" s="402"/>
      <c r="S287" s="402"/>
      <c r="T287" s="402"/>
      <c r="U287" s="402"/>
      <c r="V287" s="403"/>
      <c r="W287" s="38" t="s">
        <v>71</v>
      </c>
      <c r="X287" s="391">
        <f>IFERROR(SUM(X283:X285),"0")</f>
        <v>1160</v>
      </c>
      <c r="Y287" s="391">
        <f>IFERROR(SUM(Y283:Y285),"0")</f>
        <v>1168</v>
      </c>
      <c r="Z287" s="38"/>
      <c r="AA287" s="392"/>
      <c r="AB287" s="392"/>
      <c r="AC287" s="392"/>
    </row>
    <row r="288" spans="1:68" ht="14.25" customHeight="1" x14ac:dyDescent="0.25">
      <c r="A288" s="410" t="s">
        <v>182</v>
      </c>
      <c r="B288" s="408"/>
      <c r="C288" s="408"/>
      <c r="D288" s="408"/>
      <c r="E288" s="408"/>
      <c r="F288" s="408"/>
      <c r="G288" s="408"/>
      <c r="H288" s="408"/>
      <c r="I288" s="408"/>
      <c r="J288" s="408"/>
      <c r="K288" s="408"/>
      <c r="L288" s="408"/>
      <c r="M288" s="408"/>
      <c r="N288" s="408"/>
      <c r="O288" s="408"/>
      <c r="P288" s="408"/>
      <c r="Q288" s="408"/>
      <c r="R288" s="408"/>
      <c r="S288" s="408"/>
      <c r="T288" s="408"/>
      <c r="U288" s="408"/>
      <c r="V288" s="408"/>
      <c r="W288" s="408"/>
      <c r="X288" s="408"/>
      <c r="Y288" s="408"/>
      <c r="Z288" s="408"/>
      <c r="AA288" s="383"/>
      <c r="AB288" s="383"/>
      <c r="AC288" s="383"/>
    </row>
    <row r="289" spans="1:68" ht="27" customHeight="1" x14ac:dyDescent="0.25">
      <c r="A289" s="55" t="s">
        <v>456</v>
      </c>
      <c r="B289" s="55" t="s">
        <v>457</v>
      </c>
      <c r="C289" s="32">
        <v>4301031303</v>
      </c>
      <c r="D289" s="397">
        <v>4607091384802</v>
      </c>
      <c r="E289" s="398"/>
      <c r="F289" s="388">
        <v>0.73</v>
      </c>
      <c r="G289" s="33">
        <v>6</v>
      </c>
      <c r="H289" s="388">
        <v>4.38</v>
      </c>
      <c r="I289" s="388">
        <v>4.6500000000000004</v>
      </c>
      <c r="J289" s="33">
        <v>132</v>
      </c>
      <c r="K289" s="33" t="s">
        <v>94</v>
      </c>
      <c r="L289" s="33"/>
      <c r="M289" s="34" t="s">
        <v>70</v>
      </c>
      <c r="N289" s="34"/>
      <c r="O289" s="33">
        <v>35</v>
      </c>
      <c r="P289" s="4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9" s="394"/>
      <c r="R289" s="394"/>
      <c r="S289" s="394"/>
      <c r="T289" s="395"/>
      <c r="U289" s="35"/>
      <c r="V289" s="35"/>
      <c r="W289" s="36" t="s">
        <v>71</v>
      </c>
      <c r="X289" s="389">
        <v>0</v>
      </c>
      <c r="Y289" s="390">
        <f>IFERROR(IF(X289="",0,CEILING((X289/$H289),1)*$H289),"")</f>
        <v>0</v>
      </c>
      <c r="Z289" s="37" t="str">
        <f>IFERROR(IF(Y289=0,"",ROUNDUP(Y289/H289,0)*0.00902),"")</f>
        <v/>
      </c>
      <c r="AA289" s="57"/>
      <c r="AB289" s="58"/>
      <c r="AC289" s="324" t="s">
        <v>458</v>
      </c>
      <c r="AG289" s="65"/>
      <c r="AJ289" s="69"/>
      <c r="AK289" s="69">
        <v>0</v>
      </c>
      <c r="BB289" s="325" t="s">
        <v>1</v>
      </c>
      <c r="BM289" s="65">
        <f>IFERROR(X289*I289/H289,"0")</f>
        <v>0</v>
      </c>
      <c r="BN289" s="65">
        <f>IFERROR(Y289*I289/H289,"0")</f>
        <v>0</v>
      </c>
      <c r="BO289" s="65">
        <f>IFERROR(1/J289*(X289/H289),"0")</f>
        <v>0</v>
      </c>
      <c r="BP289" s="65">
        <f>IFERROR(1/J289*(Y289/H289),"0")</f>
        <v>0</v>
      </c>
    </row>
    <row r="290" spans="1:68" x14ac:dyDescent="0.2">
      <c r="A290" s="418"/>
      <c r="B290" s="408"/>
      <c r="C290" s="408"/>
      <c r="D290" s="408"/>
      <c r="E290" s="408"/>
      <c r="F290" s="408"/>
      <c r="G290" s="408"/>
      <c r="H290" s="408"/>
      <c r="I290" s="408"/>
      <c r="J290" s="408"/>
      <c r="K290" s="408"/>
      <c r="L290" s="408"/>
      <c r="M290" s="408"/>
      <c r="N290" s="408"/>
      <c r="O290" s="419"/>
      <c r="P290" s="401" t="s">
        <v>76</v>
      </c>
      <c r="Q290" s="402"/>
      <c r="R290" s="402"/>
      <c r="S290" s="402"/>
      <c r="T290" s="402"/>
      <c r="U290" s="402"/>
      <c r="V290" s="403"/>
      <c r="W290" s="38" t="s">
        <v>77</v>
      </c>
      <c r="X290" s="391">
        <f>IFERROR(X289/H289,"0")</f>
        <v>0</v>
      </c>
      <c r="Y290" s="391">
        <f>IFERROR(Y289/H289,"0")</f>
        <v>0</v>
      </c>
      <c r="Z290" s="391">
        <f>IFERROR(IF(Z289="",0,Z289),"0")</f>
        <v>0</v>
      </c>
      <c r="AA290" s="392"/>
      <c r="AB290" s="392"/>
      <c r="AC290" s="392"/>
    </row>
    <row r="291" spans="1:68" x14ac:dyDescent="0.2">
      <c r="A291" s="408"/>
      <c r="B291" s="408"/>
      <c r="C291" s="408"/>
      <c r="D291" s="408"/>
      <c r="E291" s="408"/>
      <c r="F291" s="408"/>
      <c r="G291" s="408"/>
      <c r="H291" s="408"/>
      <c r="I291" s="408"/>
      <c r="J291" s="408"/>
      <c r="K291" s="408"/>
      <c r="L291" s="408"/>
      <c r="M291" s="408"/>
      <c r="N291" s="408"/>
      <c r="O291" s="419"/>
      <c r="P291" s="401" t="s">
        <v>76</v>
      </c>
      <c r="Q291" s="402"/>
      <c r="R291" s="402"/>
      <c r="S291" s="402"/>
      <c r="T291" s="402"/>
      <c r="U291" s="402"/>
      <c r="V291" s="403"/>
      <c r="W291" s="38" t="s">
        <v>71</v>
      </c>
      <c r="X291" s="391">
        <f>IFERROR(SUM(X289:X289),"0")</f>
        <v>0</v>
      </c>
      <c r="Y291" s="391">
        <f>IFERROR(SUM(Y289:Y289),"0")</f>
        <v>0</v>
      </c>
      <c r="Z291" s="38"/>
      <c r="AA291" s="392"/>
      <c r="AB291" s="392"/>
      <c r="AC291" s="392"/>
    </row>
    <row r="292" spans="1:68" ht="14.25" customHeight="1" x14ac:dyDescent="0.25">
      <c r="A292" s="410" t="s">
        <v>66</v>
      </c>
      <c r="B292" s="408"/>
      <c r="C292" s="408"/>
      <c r="D292" s="408"/>
      <c r="E292" s="408"/>
      <c r="F292" s="408"/>
      <c r="G292" s="408"/>
      <c r="H292" s="408"/>
      <c r="I292" s="408"/>
      <c r="J292" s="408"/>
      <c r="K292" s="408"/>
      <c r="L292" s="408"/>
      <c r="M292" s="408"/>
      <c r="N292" s="408"/>
      <c r="O292" s="408"/>
      <c r="P292" s="408"/>
      <c r="Q292" s="408"/>
      <c r="R292" s="408"/>
      <c r="S292" s="408"/>
      <c r="T292" s="408"/>
      <c r="U292" s="408"/>
      <c r="V292" s="408"/>
      <c r="W292" s="408"/>
      <c r="X292" s="408"/>
      <c r="Y292" s="408"/>
      <c r="Z292" s="408"/>
      <c r="AA292" s="383"/>
      <c r="AB292" s="383"/>
      <c r="AC292" s="383"/>
    </row>
    <row r="293" spans="1:68" ht="27" customHeight="1" x14ac:dyDescent="0.25">
      <c r="A293" s="55" t="s">
        <v>459</v>
      </c>
      <c r="B293" s="55" t="s">
        <v>460</v>
      </c>
      <c r="C293" s="32">
        <v>4301051899</v>
      </c>
      <c r="D293" s="397">
        <v>4607091384246</v>
      </c>
      <c r="E293" s="398"/>
      <c r="F293" s="388">
        <v>1.5</v>
      </c>
      <c r="G293" s="33">
        <v>6</v>
      </c>
      <c r="H293" s="388">
        <v>9</v>
      </c>
      <c r="I293" s="388">
        <v>9.5190000000000001</v>
      </c>
      <c r="J293" s="33">
        <v>64</v>
      </c>
      <c r="K293" s="33" t="s">
        <v>89</v>
      </c>
      <c r="L293" s="33"/>
      <c r="M293" s="34" t="s">
        <v>95</v>
      </c>
      <c r="N293" s="34"/>
      <c r="O293" s="33">
        <v>40</v>
      </c>
      <c r="P293" s="62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3" s="394"/>
      <c r="R293" s="394"/>
      <c r="S293" s="394"/>
      <c r="T293" s="395"/>
      <c r="U293" s="35"/>
      <c r="V293" s="35"/>
      <c r="W293" s="36" t="s">
        <v>71</v>
      </c>
      <c r="X293" s="389">
        <v>1000</v>
      </c>
      <c r="Y293" s="390">
        <f>IFERROR(IF(X293="",0,CEILING((X293/$H293),1)*$H293),"")</f>
        <v>1008</v>
      </c>
      <c r="Z293" s="37">
        <f>IFERROR(IF(Y293=0,"",ROUNDUP(Y293/H293,0)*0.01898),"")</f>
        <v>2.1257600000000001</v>
      </c>
      <c r="AA293" s="57"/>
      <c r="AB293" s="58"/>
      <c r="AC293" s="326" t="s">
        <v>461</v>
      </c>
      <c r="AG293" s="65"/>
      <c r="AJ293" s="69"/>
      <c r="AK293" s="69">
        <v>0</v>
      </c>
      <c r="BB293" s="327" t="s">
        <v>1</v>
      </c>
      <c r="BM293" s="65">
        <f>IFERROR(X293*I293/H293,"0")</f>
        <v>1057.6666666666667</v>
      </c>
      <c r="BN293" s="65">
        <f>IFERROR(Y293*I293/H293,"0")</f>
        <v>1066.1279999999999</v>
      </c>
      <c r="BO293" s="65">
        <f>IFERROR(1/J293*(X293/H293),"0")</f>
        <v>1.7361111111111112</v>
      </c>
      <c r="BP293" s="65">
        <f>IFERROR(1/J293*(Y293/H293),"0")</f>
        <v>1.75</v>
      </c>
    </row>
    <row r="294" spans="1:68" ht="27" customHeight="1" x14ac:dyDescent="0.25">
      <c r="A294" s="55" t="s">
        <v>462</v>
      </c>
      <c r="B294" s="55" t="s">
        <v>463</v>
      </c>
      <c r="C294" s="32">
        <v>4301051660</v>
      </c>
      <c r="D294" s="397">
        <v>4607091384253</v>
      </c>
      <c r="E294" s="398"/>
      <c r="F294" s="388">
        <v>0.4</v>
      </c>
      <c r="G294" s="33">
        <v>6</v>
      </c>
      <c r="H294" s="388">
        <v>2.4</v>
      </c>
      <c r="I294" s="388">
        <v>2.6640000000000001</v>
      </c>
      <c r="J294" s="33">
        <v>182</v>
      </c>
      <c r="K294" s="33" t="s">
        <v>69</v>
      </c>
      <c r="L294" s="33"/>
      <c r="M294" s="34" t="s">
        <v>95</v>
      </c>
      <c r="N294" s="34"/>
      <c r="O294" s="33">
        <v>40</v>
      </c>
      <c r="P294" s="6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4" s="394"/>
      <c r="R294" s="394"/>
      <c r="S294" s="394"/>
      <c r="T294" s="395"/>
      <c r="U294" s="35"/>
      <c r="V294" s="35"/>
      <c r="W294" s="36" t="s">
        <v>71</v>
      </c>
      <c r="X294" s="389">
        <v>350</v>
      </c>
      <c r="Y294" s="390">
        <f>IFERROR(IF(X294="",0,CEILING((X294/$H294),1)*$H294),"")</f>
        <v>350.4</v>
      </c>
      <c r="Z294" s="37">
        <f>IFERROR(IF(Y294=0,"",ROUNDUP(Y294/H294,0)*0.00651),"")</f>
        <v>0.95045999999999997</v>
      </c>
      <c r="AA294" s="57"/>
      <c r="AB294" s="58"/>
      <c r="AC294" s="328" t="s">
        <v>461</v>
      </c>
      <c r="AG294" s="65"/>
      <c r="AJ294" s="69"/>
      <c r="AK294" s="69">
        <v>0</v>
      </c>
      <c r="BB294" s="329" t="s">
        <v>1</v>
      </c>
      <c r="BM294" s="65">
        <f>IFERROR(X294*I294/H294,"0")</f>
        <v>388.50000000000006</v>
      </c>
      <c r="BN294" s="65">
        <f>IFERROR(Y294*I294/H294,"0")</f>
        <v>388.94400000000002</v>
      </c>
      <c r="BO294" s="65">
        <f>IFERROR(1/J294*(X294/H294),"0")</f>
        <v>0.80128205128205143</v>
      </c>
      <c r="BP294" s="65">
        <f>IFERROR(1/J294*(Y294/H294),"0")</f>
        <v>0.80219780219780223</v>
      </c>
    </row>
    <row r="295" spans="1:68" x14ac:dyDescent="0.2">
      <c r="A295" s="418"/>
      <c r="B295" s="408"/>
      <c r="C295" s="408"/>
      <c r="D295" s="408"/>
      <c r="E295" s="408"/>
      <c r="F295" s="408"/>
      <c r="G295" s="408"/>
      <c r="H295" s="408"/>
      <c r="I295" s="408"/>
      <c r="J295" s="408"/>
      <c r="K295" s="408"/>
      <c r="L295" s="408"/>
      <c r="M295" s="408"/>
      <c r="N295" s="408"/>
      <c r="O295" s="419"/>
      <c r="P295" s="401" t="s">
        <v>76</v>
      </c>
      <c r="Q295" s="402"/>
      <c r="R295" s="402"/>
      <c r="S295" s="402"/>
      <c r="T295" s="402"/>
      <c r="U295" s="402"/>
      <c r="V295" s="403"/>
      <c r="W295" s="38" t="s">
        <v>77</v>
      </c>
      <c r="X295" s="391">
        <f>IFERROR(X293/H293,"0")+IFERROR(X294/H294,"0")</f>
        <v>256.94444444444446</v>
      </c>
      <c r="Y295" s="391">
        <f>IFERROR(Y293/H293,"0")+IFERROR(Y294/H294,"0")</f>
        <v>258</v>
      </c>
      <c r="Z295" s="391">
        <f>IFERROR(IF(Z293="",0,Z293),"0")+IFERROR(IF(Z294="",0,Z294),"0")</f>
        <v>3.0762200000000002</v>
      </c>
      <c r="AA295" s="392"/>
      <c r="AB295" s="392"/>
      <c r="AC295" s="392"/>
    </row>
    <row r="296" spans="1:68" x14ac:dyDescent="0.2">
      <c r="A296" s="408"/>
      <c r="B296" s="408"/>
      <c r="C296" s="408"/>
      <c r="D296" s="408"/>
      <c r="E296" s="408"/>
      <c r="F296" s="408"/>
      <c r="G296" s="408"/>
      <c r="H296" s="408"/>
      <c r="I296" s="408"/>
      <c r="J296" s="408"/>
      <c r="K296" s="408"/>
      <c r="L296" s="408"/>
      <c r="M296" s="408"/>
      <c r="N296" s="408"/>
      <c r="O296" s="419"/>
      <c r="P296" s="401" t="s">
        <v>76</v>
      </c>
      <c r="Q296" s="402"/>
      <c r="R296" s="402"/>
      <c r="S296" s="402"/>
      <c r="T296" s="402"/>
      <c r="U296" s="402"/>
      <c r="V296" s="403"/>
      <c r="W296" s="38" t="s">
        <v>71</v>
      </c>
      <c r="X296" s="391">
        <f>IFERROR(SUM(X293:X294),"0")</f>
        <v>1350</v>
      </c>
      <c r="Y296" s="391">
        <f>IFERROR(SUM(Y293:Y294),"0")</f>
        <v>1358.4</v>
      </c>
      <c r="Z296" s="38"/>
      <c r="AA296" s="392"/>
      <c r="AB296" s="392"/>
      <c r="AC296" s="392"/>
    </row>
    <row r="297" spans="1:68" ht="14.25" customHeight="1" x14ac:dyDescent="0.25">
      <c r="A297" s="410" t="s">
        <v>125</v>
      </c>
      <c r="B297" s="408"/>
      <c r="C297" s="408"/>
      <c r="D297" s="408"/>
      <c r="E297" s="408"/>
      <c r="F297" s="408"/>
      <c r="G297" s="408"/>
      <c r="H297" s="408"/>
      <c r="I297" s="408"/>
      <c r="J297" s="408"/>
      <c r="K297" s="408"/>
      <c r="L297" s="408"/>
      <c r="M297" s="408"/>
      <c r="N297" s="408"/>
      <c r="O297" s="408"/>
      <c r="P297" s="408"/>
      <c r="Q297" s="408"/>
      <c r="R297" s="408"/>
      <c r="S297" s="408"/>
      <c r="T297" s="408"/>
      <c r="U297" s="408"/>
      <c r="V297" s="408"/>
      <c r="W297" s="408"/>
      <c r="X297" s="408"/>
      <c r="Y297" s="408"/>
      <c r="Z297" s="408"/>
      <c r="AA297" s="383"/>
      <c r="AB297" s="383"/>
      <c r="AC297" s="383"/>
    </row>
    <row r="298" spans="1:68" ht="27" customHeight="1" x14ac:dyDescent="0.25">
      <c r="A298" s="55" t="s">
        <v>464</v>
      </c>
      <c r="B298" s="55" t="s">
        <v>465</v>
      </c>
      <c r="C298" s="32">
        <v>4301060441</v>
      </c>
      <c r="D298" s="397">
        <v>4607091389357</v>
      </c>
      <c r="E298" s="398"/>
      <c r="F298" s="388">
        <v>1.5</v>
      </c>
      <c r="G298" s="33">
        <v>6</v>
      </c>
      <c r="H298" s="388">
        <v>9</v>
      </c>
      <c r="I298" s="388">
        <v>9.4350000000000005</v>
      </c>
      <c r="J298" s="33">
        <v>64</v>
      </c>
      <c r="K298" s="33" t="s">
        <v>89</v>
      </c>
      <c r="L298" s="33"/>
      <c r="M298" s="34" t="s">
        <v>95</v>
      </c>
      <c r="N298" s="34"/>
      <c r="O298" s="33">
        <v>40</v>
      </c>
      <c r="P298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8" s="394"/>
      <c r="R298" s="394"/>
      <c r="S298" s="394"/>
      <c r="T298" s="395"/>
      <c r="U298" s="35"/>
      <c r="V298" s="35"/>
      <c r="W298" s="36" t="s">
        <v>71</v>
      </c>
      <c r="X298" s="389">
        <v>420</v>
      </c>
      <c r="Y298" s="390">
        <f>IFERROR(IF(X298="",0,CEILING((X298/$H298),1)*$H298),"")</f>
        <v>423</v>
      </c>
      <c r="Z298" s="37">
        <f>IFERROR(IF(Y298=0,"",ROUNDUP(Y298/H298,0)*0.01898),"")</f>
        <v>0.89205999999999996</v>
      </c>
      <c r="AA298" s="57"/>
      <c r="AB298" s="58"/>
      <c r="AC298" s="330" t="s">
        <v>466</v>
      </c>
      <c r="AG298" s="65"/>
      <c r="AJ298" s="69"/>
      <c r="AK298" s="69">
        <v>0</v>
      </c>
      <c r="BB298" s="331" t="s">
        <v>1</v>
      </c>
      <c r="BM298" s="65">
        <f>IFERROR(X298*I298/H298,"0")</f>
        <v>440.3</v>
      </c>
      <c r="BN298" s="65">
        <f>IFERROR(Y298*I298/H298,"0")</f>
        <v>443.44499999999999</v>
      </c>
      <c r="BO298" s="65">
        <f>IFERROR(1/J298*(X298/H298),"0")</f>
        <v>0.72916666666666663</v>
      </c>
      <c r="BP298" s="65">
        <f>IFERROR(1/J298*(Y298/H298),"0")</f>
        <v>0.734375</v>
      </c>
    </row>
    <row r="299" spans="1:68" x14ac:dyDescent="0.2">
      <c r="A299" s="418"/>
      <c r="B299" s="408"/>
      <c r="C299" s="408"/>
      <c r="D299" s="408"/>
      <c r="E299" s="408"/>
      <c r="F299" s="408"/>
      <c r="G299" s="408"/>
      <c r="H299" s="408"/>
      <c r="I299" s="408"/>
      <c r="J299" s="408"/>
      <c r="K299" s="408"/>
      <c r="L299" s="408"/>
      <c r="M299" s="408"/>
      <c r="N299" s="408"/>
      <c r="O299" s="419"/>
      <c r="P299" s="401" t="s">
        <v>76</v>
      </c>
      <c r="Q299" s="402"/>
      <c r="R299" s="402"/>
      <c r="S299" s="402"/>
      <c r="T299" s="402"/>
      <c r="U299" s="402"/>
      <c r="V299" s="403"/>
      <c r="W299" s="38" t="s">
        <v>77</v>
      </c>
      <c r="X299" s="391">
        <f>IFERROR(X298/H298,"0")</f>
        <v>46.666666666666664</v>
      </c>
      <c r="Y299" s="391">
        <f>IFERROR(Y298/H298,"0")</f>
        <v>47</v>
      </c>
      <c r="Z299" s="391">
        <f>IFERROR(IF(Z298="",0,Z298),"0")</f>
        <v>0.89205999999999996</v>
      </c>
      <c r="AA299" s="392"/>
      <c r="AB299" s="392"/>
      <c r="AC299" s="392"/>
    </row>
    <row r="300" spans="1:68" x14ac:dyDescent="0.2">
      <c r="A300" s="408"/>
      <c r="B300" s="408"/>
      <c r="C300" s="408"/>
      <c r="D300" s="408"/>
      <c r="E300" s="408"/>
      <c r="F300" s="408"/>
      <c r="G300" s="408"/>
      <c r="H300" s="408"/>
      <c r="I300" s="408"/>
      <c r="J300" s="408"/>
      <c r="K300" s="408"/>
      <c r="L300" s="408"/>
      <c r="M300" s="408"/>
      <c r="N300" s="408"/>
      <c r="O300" s="419"/>
      <c r="P300" s="401" t="s">
        <v>76</v>
      </c>
      <c r="Q300" s="402"/>
      <c r="R300" s="402"/>
      <c r="S300" s="402"/>
      <c r="T300" s="402"/>
      <c r="U300" s="402"/>
      <c r="V300" s="403"/>
      <c r="W300" s="38" t="s">
        <v>71</v>
      </c>
      <c r="X300" s="391">
        <f>IFERROR(SUM(X298:X298),"0")</f>
        <v>420</v>
      </c>
      <c r="Y300" s="391">
        <f>IFERROR(SUM(Y298:Y298),"0")</f>
        <v>423</v>
      </c>
      <c r="Z300" s="38"/>
      <c r="AA300" s="392"/>
      <c r="AB300" s="392"/>
      <c r="AC300" s="392"/>
    </row>
    <row r="301" spans="1:68" ht="27.75" customHeight="1" x14ac:dyDescent="0.2">
      <c r="A301" s="476" t="s">
        <v>467</v>
      </c>
      <c r="B301" s="477"/>
      <c r="C301" s="477"/>
      <c r="D301" s="477"/>
      <c r="E301" s="477"/>
      <c r="F301" s="477"/>
      <c r="G301" s="477"/>
      <c r="H301" s="477"/>
      <c r="I301" s="477"/>
      <c r="J301" s="477"/>
      <c r="K301" s="477"/>
      <c r="L301" s="477"/>
      <c r="M301" s="477"/>
      <c r="N301" s="477"/>
      <c r="O301" s="477"/>
      <c r="P301" s="477"/>
      <c r="Q301" s="477"/>
      <c r="R301" s="477"/>
      <c r="S301" s="477"/>
      <c r="T301" s="477"/>
      <c r="U301" s="477"/>
      <c r="V301" s="477"/>
      <c r="W301" s="477"/>
      <c r="X301" s="477"/>
      <c r="Y301" s="477"/>
      <c r="Z301" s="477"/>
      <c r="AA301" s="49"/>
      <c r="AB301" s="49"/>
      <c r="AC301" s="49"/>
    </row>
    <row r="302" spans="1:68" ht="16.5" customHeight="1" x14ac:dyDescent="0.25">
      <c r="A302" s="407" t="s">
        <v>468</v>
      </c>
      <c r="B302" s="408"/>
      <c r="C302" s="408"/>
      <c r="D302" s="408"/>
      <c r="E302" s="408"/>
      <c r="F302" s="408"/>
      <c r="G302" s="408"/>
      <c r="H302" s="408"/>
      <c r="I302" s="408"/>
      <c r="J302" s="408"/>
      <c r="K302" s="408"/>
      <c r="L302" s="408"/>
      <c r="M302" s="408"/>
      <c r="N302" s="408"/>
      <c r="O302" s="408"/>
      <c r="P302" s="408"/>
      <c r="Q302" s="408"/>
      <c r="R302" s="408"/>
      <c r="S302" s="408"/>
      <c r="T302" s="408"/>
      <c r="U302" s="408"/>
      <c r="V302" s="408"/>
      <c r="W302" s="408"/>
      <c r="X302" s="408"/>
      <c r="Y302" s="408"/>
      <c r="Z302" s="408"/>
      <c r="AA302" s="385"/>
      <c r="AB302" s="385"/>
      <c r="AC302" s="385"/>
    </row>
    <row r="303" spans="1:68" ht="14.25" customHeight="1" x14ac:dyDescent="0.25">
      <c r="A303" s="410" t="s">
        <v>182</v>
      </c>
      <c r="B303" s="408"/>
      <c r="C303" s="408"/>
      <c r="D303" s="408"/>
      <c r="E303" s="408"/>
      <c r="F303" s="408"/>
      <c r="G303" s="408"/>
      <c r="H303" s="408"/>
      <c r="I303" s="408"/>
      <c r="J303" s="408"/>
      <c r="K303" s="408"/>
      <c r="L303" s="408"/>
      <c r="M303" s="408"/>
      <c r="N303" s="408"/>
      <c r="O303" s="408"/>
      <c r="P303" s="408"/>
      <c r="Q303" s="408"/>
      <c r="R303" s="408"/>
      <c r="S303" s="408"/>
      <c r="T303" s="408"/>
      <c r="U303" s="408"/>
      <c r="V303" s="408"/>
      <c r="W303" s="408"/>
      <c r="X303" s="408"/>
      <c r="Y303" s="408"/>
      <c r="Z303" s="408"/>
      <c r="AA303" s="383"/>
      <c r="AB303" s="383"/>
      <c r="AC303" s="383"/>
    </row>
    <row r="304" spans="1:68" ht="27" customHeight="1" x14ac:dyDescent="0.25">
      <c r="A304" s="55" t="s">
        <v>469</v>
      </c>
      <c r="B304" s="55" t="s">
        <v>470</v>
      </c>
      <c r="C304" s="32">
        <v>4301031405</v>
      </c>
      <c r="D304" s="397">
        <v>4680115886100</v>
      </c>
      <c r="E304" s="398"/>
      <c r="F304" s="388">
        <v>0.9</v>
      </c>
      <c r="G304" s="33">
        <v>6</v>
      </c>
      <c r="H304" s="388">
        <v>5.4</v>
      </c>
      <c r="I304" s="388">
        <v>5.61</v>
      </c>
      <c r="J304" s="33">
        <v>132</v>
      </c>
      <c r="K304" s="33" t="s">
        <v>94</v>
      </c>
      <c r="L304" s="33"/>
      <c r="M304" s="34" t="s">
        <v>70</v>
      </c>
      <c r="N304" s="34"/>
      <c r="O304" s="33">
        <v>50</v>
      </c>
      <c r="P304" s="54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4" s="394"/>
      <c r="R304" s="394"/>
      <c r="S304" s="394"/>
      <c r="T304" s="395"/>
      <c r="U304" s="35"/>
      <c r="V304" s="35"/>
      <c r="W304" s="36" t="s">
        <v>71</v>
      </c>
      <c r="X304" s="389">
        <v>0</v>
      </c>
      <c r="Y304" s="390">
        <f>IFERROR(IF(X304="",0,CEILING((X304/$H304),1)*$H304),"")</f>
        <v>0</v>
      </c>
      <c r="Z304" s="37" t="str">
        <f>IFERROR(IF(Y304=0,"",ROUNDUP(Y304/H304,0)*0.00902),"")</f>
        <v/>
      </c>
      <c r="AA304" s="57"/>
      <c r="AB304" s="58"/>
      <c r="AC304" s="332" t="s">
        <v>471</v>
      </c>
      <c r="AG304" s="65"/>
      <c r="AJ304" s="69"/>
      <c r="AK304" s="69">
        <v>0</v>
      </c>
      <c r="BB304" s="333" t="s">
        <v>1</v>
      </c>
      <c r="BM304" s="65">
        <f>IFERROR(X304*I304/H304,"0")</f>
        <v>0</v>
      </c>
      <c r="BN304" s="65">
        <f>IFERROR(Y304*I304/H304,"0")</f>
        <v>0</v>
      </c>
      <c r="BO304" s="65">
        <f>IFERROR(1/J304*(X304/H304),"0")</f>
        <v>0</v>
      </c>
      <c r="BP304" s="65">
        <f>IFERROR(1/J304*(Y304/H304),"0")</f>
        <v>0</v>
      </c>
    </row>
    <row r="305" spans="1:68" ht="27" customHeight="1" x14ac:dyDescent="0.25">
      <c r="A305" s="55" t="s">
        <v>472</v>
      </c>
      <c r="B305" s="55" t="s">
        <v>473</v>
      </c>
      <c r="C305" s="32">
        <v>4301031406</v>
      </c>
      <c r="D305" s="397">
        <v>4680115886117</v>
      </c>
      <c r="E305" s="398"/>
      <c r="F305" s="388">
        <v>0.9</v>
      </c>
      <c r="G305" s="33">
        <v>6</v>
      </c>
      <c r="H305" s="388">
        <v>5.4</v>
      </c>
      <c r="I305" s="388">
        <v>5.61</v>
      </c>
      <c r="J305" s="33">
        <v>132</v>
      </c>
      <c r="K305" s="33" t="s">
        <v>94</v>
      </c>
      <c r="L305" s="33"/>
      <c r="M305" s="34" t="s">
        <v>70</v>
      </c>
      <c r="N305" s="34"/>
      <c r="O305" s="33">
        <v>50</v>
      </c>
      <c r="P305" s="50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394"/>
      <c r="R305" s="394"/>
      <c r="S305" s="394"/>
      <c r="T305" s="395"/>
      <c r="U305" s="35"/>
      <c r="V305" s="35"/>
      <c r="W305" s="36" t="s">
        <v>71</v>
      </c>
      <c r="X305" s="389">
        <v>0</v>
      </c>
      <c r="Y305" s="390">
        <f>IFERROR(IF(X305="",0,CEILING((X305/$H305),1)*$H305),"")</f>
        <v>0</v>
      </c>
      <c r="Z305" s="37" t="str">
        <f>IFERROR(IF(Y305=0,"",ROUNDUP(Y305/H305,0)*0.00902),"")</f>
        <v/>
      </c>
      <c r="AA305" s="57"/>
      <c r="AB305" s="58"/>
      <c r="AC305" s="334" t="s">
        <v>474</v>
      </c>
      <c r="AG305" s="65"/>
      <c r="AJ305" s="69"/>
      <c r="AK305" s="69">
        <v>0</v>
      </c>
      <c r="BB305" s="335" t="s">
        <v>1</v>
      </c>
      <c r="BM305" s="65">
        <f>IFERROR(X305*I305/H305,"0")</f>
        <v>0</v>
      </c>
      <c r="BN305" s="65">
        <f>IFERROR(Y305*I305/H305,"0")</f>
        <v>0</v>
      </c>
      <c r="BO305" s="65">
        <f>IFERROR(1/J305*(X305/H305),"0")</f>
        <v>0</v>
      </c>
      <c r="BP305" s="65">
        <f>IFERROR(1/J305*(Y305/H305),"0")</f>
        <v>0</v>
      </c>
    </row>
    <row r="306" spans="1:68" ht="27" customHeight="1" x14ac:dyDescent="0.25">
      <c r="A306" s="55" t="s">
        <v>472</v>
      </c>
      <c r="B306" s="55" t="s">
        <v>475</v>
      </c>
      <c r="C306" s="32">
        <v>4301031382</v>
      </c>
      <c r="D306" s="397">
        <v>4680115886117</v>
      </c>
      <c r="E306" s="398"/>
      <c r="F306" s="388">
        <v>0.9</v>
      </c>
      <c r="G306" s="33">
        <v>6</v>
      </c>
      <c r="H306" s="388">
        <v>5.4</v>
      </c>
      <c r="I306" s="388">
        <v>5.61</v>
      </c>
      <c r="J306" s="33">
        <v>132</v>
      </c>
      <c r="K306" s="33" t="s">
        <v>94</v>
      </c>
      <c r="L306" s="33"/>
      <c r="M306" s="34" t="s">
        <v>70</v>
      </c>
      <c r="N306" s="34"/>
      <c r="O306" s="33">
        <v>50</v>
      </c>
      <c r="P306" s="5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6" s="394"/>
      <c r="R306" s="394"/>
      <c r="S306" s="394"/>
      <c r="T306" s="395"/>
      <c r="U306" s="35"/>
      <c r="V306" s="35"/>
      <c r="W306" s="36" t="s">
        <v>71</v>
      </c>
      <c r="X306" s="389">
        <v>0</v>
      </c>
      <c r="Y306" s="390">
        <f>IFERROR(IF(X306="",0,CEILING((X306/$H306),1)*$H306),"")</f>
        <v>0</v>
      </c>
      <c r="Z306" s="37" t="str">
        <f>IFERROR(IF(Y306=0,"",ROUNDUP(Y306/H306,0)*0.00902),"")</f>
        <v/>
      </c>
      <c r="AA306" s="57"/>
      <c r="AB306" s="58"/>
      <c r="AC306" s="336" t="s">
        <v>474</v>
      </c>
      <c r="AG306" s="65"/>
      <c r="AJ306" s="69"/>
      <c r="AK306" s="69">
        <v>0</v>
      </c>
      <c r="BB306" s="337" t="s">
        <v>1</v>
      </c>
      <c r="BM306" s="65">
        <f>IFERROR(X306*I306/H306,"0")</f>
        <v>0</v>
      </c>
      <c r="BN306" s="65">
        <f>IFERROR(Y306*I306/H306,"0")</f>
        <v>0</v>
      </c>
      <c r="BO306" s="65">
        <f>IFERROR(1/J306*(X306/H306),"0")</f>
        <v>0</v>
      </c>
      <c r="BP306" s="65">
        <f>IFERROR(1/J306*(Y306/H306),"0")</f>
        <v>0</v>
      </c>
    </row>
    <row r="307" spans="1:68" ht="27" customHeight="1" x14ac:dyDescent="0.25">
      <c r="A307" s="55" t="s">
        <v>476</v>
      </c>
      <c r="B307" s="55" t="s">
        <v>477</v>
      </c>
      <c r="C307" s="32">
        <v>4301031358</v>
      </c>
      <c r="D307" s="397">
        <v>4607091389531</v>
      </c>
      <c r="E307" s="398"/>
      <c r="F307" s="388">
        <v>0.35</v>
      </c>
      <c r="G307" s="33">
        <v>6</v>
      </c>
      <c r="H307" s="388">
        <v>2.1</v>
      </c>
      <c r="I307" s="388">
        <v>2.23</v>
      </c>
      <c r="J307" s="33">
        <v>234</v>
      </c>
      <c r="K307" s="33" t="s">
        <v>162</v>
      </c>
      <c r="L307" s="33"/>
      <c r="M307" s="34" t="s">
        <v>70</v>
      </c>
      <c r="N307" s="34"/>
      <c r="O307" s="33">
        <v>50</v>
      </c>
      <c r="P307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7" s="394"/>
      <c r="R307" s="394"/>
      <c r="S307" s="394"/>
      <c r="T307" s="395"/>
      <c r="U307" s="35"/>
      <c r="V307" s="35"/>
      <c r="W307" s="36" t="s">
        <v>71</v>
      </c>
      <c r="X307" s="389">
        <v>0</v>
      </c>
      <c r="Y307" s="390">
        <f>IFERROR(IF(X307="",0,CEILING((X307/$H307),1)*$H307),"")</f>
        <v>0</v>
      </c>
      <c r="Z307" s="37" t="str">
        <f>IFERROR(IF(Y307=0,"",ROUNDUP(Y307/H307,0)*0.00502),"")</f>
        <v/>
      </c>
      <c r="AA307" s="57"/>
      <c r="AB307" s="58"/>
      <c r="AC307" s="338" t="s">
        <v>478</v>
      </c>
      <c r="AG307" s="65"/>
      <c r="AJ307" s="69"/>
      <c r="AK307" s="69">
        <v>0</v>
      </c>
      <c r="BB307" s="339" t="s">
        <v>1</v>
      </c>
      <c r="BM307" s="65">
        <f>IFERROR(X307*I307/H307,"0")</f>
        <v>0</v>
      </c>
      <c r="BN307" s="65">
        <f>IFERROR(Y307*I307/H307,"0")</f>
        <v>0</v>
      </c>
      <c r="BO307" s="65">
        <f>IFERROR(1/J307*(X307/H307),"0")</f>
        <v>0</v>
      </c>
      <c r="BP307" s="65">
        <f>IFERROR(1/J307*(Y307/H307),"0")</f>
        <v>0</v>
      </c>
    </row>
    <row r="308" spans="1:68" x14ac:dyDescent="0.2">
      <c r="A308" s="418"/>
      <c r="B308" s="408"/>
      <c r="C308" s="408"/>
      <c r="D308" s="408"/>
      <c r="E308" s="408"/>
      <c r="F308" s="408"/>
      <c r="G308" s="408"/>
      <c r="H308" s="408"/>
      <c r="I308" s="408"/>
      <c r="J308" s="408"/>
      <c r="K308" s="408"/>
      <c r="L308" s="408"/>
      <c r="M308" s="408"/>
      <c r="N308" s="408"/>
      <c r="O308" s="419"/>
      <c r="P308" s="401" t="s">
        <v>76</v>
      </c>
      <c r="Q308" s="402"/>
      <c r="R308" s="402"/>
      <c r="S308" s="402"/>
      <c r="T308" s="402"/>
      <c r="U308" s="402"/>
      <c r="V308" s="403"/>
      <c r="W308" s="38" t="s">
        <v>77</v>
      </c>
      <c r="X308" s="391">
        <f>IFERROR(X304/H304,"0")+IFERROR(X305/H305,"0")+IFERROR(X306/H306,"0")+IFERROR(X307/H307,"0")</f>
        <v>0</v>
      </c>
      <c r="Y308" s="391">
        <f>IFERROR(Y304/H304,"0")+IFERROR(Y305/H305,"0")+IFERROR(Y306/H306,"0")+IFERROR(Y307/H307,"0")</f>
        <v>0</v>
      </c>
      <c r="Z308" s="391">
        <f>IFERROR(IF(Z304="",0,Z304),"0")+IFERROR(IF(Z305="",0,Z305),"0")+IFERROR(IF(Z306="",0,Z306),"0")+IFERROR(IF(Z307="",0,Z307),"0")</f>
        <v>0</v>
      </c>
      <c r="AA308" s="392"/>
      <c r="AB308" s="392"/>
      <c r="AC308" s="392"/>
    </row>
    <row r="309" spans="1:68" x14ac:dyDescent="0.2">
      <c r="A309" s="408"/>
      <c r="B309" s="408"/>
      <c r="C309" s="408"/>
      <c r="D309" s="408"/>
      <c r="E309" s="408"/>
      <c r="F309" s="408"/>
      <c r="G309" s="408"/>
      <c r="H309" s="408"/>
      <c r="I309" s="408"/>
      <c r="J309" s="408"/>
      <c r="K309" s="408"/>
      <c r="L309" s="408"/>
      <c r="M309" s="408"/>
      <c r="N309" s="408"/>
      <c r="O309" s="419"/>
      <c r="P309" s="401" t="s">
        <v>76</v>
      </c>
      <c r="Q309" s="402"/>
      <c r="R309" s="402"/>
      <c r="S309" s="402"/>
      <c r="T309" s="402"/>
      <c r="U309" s="402"/>
      <c r="V309" s="403"/>
      <c r="W309" s="38" t="s">
        <v>71</v>
      </c>
      <c r="X309" s="391">
        <f>IFERROR(SUM(X304:X307),"0")</f>
        <v>0</v>
      </c>
      <c r="Y309" s="391">
        <f>IFERROR(SUM(Y304:Y307),"0")</f>
        <v>0</v>
      </c>
      <c r="Z309" s="38"/>
      <c r="AA309" s="392"/>
      <c r="AB309" s="392"/>
      <c r="AC309" s="392"/>
    </row>
    <row r="310" spans="1:68" ht="14.25" customHeight="1" x14ac:dyDescent="0.25">
      <c r="A310" s="410" t="s">
        <v>66</v>
      </c>
      <c r="B310" s="408"/>
      <c r="C310" s="408"/>
      <c r="D310" s="408"/>
      <c r="E310" s="408"/>
      <c r="F310" s="408"/>
      <c r="G310" s="408"/>
      <c r="H310" s="408"/>
      <c r="I310" s="408"/>
      <c r="J310" s="408"/>
      <c r="K310" s="408"/>
      <c r="L310" s="408"/>
      <c r="M310" s="408"/>
      <c r="N310" s="408"/>
      <c r="O310" s="408"/>
      <c r="P310" s="408"/>
      <c r="Q310" s="408"/>
      <c r="R310" s="408"/>
      <c r="S310" s="408"/>
      <c r="T310" s="408"/>
      <c r="U310" s="408"/>
      <c r="V310" s="408"/>
      <c r="W310" s="408"/>
      <c r="X310" s="408"/>
      <c r="Y310" s="408"/>
      <c r="Z310" s="408"/>
      <c r="AA310" s="383"/>
      <c r="AB310" s="383"/>
      <c r="AC310" s="383"/>
    </row>
    <row r="311" spans="1:68" ht="27" customHeight="1" x14ac:dyDescent="0.25">
      <c r="A311" s="55" t="s">
        <v>479</v>
      </c>
      <c r="B311" s="55" t="s">
        <v>480</v>
      </c>
      <c r="C311" s="32">
        <v>4301051284</v>
      </c>
      <c r="D311" s="397">
        <v>4607091384352</v>
      </c>
      <c r="E311" s="398"/>
      <c r="F311" s="388">
        <v>0.6</v>
      </c>
      <c r="G311" s="33">
        <v>4</v>
      </c>
      <c r="H311" s="388">
        <v>2.4</v>
      </c>
      <c r="I311" s="388">
        <v>2.6459999999999999</v>
      </c>
      <c r="J311" s="33">
        <v>132</v>
      </c>
      <c r="K311" s="33" t="s">
        <v>94</v>
      </c>
      <c r="L311" s="33"/>
      <c r="M311" s="34" t="s">
        <v>95</v>
      </c>
      <c r="N311" s="34"/>
      <c r="O311" s="33">
        <v>45</v>
      </c>
      <c r="P311" s="5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1" s="394"/>
      <c r="R311" s="394"/>
      <c r="S311" s="394"/>
      <c r="T311" s="395"/>
      <c r="U311" s="35"/>
      <c r="V311" s="35"/>
      <c r="W311" s="36" t="s">
        <v>71</v>
      </c>
      <c r="X311" s="389">
        <v>15</v>
      </c>
      <c r="Y311" s="390">
        <f>IFERROR(IF(X311="",0,CEILING((X311/$H311),1)*$H311),"")</f>
        <v>16.8</v>
      </c>
      <c r="Z311" s="37">
        <f>IFERROR(IF(Y311=0,"",ROUNDUP(Y311/H311,0)*0.00902),"")</f>
        <v>6.3140000000000002E-2</v>
      </c>
      <c r="AA311" s="57"/>
      <c r="AB311" s="58"/>
      <c r="AC311" s="340" t="s">
        <v>481</v>
      </c>
      <c r="AG311" s="65"/>
      <c r="AJ311" s="69"/>
      <c r="AK311" s="69">
        <v>0</v>
      </c>
      <c r="BB311" s="341" t="s">
        <v>1</v>
      </c>
      <c r="BM311" s="65">
        <f>IFERROR(X311*I311/H311,"0")</f>
        <v>16.537500000000001</v>
      </c>
      <c r="BN311" s="65">
        <f>IFERROR(Y311*I311/H311,"0")</f>
        <v>18.522000000000002</v>
      </c>
      <c r="BO311" s="65">
        <f>IFERROR(1/J311*(X311/H311),"0")</f>
        <v>4.7348484848484848E-2</v>
      </c>
      <c r="BP311" s="65">
        <f>IFERROR(1/J311*(Y311/H311),"0")</f>
        <v>5.3030303030303039E-2</v>
      </c>
    </row>
    <row r="312" spans="1:68" ht="27" customHeight="1" x14ac:dyDescent="0.25">
      <c r="A312" s="55" t="s">
        <v>482</v>
      </c>
      <c r="B312" s="55" t="s">
        <v>483</v>
      </c>
      <c r="C312" s="32">
        <v>4301051431</v>
      </c>
      <c r="D312" s="397">
        <v>4607091389654</v>
      </c>
      <c r="E312" s="398"/>
      <c r="F312" s="388">
        <v>0.33</v>
      </c>
      <c r="G312" s="33">
        <v>6</v>
      </c>
      <c r="H312" s="388">
        <v>1.98</v>
      </c>
      <c r="I312" s="388">
        <v>2.238</v>
      </c>
      <c r="J312" s="33">
        <v>182</v>
      </c>
      <c r="K312" s="33" t="s">
        <v>69</v>
      </c>
      <c r="L312" s="33"/>
      <c r="M312" s="34" t="s">
        <v>95</v>
      </c>
      <c r="N312" s="34"/>
      <c r="O312" s="33">
        <v>45</v>
      </c>
      <c r="P312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2" s="394"/>
      <c r="R312" s="394"/>
      <c r="S312" s="394"/>
      <c r="T312" s="395"/>
      <c r="U312" s="35"/>
      <c r="V312" s="35"/>
      <c r="W312" s="36" t="s">
        <v>71</v>
      </c>
      <c r="X312" s="389">
        <v>0</v>
      </c>
      <c r="Y312" s="390">
        <f>IFERROR(IF(X312="",0,CEILING((X312/$H312),1)*$H312),"")</f>
        <v>0</v>
      </c>
      <c r="Z312" s="37" t="str">
        <f>IFERROR(IF(Y312=0,"",ROUNDUP(Y312/H312,0)*0.00651),"")</f>
        <v/>
      </c>
      <c r="AA312" s="57"/>
      <c r="AB312" s="58"/>
      <c r="AC312" s="342" t="s">
        <v>484</v>
      </c>
      <c r="AG312" s="65"/>
      <c r="AJ312" s="69"/>
      <c r="AK312" s="69">
        <v>0</v>
      </c>
      <c r="BB312" s="343" t="s">
        <v>1</v>
      </c>
      <c r="BM312" s="65">
        <f>IFERROR(X312*I312/H312,"0")</f>
        <v>0</v>
      </c>
      <c r="BN312" s="65">
        <f>IFERROR(Y312*I312/H312,"0")</f>
        <v>0</v>
      </c>
      <c r="BO312" s="65">
        <f>IFERROR(1/J312*(X312/H312),"0")</f>
        <v>0</v>
      </c>
      <c r="BP312" s="65">
        <f>IFERROR(1/J312*(Y312/H312),"0")</f>
        <v>0</v>
      </c>
    </row>
    <row r="313" spans="1:68" x14ac:dyDescent="0.2">
      <c r="A313" s="418"/>
      <c r="B313" s="408"/>
      <c r="C313" s="408"/>
      <c r="D313" s="408"/>
      <c r="E313" s="408"/>
      <c r="F313" s="408"/>
      <c r="G313" s="408"/>
      <c r="H313" s="408"/>
      <c r="I313" s="408"/>
      <c r="J313" s="408"/>
      <c r="K313" s="408"/>
      <c r="L313" s="408"/>
      <c r="M313" s="408"/>
      <c r="N313" s="408"/>
      <c r="O313" s="419"/>
      <c r="P313" s="401" t="s">
        <v>76</v>
      </c>
      <c r="Q313" s="402"/>
      <c r="R313" s="402"/>
      <c r="S313" s="402"/>
      <c r="T313" s="402"/>
      <c r="U313" s="402"/>
      <c r="V313" s="403"/>
      <c r="W313" s="38" t="s">
        <v>77</v>
      </c>
      <c r="X313" s="391">
        <f>IFERROR(X311/H311,"0")+IFERROR(X312/H312,"0")</f>
        <v>6.25</v>
      </c>
      <c r="Y313" s="391">
        <f>IFERROR(Y311/H311,"0")+IFERROR(Y312/H312,"0")</f>
        <v>7.0000000000000009</v>
      </c>
      <c r="Z313" s="391">
        <f>IFERROR(IF(Z311="",0,Z311),"0")+IFERROR(IF(Z312="",0,Z312),"0")</f>
        <v>6.3140000000000002E-2</v>
      </c>
      <c r="AA313" s="392"/>
      <c r="AB313" s="392"/>
      <c r="AC313" s="392"/>
    </row>
    <row r="314" spans="1:68" x14ac:dyDescent="0.2">
      <c r="A314" s="408"/>
      <c r="B314" s="408"/>
      <c r="C314" s="408"/>
      <c r="D314" s="408"/>
      <c r="E314" s="408"/>
      <c r="F314" s="408"/>
      <c r="G314" s="408"/>
      <c r="H314" s="408"/>
      <c r="I314" s="408"/>
      <c r="J314" s="408"/>
      <c r="K314" s="408"/>
      <c r="L314" s="408"/>
      <c r="M314" s="408"/>
      <c r="N314" s="408"/>
      <c r="O314" s="419"/>
      <c r="P314" s="401" t="s">
        <v>76</v>
      </c>
      <c r="Q314" s="402"/>
      <c r="R314" s="402"/>
      <c r="S314" s="402"/>
      <c r="T314" s="402"/>
      <c r="U314" s="402"/>
      <c r="V314" s="403"/>
      <c r="W314" s="38" t="s">
        <v>71</v>
      </c>
      <c r="X314" s="391">
        <f>IFERROR(SUM(X311:X312),"0")</f>
        <v>15</v>
      </c>
      <c r="Y314" s="391">
        <f>IFERROR(SUM(Y311:Y312),"0")</f>
        <v>16.8</v>
      </c>
      <c r="Z314" s="38"/>
      <c r="AA314" s="392"/>
      <c r="AB314" s="392"/>
      <c r="AC314" s="392"/>
    </row>
    <row r="315" spans="1:68" ht="16.5" customHeight="1" x14ac:dyDescent="0.25">
      <c r="A315" s="407" t="s">
        <v>485</v>
      </c>
      <c r="B315" s="408"/>
      <c r="C315" s="408"/>
      <c r="D315" s="408"/>
      <c r="E315" s="408"/>
      <c r="F315" s="408"/>
      <c r="G315" s="408"/>
      <c r="H315" s="408"/>
      <c r="I315" s="408"/>
      <c r="J315" s="408"/>
      <c r="K315" s="408"/>
      <c r="L315" s="408"/>
      <c r="M315" s="408"/>
      <c r="N315" s="408"/>
      <c r="O315" s="408"/>
      <c r="P315" s="408"/>
      <c r="Q315" s="408"/>
      <c r="R315" s="408"/>
      <c r="S315" s="408"/>
      <c r="T315" s="408"/>
      <c r="U315" s="408"/>
      <c r="V315" s="408"/>
      <c r="W315" s="408"/>
      <c r="X315" s="408"/>
      <c r="Y315" s="408"/>
      <c r="Z315" s="408"/>
      <c r="AA315" s="385"/>
      <c r="AB315" s="385"/>
      <c r="AC315" s="385"/>
    </row>
    <row r="316" spans="1:68" ht="14.25" customHeight="1" x14ac:dyDescent="0.25">
      <c r="A316" s="410" t="s">
        <v>117</v>
      </c>
      <c r="B316" s="408"/>
      <c r="C316" s="408"/>
      <c r="D316" s="408"/>
      <c r="E316" s="408"/>
      <c r="F316" s="408"/>
      <c r="G316" s="408"/>
      <c r="H316" s="408"/>
      <c r="I316" s="408"/>
      <c r="J316" s="408"/>
      <c r="K316" s="408"/>
      <c r="L316" s="408"/>
      <c r="M316" s="408"/>
      <c r="N316" s="408"/>
      <c r="O316" s="408"/>
      <c r="P316" s="408"/>
      <c r="Q316" s="408"/>
      <c r="R316" s="408"/>
      <c r="S316" s="408"/>
      <c r="T316" s="408"/>
      <c r="U316" s="408"/>
      <c r="V316" s="408"/>
      <c r="W316" s="408"/>
      <c r="X316" s="408"/>
      <c r="Y316" s="408"/>
      <c r="Z316" s="408"/>
      <c r="AA316" s="383"/>
      <c r="AB316" s="383"/>
      <c r="AC316" s="383"/>
    </row>
    <row r="317" spans="1:68" ht="27" customHeight="1" x14ac:dyDescent="0.25">
      <c r="A317" s="55" t="s">
        <v>486</v>
      </c>
      <c r="B317" s="55" t="s">
        <v>487</v>
      </c>
      <c r="C317" s="32">
        <v>4301020319</v>
      </c>
      <c r="D317" s="397">
        <v>4680115885240</v>
      </c>
      <c r="E317" s="398"/>
      <c r="F317" s="388">
        <v>0.35</v>
      </c>
      <c r="G317" s="33">
        <v>6</v>
      </c>
      <c r="H317" s="388">
        <v>2.1</v>
      </c>
      <c r="I317" s="388">
        <v>2.31</v>
      </c>
      <c r="J317" s="33">
        <v>182</v>
      </c>
      <c r="K317" s="33" t="s">
        <v>69</v>
      </c>
      <c r="L317" s="33"/>
      <c r="M317" s="34" t="s">
        <v>70</v>
      </c>
      <c r="N317" s="34"/>
      <c r="O317" s="33">
        <v>40</v>
      </c>
      <c r="P317" s="6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7" s="394"/>
      <c r="R317" s="394"/>
      <c r="S317" s="394"/>
      <c r="T317" s="395"/>
      <c r="U317" s="35"/>
      <c r="V317" s="35"/>
      <c r="W317" s="36" t="s">
        <v>71</v>
      </c>
      <c r="X317" s="389">
        <v>0</v>
      </c>
      <c r="Y317" s="390">
        <f>IFERROR(IF(X317="",0,CEILING((X317/$H317),1)*$H317),"")</f>
        <v>0</v>
      </c>
      <c r="Z317" s="37" t="str">
        <f>IFERROR(IF(Y317=0,"",ROUNDUP(Y317/H317,0)*0.00651),"")</f>
        <v/>
      </c>
      <c r="AA317" s="57"/>
      <c r="AB317" s="58"/>
      <c r="AC317" s="344" t="s">
        <v>488</v>
      </c>
      <c r="AG317" s="65"/>
      <c r="AJ317" s="69"/>
      <c r="AK317" s="69">
        <v>0</v>
      </c>
      <c r="BB317" s="345" t="s">
        <v>1</v>
      </c>
      <c r="BM317" s="65">
        <f>IFERROR(X317*I317/H317,"0")</f>
        <v>0</v>
      </c>
      <c r="BN317" s="65">
        <f>IFERROR(Y317*I317/H317,"0")</f>
        <v>0</v>
      </c>
      <c r="BO317" s="65">
        <f>IFERROR(1/J317*(X317/H317),"0")</f>
        <v>0</v>
      </c>
      <c r="BP317" s="65">
        <f>IFERROR(1/J317*(Y317/H317),"0")</f>
        <v>0</v>
      </c>
    </row>
    <row r="318" spans="1:68" x14ac:dyDescent="0.2">
      <c r="A318" s="418"/>
      <c r="B318" s="408"/>
      <c r="C318" s="408"/>
      <c r="D318" s="408"/>
      <c r="E318" s="408"/>
      <c r="F318" s="408"/>
      <c r="G318" s="408"/>
      <c r="H318" s="408"/>
      <c r="I318" s="408"/>
      <c r="J318" s="408"/>
      <c r="K318" s="408"/>
      <c r="L318" s="408"/>
      <c r="M318" s="408"/>
      <c r="N318" s="408"/>
      <c r="O318" s="419"/>
      <c r="P318" s="401" t="s">
        <v>76</v>
      </c>
      <c r="Q318" s="402"/>
      <c r="R318" s="402"/>
      <c r="S318" s="402"/>
      <c r="T318" s="402"/>
      <c r="U318" s="402"/>
      <c r="V318" s="403"/>
      <c r="W318" s="38" t="s">
        <v>77</v>
      </c>
      <c r="X318" s="391">
        <f>IFERROR(X317/H317,"0")</f>
        <v>0</v>
      </c>
      <c r="Y318" s="391">
        <f>IFERROR(Y317/H317,"0")</f>
        <v>0</v>
      </c>
      <c r="Z318" s="391">
        <f>IFERROR(IF(Z317="",0,Z317),"0")</f>
        <v>0</v>
      </c>
      <c r="AA318" s="392"/>
      <c r="AB318" s="392"/>
      <c r="AC318" s="392"/>
    </row>
    <row r="319" spans="1:68" x14ac:dyDescent="0.2">
      <c r="A319" s="408"/>
      <c r="B319" s="408"/>
      <c r="C319" s="408"/>
      <c r="D319" s="408"/>
      <c r="E319" s="408"/>
      <c r="F319" s="408"/>
      <c r="G319" s="408"/>
      <c r="H319" s="408"/>
      <c r="I319" s="408"/>
      <c r="J319" s="408"/>
      <c r="K319" s="408"/>
      <c r="L319" s="408"/>
      <c r="M319" s="408"/>
      <c r="N319" s="408"/>
      <c r="O319" s="419"/>
      <c r="P319" s="401" t="s">
        <v>76</v>
      </c>
      <c r="Q319" s="402"/>
      <c r="R319" s="402"/>
      <c r="S319" s="402"/>
      <c r="T319" s="402"/>
      <c r="U319" s="402"/>
      <c r="V319" s="403"/>
      <c r="W319" s="38" t="s">
        <v>71</v>
      </c>
      <c r="X319" s="391">
        <f>IFERROR(SUM(X317:X317),"0")</f>
        <v>0</v>
      </c>
      <c r="Y319" s="391">
        <f>IFERROR(SUM(Y317:Y317),"0")</f>
        <v>0</v>
      </c>
      <c r="Z319" s="38"/>
      <c r="AA319" s="392"/>
      <c r="AB319" s="392"/>
      <c r="AC319" s="392"/>
    </row>
    <row r="320" spans="1:68" ht="14.25" customHeight="1" x14ac:dyDescent="0.25">
      <c r="A320" s="410" t="s">
        <v>182</v>
      </c>
      <c r="B320" s="408"/>
      <c r="C320" s="408"/>
      <c r="D320" s="408"/>
      <c r="E320" s="408"/>
      <c r="F320" s="408"/>
      <c r="G320" s="408"/>
      <c r="H320" s="408"/>
      <c r="I320" s="408"/>
      <c r="J320" s="408"/>
      <c r="K320" s="408"/>
      <c r="L320" s="408"/>
      <c r="M320" s="408"/>
      <c r="N320" s="408"/>
      <c r="O320" s="408"/>
      <c r="P320" s="408"/>
      <c r="Q320" s="408"/>
      <c r="R320" s="408"/>
      <c r="S320" s="408"/>
      <c r="T320" s="408"/>
      <c r="U320" s="408"/>
      <c r="V320" s="408"/>
      <c r="W320" s="408"/>
      <c r="X320" s="408"/>
      <c r="Y320" s="408"/>
      <c r="Z320" s="408"/>
      <c r="AA320" s="383"/>
      <c r="AB320" s="383"/>
      <c r="AC320" s="383"/>
    </row>
    <row r="321" spans="1:68" ht="27" customHeight="1" x14ac:dyDescent="0.25">
      <c r="A321" s="55" t="s">
        <v>489</v>
      </c>
      <c r="B321" s="55" t="s">
        <v>490</v>
      </c>
      <c r="C321" s="32">
        <v>4301031403</v>
      </c>
      <c r="D321" s="397">
        <v>4680115886094</v>
      </c>
      <c r="E321" s="398"/>
      <c r="F321" s="388">
        <v>0.9</v>
      </c>
      <c r="G321" s="33">
        <v>6</v>
      </c>
      <c r="H321" s="388">
        <v>5.4</v>
      </c>
      <c r="I321" s="388">
        <v>5.61</v>
      </c>
      <c r="J321" s="33">
        <v>132</v>
      </c>
      <c r="K321" s="33" t="s">
        <v>94</v>
      </c>
      <c r="L321" s="33"/>
      <c r="M321" s="34" t="s">
        <v>90</v>
      </c>
      <c r="N321" s="34"/>
      <c r="O321" s="33">
        <v>50</v>
      </c>
      <c r="P321" s="58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1" s="394"/>
      <c r="R321" s="394"/>
      <c r="S321" s="394"/>
      <c r="T321" s="395"/>
      <c r="U321" s="35"/>
      <c r="V321" s="35"/>
      <c r="W321" s="36" t="s">
        <v>71</v>
      </c>
      <c r="X321" s="389">
        <v>0</v>
      </c>
      <c r="Y321" s="390">
        <f>IFERROR(IF(X321="",0,CEILING((X321/$H321),1)*$H321),"")</f>
        <v>0</v>
      </c>
      <c r="Z321" s="37" t="str">
        <f>IFERROR(IF(Y321=0,"",ROUNDUP(Y321/H321,0)*0.00902),"")</f>
        <v/>
      </c>
      <c r="AA321" s="57"/>
      <c r="AB321" s="58"/>
      <c r="AC321" s="346" t="s">
        <v>491</v>
      </c>
      <c r="AG321" s="65"/>
      <c r="AJ321" s="69"/>
      <c r="AK321" s="69">
        <v>0</v>
      </c>
      <c r="BB321" s="347" t="s">
        <v>1</v>
      </c>
      <c r="BM321" s="65">
        <f>IFERROR(X321*I321/H321,"0")</f>
        <v>0</v>
      </c>
      <c r="BN321" s="65">
        <f>IFERROR(Y321*I321/H321,"0")</f>
        <v>0</v>
      </c>
      <c r="BO321" s="65">
        <f>IFERROR(1/J321*(X321/H321),"0")</f>
        <v>0</v>
      </c>
      <c r="BP321" s="65">
        <f>IFERROR(1/J321*(Y321/H321),"0")</f>
        <v>0</v>
      </c>
    </row>
    <row r="322" spans="1:68" x14ac:dyDescent="0.2">
      <c r="A322" s="418"/>
      <c r="B322" s="408"/>
      <c r="C322" s="408"/>
      <c r="D322" s="408"/>
      <c r="E322" s="408"/>
      <c r="F322" s="408"/>
      <c r="G322" s="408"/>
      <c r="H322" s="408"/>
      <c r="I322" s="408"/>
      <c r="J322" s="408"/>
      <c r="K322" s="408"/>
      <c r="L322" s="408"/>
      <c r="M322" s="408"/>
      <c r="N322" s="408"/>
      <c r="O322" s="419"/>
      <c r="P322" s="401" t="s">
        <v>76</v>
      </c>
      <c r="Q322" s="402"/>
      <c r="R322" s="402"/>
      <c r="S322" s="402"/>
      <c r="T322" s="402"/>
      <c r="U322" s="402"/>
      <c r="V322" s="403"/>
      <c r="W322" s="38" t="s">
        <v>77</v>
      </c>
      <c r="X322" s="391">
        <f>IFERROR(X321/H321,"0")</f>
        <v>0</v>
      </c>
      <c r="Y322" s="391">
        <f>IFERROR(Y321/H321,"0")</f>
        <v>0</v>
      </c>
      <c r="Z322" s="391">
        <f>IFERROR(IF(Z321="",0,Z321),"0")</f>
        <v>0</v>
      </c>
      <c r="AA322" s="392"/>
      <c r="AB322" s="392"/>
      <c r="AC322" s="392"/>
    </row>
    <row r="323" spans="1:68" x14ac:dyDescent="0.2">
      <c r="A323" s="408"/>
      <c r="B323" s="408"/>
      <c r="C323" s="408"/>
      <c r="D323" s="408"/>
      <c r="E323" s="408"/>
      <c r="F323" s="408"/>
      <c r="G323" s="408"/>
      <c r="H323" s="408"/>
      <c r="I323" s="408"/>
      <c r="J323" s="408"/>
      <c r="K323" s="408"/>
      <c r="L323" s="408"/>
      <c r="M323" s="408"/>
      <c r="N323" s="408"/>
      <c r="O323" s="419"/>
      <c r="P323" s="401" t="s">
        <v>76</v>
      </c>
      <c r="Q323" s="402"/>
      <c r="R323" s="402"/>
      <c r="S323" s="402"/>
      <c r="T323" s="402"/>
      <c r="U323" s="402"/>
      <c r="V323" s="403"/>
      <c r="W323" s="38" t="s">
        <v>71</v>
      </c>
      <c r="X323" s="391">
        <f>IFERROR(SUM(X321:X321),"0")</f>
        <v>0</v>
      </c>
      <c r="Y323" s="391">
        <f>IFERROR(SUM(Y321:Y321),"0")</f>
        <v>0</v>
      </c>
      <c r="Z323" s="38"/>
      <c r="AA323" s="392"/>
      <c r="AB323" s="392"/>
      <c r="AC323" s="392"/>
    </row>
    <row r="324" spans="1:68" ht="27.75" customHeight="1" x14ac:dyDescent="0.2">
      <c r="A324" s="476" t="s">
        <v>492</v>
      </c>
      <c r="B324" s="477"/>
      <c r="C324" s="477"/>
      <c r="D324" s="477"/>
      <c r="E324" s="477"/>
      <c r="F324" s="477"/>
      <c r="G324" s="477"/>
      <c r="H324" s="477"/>
      <c r="I324" s="477"/>
      <c r="J324" s="477"/>
      <c r="K324" s="477"/>
      <c r="L324" s="477"/>
      <c r="M324" s="477"/>
      <c r="N324" s="477"/>
      <c r="O324" s="477"/>
      <c r="P324" s="477"/>
      <c r="Q324" s="477"/>
      <c r="R324" s="477"/>
      <c r="S324" s="477"/>
      <c r="T324" s="477"/>
      <c r="U324" s="477"/>
      <c r="V324" s="477"/>
      <c r="W324" s="477"/>
      <c r="X324" s="477"/>
      <c r="Y324" s="477"/>
      <c r="Z324" s="477"/>
      <c r="AA324" s="49"/>
      <c r="AB324" s="49"/>
      <c r="AC324" s="49"/>
    </row>
    <row r="325" spans="1:68" ht="16.5" customHeight="1" x14ac:dyDescent="0.25">
      <c r="A325" s="407" t="s">
        <v>492</v>
      </c>
      <c r="B325" s="408"/>
      <c r="C325" s="408"/>
      <c r="D325" s="408"/>
      <c r="E325" s="408"/>
      <c r="F325" s="408"/>
      <c r="G325" s="408"/>
      <c r="H325" s="408"/>
      <c r="I325" s="408"/>
      <c r="J325" s="408"/>
      <c r="K325" s="408"/>
      <c r="L325" s="408"/>
      <c r="M325" s="408"/>
      <c r="N325" s="408"/>
      <c r="O325" s="408"/>
      <c r="P325" s="408"/>
      <c r="Q325" s="408"/>
      <c r="R325" s="408"/>
      <c r="S325" s="408"/>
      <c r="T325" s="408"/>
      <c r="U325" s="408"/>
      <c r="V325" s="408"/>
      <c r="W325" s="408"/>
      <c r="X325" s="408"/>
      <c r="Y325" s="408"/>
      <c r="Z325" s="408"/>
      <c r="AA325" s="385"/>
      <c r="AB325" s="385"/>
      <c r="AC325" s="385"/>
    </row>
    <row r="326" spans="1:68" ht="14.25" customHeight="1" x14ac:dyDescent="0.25">
      <c r="A326" s="410" t="s">
        <v>86</v>
      </c>
      <c r="B326" s="408"/>
      <c r="C326" s="408"/>
      <c r="D326" s="408"/>
      <c r="E326" s="408"/>
      <c r="F326" s="408"/>
      <c r="G326" s="408"/>
      <c r="H326" s="408"/>
      <c r="I326" s="408"/>
      <c r="J326" s="408"/>
      <c r="K326" s="408"/>
      <c r="L326" s="408"/>
      <c r="M326" s="408"/>
      <c r="N326" s="408"/>
      <c r="O326" s="408"/>
      <c r="P326" s="408"/>
      <c r="Q326" s="408"/>
      <c r="R326" s="408"/>
      <c r="S326" s="408"/>
      <c r="T326" s="408"/>
      <c r="U326" s="408"/>
      <c r="V326" s="408"/>
      <c r="W326" s="408"/>
      <c r="X326" s="408"/>
      <c r="Y326" s="408"/>
      <c r="Z326" s="408"/>
      <c r="AA326" s="383"/>
      <c r="AB326" s="383"/>
      <c r="AC326" s="383"/>
    </row>
    <row r="327" spans="1:68" ht="27" customHeight="1" x14ac:dyDescent="0.25">
      <c r="A327" s="55" t="s">
        <v>493</v>
      </c>
      <c r="B327" s="55" t="s">
        <v>494</v>
      </c>
      <c r="C327" s="32">
        <v>4301011795</v>
      </c>
      <c r="D327" s="397">
        <v>4607091389067</v>
      </c>
      <c r="E327" s="398"/>
      <c r="F327" s="388">
        <v>0.88</v>
      </c>
      <c r="G327" s="33">
        <v>6</v>
      </c>
      <c r="H327" s="388">
        <v>5.28</v>
      </c>
      <c r="I327" s="388">
        <v>5.64</v>
      </c>
      <c r="J327" s="33">
        <v>104</v>
      </c>
      <c r="K327" s="33" t="s">
        <v>89</v>
      </c>
      <c r="L327" s="33"/>
      <c r="M327" s="34" t="s">
        <v>90</v>
      </c>
      <c r="N327" s="34"/>
      <c r="O327" s="33">
        <v>60</v>
      </c>
      <c r="P327" s="5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7" s="394"/>
      <c r="R327" s="394"/>
      <c r="S327" s="394"/>
      <c r="T327" s="395"/>
      <c r="U327" s="35"/>
      <c r="V327" s="35"/>
      <c r="W327" s="36" t="s">
        <v>71</v>
      </c>
      <c r="X327" s="389">
        <v>0</v>
      </c>
      <c r="Y327" s="390">
        <f t="shared" ref="Y327:Y333" si="30">IFERROR(IF(X327="",0,CEILING((X327/$H327),1)*$H327),"")</f>
        <v>0</v>
      </c>
      <c r="Z327" s="37" t="str">
        <f>IFERROR(IF(Y327=0,"",ROUNDUP(Y327/H327,0)*0.01196),"")</f>
        <v/>
      </c>
      <c r="AA327" s="57"/>
      <c r="AB327" s="58"/>
      <c r="AC327" s="348" t="s">
        <v>495</v>
      </c>
      <c r="AG327" s="65"/>
      <c r="AJ327" s="69"/>
      <c r="AK327" s="69">
        <v>0</v>
      </c>
      <c r="BB327" s="349" t="s">
        <v>1</v>
      </c>
      <c r="BM327" s="65">
        <f t="shared" ref="BM327:BM333" si="31">IFERROR(X327*I327/H327,"0")</f>
        <v>0</v>
      </c>
      <c r="BN327" s="65">
        <f t="shared" ref="BN327:BN333" si="32">IFERROR(Y327*I327/H327,"0")</f>
        <v>0</v>
      </c>
      <c r="BO327" s="65">
        <f t="shared" ref="BO327:BO333" si="33">IFERROR(1/J327*(X327/H327),"0")</f>
        <v>0</v>
      </c>
      <c r="BP327" s="65">
        <f t="shared" ref="BP327:BP333" si="34">IFERROR(1/J327*(Y327/H327),"0")</f>
        <v>0</v>
      </c>
    </row>
    <row r="328" spans="1:68" ht="27" customHeight="1" x14ac:dyDescent="0.25">
      <c r="A328" s="55" t="s">
        <v>496</v>
      </c>
      <c r="B328" s="55" t="s">
        <v>497</v>
      </c>
      <c r="C328" s="32">
        <v>4301011376</v>
      </c>
      <c r="D328" s="397">
        <v>4680115885226</v>
      </c>
      <c r="E328" s="398"/>
      <c r="F328" s="388">
        <v>0.88</v>
      </c>
      <c r="G328" s="33">
        <v>6</v>
      </c>
      <c r="H328" s="388">
        <v>5.28</v>
      </c>
      <c r="I328" s="388">
        <v>5.64</v>
      </c>
      <c r="J328" s="33">
        <v>104</v>
      </c>
      <c r="K328" s="33" t="s">
        <v>89</v>
      </c>
      <c r="L328" s="33"/>
      <c r="M328" s="34" t="s">
        <v>95</v>
      </c>
      <c r="N328" s="34"/>
      <c r="O328" s="33">
        <v>60</v>
      </c>
      <c r="P328" s="4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8" s="394"/>
      <c r="R328" s="394"/>
      <c r="S328" s="394"/>
      <c r="T328" s="395"/>
      <c r="U328" s="35"/>
      <c r="V328" s="35"/>
      <c r="W328" s="36" t="s">
        <v>71</v>
      </c>
      <c r="X328" s="389">
        <v>170</v>
      </c>
      <c r="Y328" s="390">
        <f t="shared" si="30"/>
        <v>174.24</v>
      </c>
      <c r="Z328" s="37">
        <f>IFERROR(IF(Y328=0,"",ROUNDUP(Y328/H328,0)*0.01196),"")</f>
        <v>0.39468000000000003</v>
      </c>
      <c r="AA328" s="57"/>
      <c r="AB328" s="58"/>
      <c r="AC328" s="350" t="s">
        <v>498</v>
      </c>
      <c r="AG328" s="65"/>
      <c r="AJ328" s="69"/>
      <c r="AK328" s="69">
        <v>0</v>
      </c>
      <c r="BB328" s="351" t="s">
        <v>1</v>
      </c>
      <c r="BM328" s="65">
        <f t="shared" si="31"/>
        <v>181.59090909090907</v>
      </c>
      <c r="BN328" s="65">
        <f t="shared" si="32"/>
        <v>186.12</v>
      </c>
      <c r="BO328" s="65">
        <f t="shared" si="33"/>
        <v>0.3095862470862471</v>
      </c>
      <c r="BP328" s="65">
        <f t="shared" si="34"/>
        <v>0.31730769230769235</v>
      </c>
    </row>
    <row r="329" spans="1:68" ht="16.5" customHeight="1" x14ac:dyDescent="0.25">
      <c r="A329" s="55" t="s">
        <v>499</v>
      </c>
      <c r="B329" s="55" t="s">
        <v>500</v>
      </c>
      <c r="C329" s="32">
        <v>4301011774</v>
      </c>
      <c r="D329" s="397">
        <v>4680115884502</v>
      </c>
      <c r="E329" s="398"/>
      <c r="F329" s="388">
        <v>0.88</v>
      </c>
      <c r="G329" s="33">
        <v>6</v>
      </c>
      <c r="H329" s="388">
        <v>5.28</v>
      </c>
      <c r="I329" s="388">
        <v>5.64</v>
      </c>
      <c r="J329" s="33">
        <v>104</v>
      </c>
      <c r="K329" s="33" t="s">
        <v>89</v>
      </c>
      <c r="L329" s="33"/>
      <c r="M329" s="34" t="s">
        <v>90</v>
      </c>
      <c r="N329" s="34"/>
      <c r="O329" s="33">
        <v>60</v>
      </c>
      <c r="P329" s="4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9" s="394"/>
      <c r="R329" s="394"/>
      <c r="S329" s="394"/>
      <c r="T329" s="395"/>
      <c r="U329" s="35"/>
      <c r="V329" s="35"/>
      <c r="W329" s="36" t="s">
        <v>71</v>
      </c>
      <c r="X329" s="389">
        <v>0</v>
      </c>
      <c r="Y329" s="390">
        <f t="shared" si="30"/>
        <v>0</v>
      </c>
      <c r="Z329" s="37" t="str">
        <f>IFERROR(IF(Y329=0,"",ROUNDUP(Y329/H329,0)*0.01196),"")</f>
        <v/>
      </c>
      <c r="AA329" s="57"/>
      <c r="AB329" s="58"/>
      <c r="AC329" s="352" t="s">
        <v>501</v>
      </c>
      <c r="AG329" s="65"/>
      <c r="AJ329" s="69"/>
      <c r="AK329" s="69">
        <v>0</v>
      </c>
      <c r="BB329" s="353" t="s">
        <v>1</v>
      </c>
      <c r="BM329" s="65">
        <f t="shared" si="31"/>
        <v>0</v>
      </c>
      <c r="BN329" s="65">
        <f t="shared" si="32"/>
        <v>0</v>
      </c>
      <c r="BO329" s="65">
        <f t="shared" si="33"/>
        <v>0</v>
      </c>
      <c r="BP329" s="65">
        <f t="shared" si="34"/>
        <v>0</v>
      </c>
    </row>
    <row r="330" spans="1:68" ht="27" customHeight="1" x14ac:dyDescent="0.25">
      <c r="A330" s="55" t="s">
        <v>502</v>
      </c>
      <c r="B330" s="55" t="s">
        <v>503</v>
      </c>
      <c r="C330" s="32">
        <v>4301011771</v>
      </c>
      <c r="D330" s="397">
        <v>4607091389104</v>
      </c>
      <c r="E330" s="398"/>
      <c r="F330" s="388">
        <v>0.88</v>
      </c>
      <c r="G330" s="33">
        <v>6</v>
      </c>
      <c r="H330" s="388">
        <v>5.28</v>
      </c>
      <c r="I330" s="388">
        <v>5.64</v>
      </c>
      <c r="J330" s="33">
        <v>104</v>
      </c>
      <c r="K330" s="33" t="s">
        <v>89</v>
      </c>
      <c r="L330" s="33"/>
      <c r="M330" s="34" t="s">
        <v>90</v>
      </c>
      <c r="N330" s="34"/>
      <c r="O330" s="33">
        <v>60</v>
      </c>
      <c r="P330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30" s="394"/>
      <c r="R330" s="394"/>
      <c r="S330" s="394"/>
      <c r="T330" s="395"/>
      <c r="U330" s="35"/>
      <c r="V330" s="35"/>
      <c r="W330" s="36" t="s">
        <v>71</v>
      </c>
      <c r="X330" s="389">
        <v>0</v>
      </c>
      <c r="Y330" s="390">
        <f t="shared" si="30"/>
        <v>0</v>
      </c>
      <c r="Z330" s="37" t="str">
        <f>IFERROR(IF(Y330=0,"",ROUNDUP(Y330/H330,0)*0.01196),"")</f>
        <v/>
      </c>
      <c r="AA330" s="57"/>
      <c r="AB330" s="58"/>
      <c r="AC330" s="354" t="s">
        <v>504</v>
      </c>
      <c r="AG330" s="65"/>
      <c r="AJ330" s="69"/>
      <c r="AK330" s="69">
        <v>0</v>
      </c>
      <c r="BB330" s="355" t="s">
        <v>1</v>
      </c>
      <c r="BM330" s="65">
        <f t="shared" si="31"/>
        <v>0</v>
      </c>
      <c r="BN330" s="65">
        <f t="shared" si="32"/>
        <v>0</v>
      </c>
      <c r="BO330" s="65">
        <f t="shared" si="33"/>
        <v>0</v>
      </c>
      <c r="BP330" s="65">
        <f t="shared" si="34"/>
        <v>0</v>
      </c>
    </row>
    <row r="331" spans="1:68" ht="27" customHeight="1" x14ac:dyDescent="0.25">
      <c r="A331" s="55" t="s">
        <v>505</v>
      </c>
      <c r="B331" s="55" t="s">
        <v>506</v>
      </c>
      <c r="C331" s="32">
        <v>4301012035</v>
      </c>
      <c r="D331" s="397">
        <v>4680115880603</v>
      </c>
      <c r="E331" s="398"/>
      <c r="F331" s="388">
        <v>0.6</v>
      </c>
      <c r="G331" s="33">
        <v>8</v>
      </c>
      <c r="H331" s="388">
        <v>4.8</v>
      </c>
      <c r="I331" s="388">
        <v>6.93</v>
      </c>
      <c r="J331" s="33">
        <v>132</v>
      </c>
      <c r="K331" s="33" t="s">
        <v>94</v>
      </c>
      <c r="L331" s="33"/>
      <c r="M331" s="34" t="s">
        <v>90</v>
      </c>
      <c r="N331" s="34"/>
      <c r="O331" s="33">
        <v>60</v>
      </c>
      <c r="P331" s="4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1" s="394"/>
      <c r="R331" s="394"/>
      <c r="S331" s="394"/>
      <c r="T331" s="395"/>
      <c r="U331" s="35"/>
      <c r="V331" s="35"/>
      <c r="W331" s="36" t="s">
        <v>71</v>
      </c>
      <c r="X331" s="389">
        <v>0</v>
      </c>
      <c r="Y331" s="390">
        <f t="shared" si="30"/>
        <v>0</v>
      </c>
      <c r="Z331" s="37" t="str">
        <f>IFERROR(IF(Y331=0,"",ROUNDUP(Y331/H331,0)*0.00902),"")</f>
        <v/>
      </c>
      <c r="AA331" s="57"/>
      <c r="AB331" s="58"/>
      <c r="AC331" s="356" t="s">
        <v>495</v>
      </c>
      <c r="AG331" s="65"/>
      <c r="AJ331" s="69"/>
      <c r="AK331" s="69">
        <v>0</v>
      </c>
      <c r="BB331" s="357" t="s">
        <v>1</v>
      </c>
      <c r="BM331" s="65">
        <f t="shared" si="31"/>
        <v>0</v>
      </c>
      <c r="BN331" s="65">
        <f t="shared" si="32"/>
        <v>0</v>
      </c>
      <c r="BO331" s="65">
        <f t="shared" si="33"/>
        <v>0</v>
      </c>
      <c r="BP331" s="65">
        <f t="shared" si="34"/>
        <v>0</v>
      </c>
    </row>
    <row r="332" spans="1:68" ht="27" customHeight="1" x14ac:dyDescent="0.25">
      <c r="A332" s="55" t="s">
        <v>507</v>
      </c>
      <c r="B332" s="55" t="s">
        <v>508</v>
      </c>
      <c r="C332" s="32">
        <v>4301012036</v>
      </c>
      <c r="D332" s="397">
        <v>4680115882782</v>
      </c>
      <c r="E332" s="398"/>
      <c r="F332" s="388">
        <v>0.6</v>
      </c>
      <c r="G332" s="33">
        <v>8</v>
      </c>
      <c r="H332" s="388">
        <v>4.8</v>
      </c>
      <c r="I332" s="388">
        <v>6.96</v>
      </c>
      <c r="J332" s="33">
        <v>120</v>
      </c>
      <c r="K332" s="33" t="s">
        <v>94</v>
      </c>
      <c r="L332" s="33"/>
      <c r="M332" s="34" t="s">
        <v>90</v>
      </c>
      <c r="N332" s="34"/>
      <c r="O332" s="33">
        <v>60</v>
      </c>
      <c r="P332" s="55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2" s="394"/>
      <c r="R332" s="394"/>
      <c r="S332" s="394"/>
      <c r="T332" s="395"/>
      <c r="U332" s="35"/>
      <c r="V332" s="35"/>
      <c r="W332" s="36" t="s">
        <v>71</v>
      </c>
      <c r="X332" s="389">
        <v>0</v>
      </c>
      <c r="Y332" s="390">
        <f t="shared" si="30"/>
        <v>0</v>
      </c>
      <c r="Z332" s="37" t="str">
        <f>IFERROR(IF(Y332=0,"",ROUNDUP(Y332/H332,0)*0.00937),"")</f>
        <v/>
      </c>
      <c r="AA332" s="57"/>
      <c r="AB332" s="58"/>
      <c r="AC332" s="358" t="s">
        <v>509</v>
      </c>
      <c r="AG332" s="65"/>
      <c r="AJ332" s="69"/>
      <c r="AK332" s="69">
        <v>0</v>
      </c>
      <c r="BB332" s="359" t="s">
        <v>1</v>
      </c>
      <c r="BM332" s="65">
        <f t="shared" si="31"/>
        <v>0</v>
      </c>
      <c r="BN332" s="65">
        <f t="shared" si="32"/>
        <v>0</v>
      </c>
      <c r="BO332" s="65">
        <f t="shared" si="33"/>
        <v>0</v>
      </c>
      <c r="BP332" s="65">
        <f t="shared" si="34"/>
        <v>0</v>
      </c>
    </row>
    <row r="333" spans="1:68" ht="27" customHeight="1" x14ac:dyDescent="0.25">
      <c r="A333" s="55" t="s">
        <v>510</v>
      </c>
      <c r="B333" s="55" t="s">
        <v>511</v>
      </c>
      <c r="C333" s="32">
        <v>4301012034</v>
      </c>
      <c r="D333" s="397">
        <v>4607091389982</v>
      </c>
      <c r="E333" s="398"/>
      <c r="F333" s="388">
        <v>0.6</v>
      </c>
      <c r="G333" s="33">
        <v>8</v>
      </c>
      <c r="H333" s="388">
        <v>4.8</v>
      </c>
      <c r="I333" s="388">
        <v>6.96</v>
      </c>
      <c r="J333" s="33">
        <v>120</v>
      </c>
      <c r="K333" s="33" t="s">
        <v>94</v>
      </c>
      <c r="L333" s="33"/>
      <c r="M333" s="34" t="s">
        <v>90</v>
      </c>
      <c r="N333" s="34"/>
      <c r="O333" s="33">
        <v>60</v>
      </c>
      <c r="P333" s="5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3" s="394"/>
      <c r="R333" s="394"/>
      <c r="S333" s="394"/>
      <c r="T333" s="395"/>
      <c r="U333" s="35"/>
      <c r="V333" s="35"/>
      <c r="W333" s="36" t="s">
        <v>71</v>
      </c>
      <c r="X333" s="389">
        <v>0</v>
      </c>
      <c r="Y333" s="390">
        <f t="shared" si="30"/>
        <v>0</v>
      </c>
      <c r="Z333" s="37" t="str">
        <f>IFERROR(IF(Y333=0,"",ROUNDUP(Y333/H333,0)*0.00937),"")</f>
        <v/>
      </c>
      <c r="AA333" s="57"/>
      <c r="AB333" s="58"/>
      <c r="AC333" s="360" t="s">
        <v>504</v>
      </c>
      <c r="AG333" s="65"/>
      <c r="AJ333" s="69"/>
      <c r="AK333" s="69">
        <v>0</v>
      </c>
      <c r="BB333" s="361" t="s">
        <v>1</v>
      </c>
      <c r="BM333" s="65">
        <f t="shared" si="31"/>
        <v>0</v>
      </c>
      <c r="BN333" s="65">
        <f t="shared" si="32"/>
        <v>0</v>
      </c>
      <c r="BO333" s="65">
        <f t="shared" si="33"/>
        <v>0</v>
      </c>
      <c r="BP333" s="65">
        <f t="shared" si="34"/>
        <v>0</v>
      </c>
    </row>
    <row r="334" spans="1:68" x14ac:dyDescent="0.2">
      <c r="A334" s="418"/>
      <c r="B334" s="408"/>
      <c r="C334" s="408"/>
      <c r="D334" s="408"/>
      <c r="E334" s="408"/>
      <c r="F334" s="408"/>
      <c r="G334" s="408"/>
      <c r="H334" s="408"/>
      <c r="I334" s="408"/>
      <c r="J334" s="408"/>
      <c r="K334" s="408"/>
      <c r="L334" s="408"/>
      <c r="M334" s="408"/>
      <c r="N334" s="408"/>
      <c r="O334" s="419"/>
      <c r="P334" s="401" t="s">
        <v>76</v>
      </c>
      <c r="Q334" s="402"/>
      <c r="R334" s="402"/>
      <c r="S334" s="402"/>
      <c r="T334" s="402"/>
      <c r="U334" s="402"/>
      <c r="V334" s="403"/>
      <c r="W334" s="38" t="s">
        <v>77</v>
      </c>
      <c r="X334" s="391">
        <f>IFERROR(X327/H327,"0")+IFERROR(X328/H328,"0")+IFERROR(X329/H329,"0")+IFERROR(X330/H330,"0")+IFERROR(X331/H331,"0")+IFERROR(X332/H332,"0")+IFERROR(X333/H333,"0")</f>
        <v>32.196969696969695</v>
      </c>
      <c r="Y334" s="391">
        <f>IFERROR(Y327/H327,"0")+IFERROR(Y328/H328,"0")+IFERROR(Y329/H329,"0")+IFERROR(Y330/H330,"0")+IFERROR(Y331/H331,"0")+IFERROR(Y332/H332,"0")+IFERROR(Y333/H333,"0")</f>
        <v>33</v>
      </c>
      <c r="Z334" s="391">
        <f>IFERROR(IF(Z327="",0,Z327),"0")+IFERROR(IF(Z328="",0,Z328),"0")+IFERROR(IF(Z329="",0,Z329),"0")+IFERROR(IF(Z330="",0,Z330),"0")+IFERROR(IF(Z331="",0,Z331),"0")+IFERROR(IF(Z332="",0,Z332),"0")+IFERROR(IF(Z333="",0,Z333),"0")</f>
        <v>0.39468000000000003</v>
      </c>
      <c r="AA334" s="392"/>
      <c r="AB334" s="392"/>
      <c r="AC334" s="392"/>
    </row>
    <row r="335" spans="1:68" x14ac:dyDescent="0.2">
      <c r="A335" s="408"/>
      <c r="B335" s="408"/>
      <c r="C335" s="408"/>
      <c r="D335" s="408"/>
      <c r="E335" s="408"/>
      <c r="F335" s="408"/>
      <c r="G335" s="408"/>
      <c r="H335" s="408"/>
      <c r="I335" s="408"/>
      <c r="J335" s="408"/>
      <c r="K335" s="408"/>
      <c r="L335" s="408"/>
      <c r="M335" s="408"/>
      <c r="N335" s="408"/>
      <c r="O335" s="419"/>
      <c r="P335" s="401" t="s">
        <v>76</v>
      </c>
      <c r="Q335" s="402"/>
      <c r="R335" s="402"/>
      <c r="S335" s="402"/>
      <c r="T335" s="402"/>
      <c r="U335" s="402"/>
      <c r="V335" s="403"/>
      <c r="W335" s="38" t="s">
        <v>71</v>
      </c>
      <c r="X335" s="391">
        <f>IFERROR(SUM(X327:X333),"0")</f>
        <v>170</v>
      </c>
      <c r="Y335" s="391">
        <f>IFERROR(SUM(Y327:Y333),"0")</f>
        <v>174.24</v>
      </c>
      <c r="Z335" s="38"/>
      <c r="AA335" s="392"/>
      <c r="AB335" s="392"/>
      <c r="AC335" s="392"/>
    </row>
    <row r="336" spans="1:68" ht="14.25" customHeight="1" x14ac:dyDescent="0.25">
      <c r="A336" s="410" t="s">
        <v>117</v>
      </c>
      <c r="B336" s="408"/>
      <c r="C336" s="408"/>
      <c r="D336" s="408"/>
      <c r="E336" s="408"/>
      <c r="F336" s="408"/>
      <c r="G336" s="408"/>
      <c r="H336" s="408"/>
      <c r="I336" s="408"/>
      <c r="J336" s="408"/>
      <c r="K336" s="408"/>
      <c r="L336" s="408"/>
      <c r="M336" s="408"/>
      <c r="N336" s="408"/>
      <c r="O336" s="408"/>
      <c r="P336" s="408"/>
      <c r="Q336" s="408"/>
      <c r="R336" s="408"/>
      <c r="S336" s="408"/>
      <c r="T336" s="408"/>
      <c r="U336" s="408"/>
      <c r="V336" s="408"/>
      <c r="W336" s="408"/>
      <c r="X336" s="408"/>
      <c r="Y336" s="408"/>
      <c r="Z336" s="408"/>
      <c r="AA336" s="383"/>
      <c r="AB336" s="383"/>
      <c r="AC336" s="383"/>
    </row>
    <row r="337" spans="1:68" ht="16.5" customHeight="1" x14ac:dyDescent="0.25">
      <c r="A337" s="55" t="s">
        <v>512</v>
      </c>
      <c r="B337" s="55" t="s">
        <v>513</v>
      </c>
      <c r="C337" s="32">
        <v>4301020334</v>
      </c>
      <c r="D337" s="397">
        <v>4607091388930</v>
      </c>
      <c r="E337" s="398"/>
      <c r="F337" s="388">
        <v>0.88</v>
      </c>
      <c r="G337" s="33">
        <v>6</v>
      </c>
      <c r="H337" s="388">
        <v>5.28</v>
      </c>
      <c r="I337" s="388">
        <v>5.64</v>
      </c>
      <c r="J337" s="33">
        <v>104</v>
      </c>
      <c r="K337" s="33" t="s">
        <v>89</v>
      </c>
      <c r="L337" s="33"/>
      <c r="M337" s="34" t="s">
        <v>95</v>
      </c>
      <c r="N337" s="34"/>
      <c r="O337" s="33">
        <v>70</v>
      </c>
      <c r="P337" s="45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7" s="394"/>
      <c r="R337" s="394"/>
      <c r="S337" s="394"/>
      <c r="T337" s="395"/>
      <c r="U337" s="35"/>
      <c r="V337" s="35"/>
      <c r="W337" s="36" t="s">
        <v>71</v>
      </c>
      <c r="X337" s="389">
        <v>100</v>
      </c>
      <c r="Y337" s="390">
        <f>IFERROR(IF(X337="",0,CEILING((X337/$H337),1)*$H337),"")</f>
        <v>100.32000000000001</v>
      </c>
      <c r="Z337" s="37">
        <f>IFERROR(IF(Y337=0,"",ROUNDUP(Y337/H337,0)*0.01196),"")</f>
        <v>0.22724</v>
      </c>
      <c r="AA337" s="57"/>
      <c r="AB337" s="58"/>
      <c r="AC337" s="362" t="s">
        <v>514</v>
      </c>
      <c r="AG337" s="65"/>
      <c r="AJ337" s="69"/>
      <c r="AK337" s="69">
        <v>0</v>
      </c>
      <c r="BB337" s="363" t="s">
        <v>1</v>
      </c>
      <c r="BM337" s="65">
        <f>IFERROR(X337*I337/H337,"0")</f>
        <v>106.81818181818181</v>
      </c>
      <c r="BN337" s="65">
        <f>IFERROR(Y337*I337/H337,"0")</f>
        <v>107.16</v>
      </c>
      <c r="BO337" s="65">
        <f>IFERROR(1/J337*(X337/H337),"0")</f>
        <v>0.18210955710955709</v>
      </c>
      <c r="BP337" s="65">
        <f>IFERROR(1/J337*(Y337/H337),"0")</f>
        <v>0.18269230769230771</v>
      </c>
    </row>
    <row r="338" spans="1:68" ht="16.5" customHeight="1" x14ac:dyDescent="0.25">
      <c r="A338" s="55" t="s">
        <v>515</v>
      </c>
      <c r="B338" s="55" t="s">
        <v>516</v>
      </c>
      <c r="C338" s="32">
        <v>4301020385</v>
      </c>
      <c r="D338" s="397">
        <v>4680115880054</v>
      </c>
      <c r="E338" s="398"/>
      <c r="F338" s="388">
        <v>0.6</v>
      </c>
      <c r="G338" s="33">
        <v>8</v>
      </c>
      <c r="H338" s="388">
        <v>4.8</v>
      </c>
      <c r="I338" s="388">
        <v>6.93</v>
      </c>
      <c r="J338" s="33">
        <v>132</v>
      </c>
      <c r="K338" s="33" t="s">
        <v>94</v>
      </c>
      <c r="L338" s="33"/>
      <c r="M338" s="34" t="s">
        <v>90</v>
      </c>
      <c r="N338" s="34"/>
      <c r="O338" s="33">
        <v>70</v>
      </c>
      <c r="P338" s="6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38" s="394"/>
      <c r="R338" s="394"/>
      <c r="S338" s="394"/>
      <c r="T338" s="395"/>
      <c r="U338" s="35"/>
      <c r="V338" s="35"/>
      <c r="W338" s="36" t="s">
        <v>71</v>
      </c>
      <c r="X338" s="389">
        <v>0</v>
      </c>
      <c r="Y338" s="390">
        <f>IFERROR(IF(X338="",0,CEILING((X338/$H338),1)*$H338),"")</f>
        <v>0</v>
      </c>
      <c r="Z338" s="37" t="str">
        <f>IFERROR(IF(Y338=0,"",ROUNDUP(Y338/H338,0)*0.00902),"")</f>
        <v/>
      </c>
      <c r="AA338" s="57"/>
      <c r="AB338" s="58"/>
      <c r="AC338" s="364" t="s">
        <v>514</v>
      </c>
      <c r="AG338" s="65"/>
      <c r="AJ338" s="69"/>
      <c r="AK338" s="69">
        <v>0</v>
      </c>
      <c r="BB338" s="365" t="s">
        <v>1</v>
      </c>
      <c r="BM338" s="65">
        <f>IFERROR(X338*I338/H338,"0")</f>
        <v>0</v>
      </c>
      <c r="BN338" s="65">
        <f>IFERROR(Y338*I338/H338,"0")</f>
        <v>0</v>
      </c>
      <c r="BO338" s="65">
        <f>IFERROR(1/J338*(X338/H338),"0")</f>
        <v>0</v>
      </c>
      <c r="BP338" s="65">
        <f>IFERROR(1/J338*(Y338/H338),"0")</f>
        <v>0</v>
      </c>
    </row>
    <row r="339" spans="1:68" x14ac:dyDescent="0.2">
      <c r="A339" s="418"/>
      <c r="B339" s="408"/>
      <c r="C339" s="408"/>
      <c r="D339" s="408"/>
      <c r="E339" s="408"/>
      <c r="F339" s="408"/>
      <c r="G339" s="408"/>
      <c r="H339" s="408"/>
      <c r="I339" s="408"/>
      <c r="J339" s="408"/>
      <c r="K339" s="408"/>
      <c r="L339" s="408"/>
      <c r="M339" s="408"/>
      <c r="N339" s="408"/>
      <c r="O339" s="419"/>
      <c r="P339" s="401" t="s">
        <v>76</v>
      </c>
      <c r="Q339" s="402"/>
      <c r="R339" s="402"/>
      <c r="S339" s="402"/>
      <c r="T339" s="402"/>
      <c r="U339" s="402"/>
      <c r="V339" s="403"/>
      <c r="W339" s="38" t="s">
        <v>77</v>
      </c>
      <c r="X339" s="391">
        <f>IFERROR(X337/H337,"0")+IFERROR(X338/H338,"0")</f>
        <v>18.939393939393938</v>
      </c>
      <c r="Y339" s="391">
        <f>IFERROR(Y337/H337,"0")+IFERROR(Y338/H338,"0")</f>
        <v>19</v>
      </c>
      <c r="Z339" s="391">
        <f>IFERROR(IF(Z337="",0,Z337),"0")+IFERROR(IF(Z338="",0,Z338),"0")</f>
        <v>0.22724</v>
      </c>
      <c r="AA339" s="392"/>
      <c r="AB339" s="392"/>
      <c r="AC339" s="392"/>
    </row>
    <row r="340" spans="1:68" x14ac:dyDescent="0.2">
      <c r="A340" s="408"/>
      <c r="B340" s="408"/>
      <c r="C340" s="408"/>
      <c r="D340" s="408"/>
      <c r="E340" s="408"/>
      <c r="F340" s="408"/>
      <c r="G340" s="408"/>
      <c r="H340" s="408"/>
      <c r="I340" s="408"/>
      <c r="J340" s="408"/>
      <c r="K340" s="408"/>
      <c r="L340" s="408"/>
      <c r="M340" s="408"/>
      <c r="N340" s="408"/>
      <c r="O340" s="419"/>
      <c r="P340" s="401" t="s">
        <v>76</v>
      </c>
      <c r="Q340" s="402"/>
      <c r="R340" s="402"/>
      <c r="S340" s="402"/>
      <c r="T340" s="402"/>
      <c r="U340" s="402"/>
      <c r="V340" s="403"/>
      <c r="W340" s="38" t="s">
        <v>71</v>
      </c>
      <c r="X340" s="391">
        <f>IFERROR(SUM(X337:X338),"0")</f>
        <v>100</v>
      </c>
      <c r="Y340" s="391">
        <f>IFERROR(SUM(Y337:Y338),"0")</f>
        <v>100.32000000000001</v>
      </c>
      <c r="Z340" s="38"/>
      <c r="AA340" s="392"/>
      <c r="AB340" s="392"/>
      <c r="AC340" s="392"/>
    </row>
    <row r="341" spans="1:68" ht="14.25" customHeight="1" x14ac:dyDescent="0.25">
      <c r="A341" s="410" t="s">
        <v>182</v>
      </c>
      <c r="B341" s="408"/>
      <c r="C341" s="408"/>
      <c r="D341" s="408"/>
      <c r="E341" s="408"/>
      <c r="F341" s="408"/>
      <c r="G341" s="408"/>
      <c r="H341" s="408"/>
      <c r="I341" s="408"/>
      <c r="J341" s="408"/>
      <c r="K341" s="408"/>
      <c r="L341" s="408"/>
      <c r="M341" s="408"/>
      <c r="N341" s="408"/>
      <c r="O341" s="408"/>
      <c r="P341" s="408"/>
      <c r="Q341" s="408"/>
      <c r="R341" s="408"/>
      <c r="S341" s="408"/>
      <c r="T341" s="408"/>
      <c r="U341" s="408"/>
      <c r="V341" s="408"/>
      <c r="W341" s="408"/>
      <c r="X341" s="408"/>
      <c r="Y341" s="408"/>
      <c r="Z341" s="408"/>
      <c r="AA341" s="383"/>
      <c r="AB341" s="383"/>
      <c r="AC341" s="383"/>
    </row>
    <row r="342" spans="1:68" ht="27" customHeight="1" x14ac:dyDescent="0.25">
      <c r="A342" s="55" t="s">
        <v>517</v>
      </c>
      <c r="B342" s="55" t="s">
        <v>518</v>
      </c>
      <c r="C342" s="32">
        <v>4301031349</v>
      </c>
      <c r="D342" s="397">
        <v>4680115883116</v>
      </c>
      <c r="E342" s="398"/>
      <c r="F342" s="388">
        <v>0.88</v>
      </c>
      <c r="G342" s="33">
        <v>6</v>
      </c>
      <c r="H342" s="388">
        <v>5.28</v>
      </c>
      <c r="I342" s="388">
        <v>5.64</v>
      </c>
      <c r="J342" s="33">
        <v>104</v>
      </c>
      <c r="K342" s="33" t="s">
        <v>89</v>
      </c>
      <c r="L342" s="33"/>
      <c r="M342" s="34" t="s">
        <v>90</v>
      </c>
      <c r="N342" s="34"/>
      <c r="O342" s="33">
        <v>70</v>
      </c>
      <c r="P342" s="6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2" s="394"/>
      <c r="R342" s="394"/>
      <c r="S342" s="394"/>
      <c r="T342" s="395"/>
      <c r="U342" s="35"/>
      <c r="V342" s="35"/>
      <c r="W342" s="36" t="s">
        <v>71</v>
      </c>
      <c r="X342" s="389">
        <v>150</v>
      </c>
      <c r="Y342" s="390">
        <f t="shared" ref="Y342:Y347" si="35">IFERROR(IF(X342="",0,CEILING((X342/$H342),1)*$H342),"")</f>
        <v>153.12</v>
      </c>
      <c r="Z342" s="37">
        <f>IFERROR(IF(Y342=0,"",ROUNDUP(Y342/H342,0)*0.01196),"")</f>
        <v>0.34683999999999998</v>
      </c>
      <c r="AA342" s="57"/>
      <c r="AB342" s="58"/>
      <c r="AC342" s="366" t="s">
        <v>519</v>
      </c>
      <c r="AG342" s="65"/>
      <c r="AJ342" s="69"/>
      <c r="AK342" s="69">
        <v>0</v>
      </c>
      <c r="BB342" s="367" t="s">
        <v>1</v>
      </c>
      <c r="BM342" s="65">
        <f t="shared" ref="BM342:BM347" si="36">IFERROR(X342*I342/H342,"0")</f>
        <v>160.22727272727272</v>
      </c>
      <c r="BN342" s="65">
        <f t="shared" ref="BN342:BN347" si="37">IFERROR(Y342*I342/H342,"0")</f>
        <v>163.56</v>
      </c>
      <c r="BO342" s="65">
        <f t="shared" ref="BO342:BO347" si="38">IFERROR(1/J342*(X342/H342),"0")</f>
        <v>0.27316433566433568</v>
      </c>
      <c r="BP342" s="65">
        <f t="shared" ref="BP342:BP347" si="39">IFERROR(1/J342*(Y342/H342),"0")</f>
        <v>0.27884615384615385</v>
      </c>
    </row>
    <row r="343" spans="1:68" ht="27" customHeight="1" x14ac:dyDescent="0.25">
      <c r="A343" s="55" t="s">
        <v>520</v>
      </c>
      <c r="B343" s="55" t="s">
        <v>521</v>
      </c>
      <c r="C343" s="32">
        <v>4301031350</v>
      </c>
      <c r="D343" s="397">
        <v>4680115883093</v>
      </c>
      <c r="E343" s="398"/>
      <c r="F343" s="388">
        <v>0.88</v>
      </c>
      <c r="G343" s="33">
        <v>6</v>
      </c>
      <c r="H343" s="388">
        <v>5.28</v>
      </c>
      <c r="I343" s="388">
        <v>5.64</v>
      </c>
      <c r="J343" s="33">
        <v>104</v>
      </c>
      <c r="K343" s="33" t="s">
        <v>89</v>
      </c>
      <c r="L343" s="33"/>
      <c r="M343" s="34" t="s">
        <v>70</v>
      </c>
      <c r="N343" s="34"/>
      <c r="O343" s="33">
        <v>70</v>
      </c>
      <c r="P343" s="56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3" s="394"/>
      <c r="R343" s="394"/>
      <c r="S343" s="394"/>
      <c r="T343" s="395"/>
      <c r="U343" s="35"/>
      <c r="V343" s="35"/>
      <c r="W343" s="36" t="s">
        <v>71</v>
      </c>
      <c r="X343" s="389">
        <v>0</v>
      </c>
      <c r="Y343" s="390">
        <f t="shared" si="35"/>
        <v>0</v>
      </c>
      <c r="Z343" s="37" t="str">
        <f>IFERROR(IF(Y343=0,"",ROUNDUP(Y343/H343,0)*0.01196),"")</f>
        <v/>
      </c>
      <c r="AA343" s="57"/>
      <c r="AB343" s="58"/>
      <c r="AC343" s="368" t="s">
        <v>522</v>
      </c>
      <c r="AG343" s="65"/>
      <c r="AJ343" s="69"/>
      <c r="AK343" s="69">
        <v>0</v>
      </c>
      <c r="BB343" s="369" t="s">
        <v>1</v>
      </c>
      <c r="BM343" s="65">
        <f t="shared" si="36"/>
        <v>0</v>
      </c>
      <c r="BN343" s="65">
        <f t="shared" si="37"/>
        <v>0</v>
      </c>
      <c r="BO343" s="65">
        <f t="shared" si="38"/>
        <v>0</v>
      </c>
      <c r="BP343" s="65">
        <f t="shared" si="39"/>
        <v>0</v>
      </c>
    </row>
    <row r="344" spans="1:68" ht="27" customHeight="1" x14ac:dyDescent="0.25">
      <c r="A344" s="55" t="s">
        <v>523</v>
      </c>
      <c r="B344" s="55" t="s">
        <v>524</v>
      </c>
      <c r="C344" s="32">
        <v>4301031353</v>
      </c>
      <c r="D344" s="397">
        <v>4680115883109</v>
      </c>
      <c r="E344" s="398"/>
      <c r="F344" s="388">
        <v>0.88</v>
      </c>
      <c r="G344" s="33">
        <v>6</v>
      </c>
      <c r="H344" s="388">
        <v>5.28</v>
      </c>
      <c r="I344" s="388">
        <v>5.64</v>
      </c>
      <c r="J344" s="33">
        <v>104</v>
      </c>
      <c r="K344" s="33" t="s">
        <v>89</v>
      </c>
      <c r="L344" s="33"/>
      <c r="M344" s="34" t="s">
        <v>70</v>
      </c>
      <c r="N344" s="34"/>
      <c r="O344" s="33">
        <v>70</v>
      </c>
      <c r="P344" s="62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4" s="394"/>
      <c r="R344" s="394"/>
      <c r="S344" s="394"/>
      <c r="T344" s="395"/>
      <c r="U344" s="35"/>
      <c r="V344" s="35"/>
      <c r="W344" s="36" t="s">
        <v>71</v>
      </c>
      <c r="X344" s="389">
        <v>100</v>
      </c>
      <c r="Y344" s="390">
        <f t="shared" si="35"/>
        <v>100.32000000000001</v>
      </c>
      <c r="Z344" s="37">
        <f>IFERROR(IF(Y344=0,"",ROUNDUP(Y344/H344,0)*0.01196),"")</f>
        <v>0.22724</v>
      </c>
      <c r="AA344" s="57"/>
      <c r="AB344" s="58"/>
      <c r="AC344" s="370" t="s">
        <v>525</v>
      </c>
      <c r="AG344" s="65"/>
      <c r="AJ344" s="69"/>
      <c r="AK344" s="69">
        <v>0</v>
      </c>
      <c r="BB344" s="371" t="s">
        <v>1</v>
      </c>
      <c r="BM344" s="65">
        <f t="shared" si="36"/>
        <v>106.81818181818181</v>
      </c>
      <c r="BN344" s="65">
        <f t="shared" si="37"/>
        <v>107.16</v>
      </c>
      <c r="BO344" s="65">
        <f t="shared" si="38"/>
        <v>0.18210955710955709</v>
      </c>
      <c r="BP344" s="65">
        <f t="shared" si="39"/>
        <v>0.18269230769230771</v>
      </c>
    </row>
    <row r="345" spans="1:68" ht="27" customHeight="1" x14ac:dyDescent="0.25">
      <c r="A345" s="55" t="s">
        <v>526</v>
      </c>
      <c r="B345" s="55" t="s">
        <v>527</v>
      </c>
      <c r="C345" s="32">
        <v>4301031419</v>
      </c>
      <c r="D345" s="397">
        <v>4680115882072</v>
      </c>
      <c r="E345" s="398"/>
      <c r="F345" s="388">
        <v>0.6</v>
      </c>
      <c r="G345" s="33">
        <v>8</v>
      </c>
      <c r="H345" s="388">
        <v>4.8</v>
      </c>
      <c r="I345" s="388">
        <v>6.93</v>
      </c>
      <c r="J345" s="33">
        <v>132</v>
      </c>
      <c r="K345" s="33" t="s">
        <v>94</v>
      </c>
      <c r="L345" s="33"/>
      <c r="M345" s="34" t="s">
        <v>90</v>
      </c>
      <c r="N345" s="34"/>
      <c r="O345" s="33">
        <v>70</v>
      </c>
      <c r="P345" s="5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5" s="394"/>
      <c r="R345" s="394"/>
      <c r="S345" s="394"/>
      <c r="T345" s="395"/>
      <c r="U345" s="35"/>
      <c r="V345" s="35"/>
      <c r="W345" s="36" t="s">
        <v>71</v>
      </c>
      <c r="X345" s="389">
        <v>0</v>
      </c>
      <c r="Y345" s="390">
        <f t="shared" si="35"/>
        <v>0</v>
      </c>
      <c r="Z345" s="37" t="str">
        <f>IFERROR(IF(Y345=0,"",ROUNDUP(Y345/H345,0)*0.00902),"")</f>
        <v/>
      </c>
      <c r="AA345" s="57"/>
      <c r="AB345" s="58"/>
      <c r="AC345" s="372" t="s">
        <v>519</v>
      </c>
      <c r="AG345" s="65"/>
      <c r="AJ345" s="69"/>
      <c r="AK345" s="69">
        <v>0</v>
      </c>
      <c r="BB345" s="373" t="s">
        <v>1</v>
      </c>
      <c r="BM345" s="65">
        <f t="shared" si="36"/>
        <v>0</v>
      </c>
      <c r="BN345" s="65">
        <f t="shared" si="37"/>
        <v>0</v>
      </c>
      <c r="BO345" s="65">
        <f t="shared" si="38"/>
        <v>0</v>
      </c>
      <c r="BP345" s="65">
        <f t="shared" si="39"/>
        <v>0</v>
      </c>
    </row>
    <row r="346" spans="1:68" ht="27" customHeight="1" x14ac:dyDescent="0.25">
      <c r="A346" s="55" t="s">
        <v>528</v>
      </c>
      <c r="B346" s="55" t="s">
        <v>529</v>
      </c>
      <c r="C346" s="32">
        <v>4301031418</v>
      </c>
      <c r="D346" s="397">
        <v>4680115882102</v>
      </c>
      <c r="E346" s="398"/>
      <c r="F346" s="388">
        <v>0.6</v>
      </c>
      <c r="G346" s="33">
        <v>8</v>
      </c>
      <c r="H346" s="388">
        <v>4.8</v>
      </c>
      <c r="I346" s="388">
        <v>6.69</v>
      </c>
      <c r="J346" s="33">
        <v>132</v>
      </c>
      <c r="K346" s="33" t="s">
        <v>94</v>
      </c>
      <c r="L346" s="33"/>
      <c r="M346" s="34" t="s">
        <v>70</v>
      </c>
      <c r="N346" s="34"/>
      <c r="O346" s="33">
        <v>70</v>
      </c>
      <c r="P346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6" s="394"/>
      <c r="R346" s="394"/>
      <c r="S346" s="394"/>
      <c r="T346" s="395"/>
      <c r="U346" s="35"/>
      <c r="V346" s="35"/>
      <c r="W346" s="36" t="s">
        <v>71</v>
      </c>
      <c r="X346" s="389">
        <v>0</v>
      </c>
      <c r="Y346" s="390">
        <f t="shared" si="35"/>
        <v>0</v>
      </c>
      <c r="Z346" s="37" t="str">
        <f>IFERROR(IF(Y346=0,"",ROUNDUP(Y346/H346,0)*0.00902),"")</f>
        <v/>
      </c>
      <c r="AA346" s="57"/>
      <c r="AB346" s="58"/>
      <c r="AC346" s="374" t="s">
        <v>522</v>
      </c>
      <c r="AG346" s="65"/>
      <c r="AJ346" s="69"/>
      <c r="AK346" s="69">
        <v>0</v>
      </c>
      <c r="BB346" s="375" t="s">
        <v>1</v>
      </c>
      <c r="BM346" s="65">
        <f t="shared" si="36"/>
        <v>0</v>
      </c>
      <c r="BN346" s="65">
        <f t="shared" si="37"/>
        <v>0</v>
      </c>
      <c r="BO346" s="65">
        <f t="shared" si="38"/>
        <v>0</v>
      </c>
      <c r="BP346" s="65">
        <f t="shared" si="39"/>
        <v>0</v>
      </c>
    </row>
    <row r="347" spans="1:68" ht="27" customHeight="1" x14ac:dyDescent="0.25">
      <c r="A347" s="55" t="s">
        <v>530</v>
      </c>
      <c r="B347" s="55" t="s">
        <v>531</v>
      </c>
      <c r="C347" s="32">
        <v>4301031417</v>
      </c>
      <c r="D347" s="397">
        <v>4680115882096</v>
      </c>
      <c r="E347" s="398"/>
      <c r="F347" s="388">
        <v>0.6</v>
      </c>
      <c r="G347" s="33">
        <v>8</v>
      </c>
      <c r="H347" s="388">
        <v>4.8</v>
      </c>
      <c r="I347" s="388">
        <v>6.69</v>
      </c>
      <c r="J347" s="33">
        <v>132</v>
      </c>
      <c r="K347" s="33" t="s">
        <v>94</v>
      </c>
      <c r="L347" s="33"/>
      <c r="M347" s="34" t="s">
        <v>70</v>
      </c>
      <c r="N347" s="34"/>
      <c r="O347" s="33">
        <v>70</v>
      </c>
      <c r="P347" s="6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47" s="394"/>
      <c r="R347" s="394"/>
      <c r="S347" s="394"/>
      <c r="T347" s="395"/>
      <c r="U347" s="35"/>
      <c r="V347" s="35"/>
      <c r="W347" s="36" t="s">
        <v>71</v>
      </c>
      <c r="X347" s="389">
        <v>0</v>
      </c>
      <c r="Y347" s="390">
        <f t="shared" si="35"/>
        <v>0</v>
      </c>
      <c r="Z347" s="37" t="str">
        <f>IFERROR(IF(Y347=0,"",ROUNDUP(Y347/H347,0)*0.00902),"")</f>
        <v/>
      </c>
      <c r="AA347" s="57"/>
      <c r="AB347" s="58"/>
      <c r="AC347" s="376" t="s">
        <v>525</v>
      </c>
      <c r="AG347" s="65"/>
      <c r="AJ347" s="69"/>
      <c r="AK347" s="69">
        <v>0</v>
      </c>
      <c r="BB347" s="377" t="s">
        <v>1</v>
      </c>
      <c r="BM347" s="65">
        <f t="shared" si="36"/>
        <v>0</v>
      </c>
      <c r="BN347" s="65">
        <f t="shared" si="37"/>
        <v>0</v>
      </c>
      <c r="BO347" s="65">
        <f t="shared" si="38"/>
        <v>0</v>
      </c>
      <c r="BP347" s="65">
        <f t="shared" si="39"/>
        <v>0</v>
      </c>
    </row>
    <row r="348" spans="1:68" x14ac:dyDescent="0.2">
      <c r="A348" s="418"/>
      <c r="B348" s="408"/>
      <c r="C348" s="408"/>
      <c r="D348" s="408"/>
      <c r="E348" s="408"/>
      <c r="F348" s="408"/>
      <c r="G348" s="408"/>
      <c r="H348" s="408"/>
      <c r="I348" s="408"/>
      <c r="J348" s="408"/>
      <c r="K348" s="408"/>
      <c r="L348" s="408"/>
      <c r="M348" s="408"/>
      <c r="N348" s="408"/>
      <c r="O348" s="419"/>
      <c r="P348" s="401" t="s">
        <v>76</v>
      </c>
      <c r="Q348" s="402"/>
      <c r="R348" s="402"/>
      <c r="S348" s="402"/>
      <c r="T348" s="402"/>
      <c r="U348" s="402"/>
      <c r="V348" s="403"/>
      <c r="W348" s="38" t="s">
        <v>77</v>
      </c>
      <c r="X348" s="391">
        <f>IFERROR(X342/H342,"0")+IFERROR(X343/H343,"0")+IFERROR(X344/H344,"0")+IFERROR(X345/H345,"0")+IFERROR(X346/H346,"0")+IFERROR(X347/H347,"0")</f>
        <v>47.348484848484844</v>
      </c>
      <c r="Y348" s="391">
        <f>IFERROR(Y342/H342,"0")+IFERROR(Y343/H343,"0")+IFERROR(Y344/H344,"0")+IFERROR(Y345/H345,"0")+IFERROR(Y346/H346,"0")+IFERROR(Y347/H347,"0")</f>
        <v>48</v>
      </c>
      <c r="Z348" s="391">
        <f>IFERROR(IF(Z342="",0,Z342),"0")+IFERROR(IF(Z343="",0,Z343),"0")+IFERROR(IF(Z344="",0,Z344),"0")+IFERROR(IF(Z345="",0,Z345),"0")+IFERROR(IF(Z346="",0,Z346),"0")+IFERROR(IF(Z347="",0,Z347),"0")</f>
        <v>0.57407999999999992</v>
      </c>
      <c r="AA348" s="392"/>
      <c r="AB348" s="392"/>
      <c r="AC348" s="392"/>
    </row>
    <row r="349" spans="1:68" x14ac:dyDescent="0.2">
      <c r="A349" s="408"/>
      <c r="B349" s="408"/>
      <c r="C349" s="408"/>
      <c r="D349" s="408"/>
      <c r="E349" s="408"/>
      <c r="F349" s="408"/>
      <c r="G349" s="408"/>
      <c r="H349" s="408"/>
      <c r="I349" s="408"/>
      <c r="J349" s="408"/>
      <c r="K349" s="408"/>
      <c r="L349" s="408"/>
      <c r="M349" s="408"/>
      <c r="N349" s="408"/>
      <c r="O349" s="419"/>
      <c r="P349" s="401" t="s">
        <v>76</v>
      </c>
      <c r="Q349" s="402"/>
      <c r="R349" s="402"/>
      <c r="S349" s="402"/>
      <c r="T349" s="402"/>
      <c r="U349" s="402"/>
      <c r="V349" s="403"/>
      <c r="W349" s="38" t="s">
        <v>71</v>
      </c>
      <c r="X349" s="391">
        <f>IFERROR(SUM(X342:X347),"0")</f>
        <v>250</v>
      </c>
      <c r="Y349" s="391">
        <f>IFERROR(SUM(Y342:Y347),"0")</f>
        <v>253.44</v>
      </c>
      <c r="Z349" s="38"/>
      <c r="AA349" s="392"/>
      <c r="AB349" s="392"/>
      <c r="AC349" s="392"/>
    </row>
    <row r="350" spans="1:68" ht="14.25" customHeight="1" x14ac:dyDescent="0.25">
      <c r="A350" s="410" t="s">
        <v>66</v>
      </c>
      <c r="B350" s="408"/>
      <c r="C350" s="408"/>
      <c r="D350" s="408"/>
      <c r="E350" s="408"/>
      <c r="F350" s="408"/>
      <c r="G350" s="408"/>
      <c r="H350" s="408"/>
      <c r="I350" s="408"/>
      <c r="J350" s="408"/>
      <c r="K350" s="408"/>
      <c r="L350" s="408"/>
      <c r="M350" s="408"/>
      <c r="N350" s="408"/>
      <c r="O350" s="408"/>
      <c r="P350" s="408"/>
      <c r="Q350" s="408"/>
      <c r="R350" s="408"/>
      <c r="S350" s="408"/>
      <c r="T350" s="408"/>
      <c r="U350" s="408"/>
      <c r="V350" s="408"/>
      <c r="W350" s="408"/>
      <c r="X350" s="408"/>
      <c r="Y350" s="408"/>
      <c r="Z350" s="408"/>
      <c r="AA350" s="383"/>
      <c r="AB350" s="383"/>
      <c r="AC350" s="383"/>
    </row>
    <row r="351" spans="1:68" ht="16.5" customHeight="1" x14ac:dyDescent="0.25">
      <c r="A351" s="55" t="s">
        <v>532</v>
      </c>
      <c r="B351" s="55" t="s">
        <v>533</v>
      </c>
      <c r="C351" s="32">
        <v>4301051232</v>
      </c>
      <c r="D351" s="397">
        <v>4607091383409</v>
      </c>
      <c r="E351" s="398"/>
      <c r="F351" s="388">
        <v>1.3</v>
      </c>
      <c r="G351" s="33">
        <v>6</v>
      </c>
      <c r="H351" s="388">
        <v>7.8</v>
      </c>
      <c r="I351" s="388">
        <v>8.3010000000000002</v>
      </c>
      <c r="J351" s="33">
        <v>64</v>
      </c>
      <c r="K351" s="33" t="s">
        <v>89</v>
      </c>
      <c r="L351" s="33"/>
      <c r="M351" s="34" t="s">
        <v>95</v>
      </c>
      <c r="N351" s="34"/>
      <c r="O351" s="33">
        <v>45</v>
      </c>
      <c r="P351" s="4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1" s="394"/>
      <c r="R351" s="394"/>
      <c r="S351" s="394"/>
      <c r="T351" s="395"/>
      <c r="U351" s="35"/>
      <c r="V351" s="35"/>
      <c r="W351" s="36" t="s">
        <v>71</v>
      </c>
      <c r="X351" s="389">
        <v>0</v>
      </c>
      <c r="Y351" s="390">
        <f>IFERROR(IF(X351="",0,CEILING((X351/$H351),1)*$H351),"")</f>
        <v>0</v>
      </c>
      <c r="Z351" s="37" t="str">
        <f>IFERROR(IF(Y351=0,"",ROUNDUP(Y351/H351,0)*0.01898),"")</f>
        <v/>
      </c>
      <c r="AA351" s="57"/>
      <c r="AB351" s="58"/>
      <c r="AC351" s="378" t="s">
        <v>534</v>
      </c>
      <c r="AG351" s="65"/>
      <c r="AJ351" s="69"/>
      <c r="AK351" s="69">
        <v>0</v>
      </c>
      <c r="BB351" s="379" t="s">
        <v>1</v>
      </c>
      <c r="BM351" s="65">
        <f>IFERROR(X351*I351/H351,"0")</f>
        <v>0</v>
      </c>
      <c r="BN351" s="65">
        <f>IFERROR(Y351*I351/H351,"0")</f>
        <v>0</v>
      </c>
      <c r="BO351" s="65">
        <f>IFERROR(1/J351*(X351/H351),"0")</f>
        <v>0</v>
      </c>
      <c r="BP351" s="65">
        <f>IFERROR(1/J351*(Y351/H351),"0")</f>
        <v>0</v>
      </c>
    </row>
    <row r="352" spans="1:68" ht="16.5" customHeight="1" x14ac:dyDescent="0.25">
      <c r="A352" s="55" t="s">
        <v>535</v>
      </c>
      <c r="B352" s="55" t="s">
        <v>536</v>
      </c>
      <c r="C352" s="32">
        <v>4301051233</v>
      </c>
      <c r="D352" s="397">
        <v>4607091383416</v>
      </c>
      <c r="E352" s="398"/>
      <c r="F352" s="388">
        <v>1.3</v>
      </c>
      <c r="G352" s="33">
        <v>6</v>
      </c>
      <c r="H352" s="388">
        <v>7.8</v>
      </c>
      <c r="I352" s="388">
        <v>8.3010000000000002</v>
      </c>
      <c r="J352" s="33">
        <v>64</v>
      </c>
      <c r="K352" s="33" t="s">
        <v>89</v>
      </c>
      <c r="L352" s="33"/>
      <c r="M352" s="34" t="s">
        <v>95</v>
      </c>
      <c r="N352" s="34"/>
      <c r="O352" s="33">
        <v>45</v>
      </c>
      <c r="P352" s="47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2" s="394"/>
      <c r="R352" s="394"/>
      <c r="S352" s="394"/>
      <c r="T352" s="395"/>
      <c r="U352" s="35"/>
      <c r="V352" s="35"/>
      <c r="W352" s="36" t="s">
        <v>71</v>
      </c>
      <c r="X352" s="389">
        <v>75</v>
      </c>
      <c r="Y352" s="390">
        <f>IFERROR(IF(X352="",0,CEILING((X352/$H352),1)*$H352),"")</f>
        <v>78</v>
      </c>
      <c r="Z352" s="37">
        <f>IFERROR(IF(Y352=0,"",ROUNDUP(Y352/H352,0)*0.01898),"")</f>
        <v>0.1898</v>
      </c>
      <c r="AA352" s="57"/>
      <c r="AB352" s="58"/>
      <c r="AC352" s="380" t="s">
        <v>537</v>
      </c>
      <c r="AG352" s="65"/>
      <c r="AJ352" s="69"/>
      <c r="AK352" s="69">
        <v>0</v>
      </c>
      <c r="BB352" s="381" t="s">
        <v>1</v>
      </c>
      <c r="BM352" s="65">
        <f>IFERROR(X352*I352/H352,"0")</f>
        <v>79.817307692307693</v>
      </c>
      <c r="BN352" s="65">
        <f>IFERROR(Y352*I352/H352,"0")</f>
        <v>83.01</v>
      </c>
      <c r="BO352" s="65">
        <f>IFERROR(1/J352*(X352/H352),"0")</f>
        <v>0.15024038461538461</v>
      </c>
      <c r="BP352" s="65">
        <f>IFERROR(1/J352*(Y352/H352),"0")</f>
        <v>0.15625</v>
      </c>
    </row>
    <row r="353" spans="1:32" x14ac:dyDescent="0.2">
      <c r="A353" s="418"/>
      <c r="B353" s="408"/>
      <c r="C353" s="408"/>
      <c r="D353" s="408"/>
      <c r="E353" s="408"/>
      <c r="F353" s="408"/>
      <c r="G353" s="408"/>
      <c r="H353" s="408"/>
      <c r="I353" s="408"/>
      <c r="J353" s="408"/>
      <c r="K353" s="408"/>
      <c r="L353" s="408"/>
      <c r="M353" s="408"/>
      <c r="N353" s="408"/>
      <c r="O353" s="419"/>
      <c r="P353" s="401" t="s">
        <v>76</v>
      </c>
      <c r="Q353" s="402"/>
      <c r="R353" s="402"/>
      <c r="S353" s="402"/>
      <c r="T353" s="402"/>
      <c r="U353" s="402"/>
      <c r="V353" s="403"/>
      <c r="W353" s="38" t="s">
        <v>77</v>
      </c>
      <c r="X353" s="391">
        <f>IFERROR(X351/H351,"0")+IFERROR(X352/H352,"0")</f>
        <v>9.615384615384615</v>
      </c>
      <c r="Y353" s="391">
        <f>IFERROR(Y351/H351,"0")+IFERROR(Y352/H352,"0")</f>
        <v>10</v>
      </c>
      <c r="Z353" s="391">
        <f>IFERROR(IF(Z351="",0,Z351),"0")+IFERROR(IF(Z352="",0,Z352),"0")</f>
        <v>0.1898</v>
      </c>
      <c r="AA353" s="392"/>
      <c r="AB353" s="392"/>
      <c r="AC353" s="392"/>
    </row>
    <row r="354" spans="1:32" x14ac:dyDescent="0.2">
      <c r="A354" s="408"/>
      <c r="B354" s="408"/>
      <c r="C354" s="408"/>
      <c r="D354" s="408"/>
      <c r="E354" s="408"/>
      <c r="F354" s="408"/>
      <c r="G354" s="408"/>
      <c r="H354" s="408"/>
      <c r="I354" s="408"/>
      <c r="J354" s="408"/>
      <c r="K354" s="408"/>
      <c r="L354" s="408"/>
      <c r="M354" s="408"/>
      <c r="N354" s="408"/>
      <c r="O354" s="419"/>
      <c r="P354" s="401" t="s">
        <v>76</v>
      </c>
      <c r="Q354" s="402"/>
      <c r="R354" s="402"/>
      <c r="S354" s="402"/>
      <c r="T354" s="402"/>
      <c r="U354" s="402"/>
      <c r="V354" s="403"/>
      <c r="W354" s="38" t="s">
        <v>71</v>
      </c>
      <c r="X354" s="391">
        <f>IFERROR(SUM(X351:X352),"0")</f>
        <v>75</v>
      </c>
      <c r="Y354" s="391">
        <f>IFERROR(SUM(Y351:Y352),"0")</f>
        <v>78</v>
      </c>
      <c r="Z354" s="38"/>
      <c r="AA354" s="392"/>
      <c r="AB354" s="392"/>
      <c r="AC354" s="392"/>
    </row>
    <row r="355" spans="1:32" ht="15" customHeight="1" x14ac:dyDescent="0.2">
      <c r="A355" s="516"/>
      <c r="B355" s="408"/>
      <c r="C355" s="408"/>
      <c r="D355" s="408"/>
      <c r="E355" s="408"/>
      <c r="F355" s="408"/>
      <c r="G355" s="408"/>
      <c r="H355" s="408"/>
      <c r="I355" s="408"/>
      <c r="J355" s="408"/>
      <c r="K355" s="408"/>
      <c r="L355" s="408"/>
      <c r="M355" s="408"/>
      <c r="N355" s="408"/>
      <c r="O355" s="517"/>
      <c r="P355" s="462" t="s">
        <v>538</v>
      </c>
      <c r="Q355" s="463"/>
      <c r="R355" s="463"/>
      <c r="S355" s="463"/>
      <c r="T355" s="463"/>
      <c r="U355" s="463"/>
      <c r="V355" s="464"/>
      <c r="W355" s="38" t="s">
        <v>71</v>
      </c>
      <c r="X355" s="391">
        <f>IFERROR(X25+X29+X37+X47+X53+X58+X64+X70+X78+X84+X90+X94+X100+X106+X119+X125+X129+X135+X140+X147+X158+X162+X174+X183+X189+X194+X199+X204+X213+X222+X230+X236+X243+X249+X255+X266+X271+X276+X280+X287+X291+X296+X300+X309+X314+X319+X323+X335+X340+X349+X354,"0")</f>
        <v>6931</v>
      </c>
      <c r="Y355" s="391">
        <f>IFERROR(Y25+Y29+Y37+Y47+Y53+Y58+Y64+Y70+Y78+Y84+Y90+Y94+Y100+Y106+Y119+Y125+Y129+Y135+Y140+Y147+Y158+Y162+Y174+Y183+Y189+Y194+Y199+Y204+Y213+Y222+Y230+Y236+Y243+Y249+Y255+Y266+Y271+Y276+Y280+Y287+Y291+Y296+Y300+Y309+Y314+Y319+Y323+Y335+Y340+Y349+Y354,"0")</f>
        <v>7022.7999999999993</v>
      </c>
      <c r="Z355" s="38"/>
      <c r="AA355" s="392"/>
      <c r="AB355" s="392"/>
      <c r="AC355" s="392"/>
    </row>
    <row r="356" spans="1:32" x14ac:dyDescent="0.2">
      <c r="A356" s="408"/>
      <c r="B356" s="408"/>
      <c r="C356" s="408"/>
      <c r="D356" s="408"/>
      <c r="E356" s="408"/>
      <c r="F356" s="408"/>
      <c r="G356" s="408"/>
      <c r="H356" s="408"/>
      <c r="I356" s="408"/>
      <c r="J356" s="408"/>
      <c r="K356" s="408"/>
      <c r="L356" s="408"/>
      <c r="M356" s="408"/>
      <c r="N356" s="408"/>
      <c r="O356" s="517"/>
      <c r="P356" s="462" t="s">
        <v>539</v>
      </c>
      <c r="Q356" s="463"/>
      <c r="R356" s="463"/>
      <c r="S356" s="463"/>
      <c r="T356" s="463"/>
      <c r="U356" s="463"/>
      <c r="V356" s="464"/>
      <c r="W356" s="38" t="s">
        <v>71</v>
      </c>
      <c r="X356" s="391">
        <f>IFERROR(SUM(BM22:BM352),"0")</f>
        <v>7319.9356695124807</v>
      </c>
      <c r="Y356" s="391">
        <f>IFERROR(SUM(BN22:BN352),"0")</f>
        <v>7416.5879999999997</v>
      </c>
      <c r="Z356" s="38"/>
      <c r="AA356" s="392"/>
      <c r="AB356" s="392"/>
      <c r="AC356" s="392"/>
    </row>
    <row r="357" spans="1:32" x14ac:dyDescent="0.2">
      <c r="A357" s="408"/>
      <c r="B357" s="408"/>
      <c r="C357" s="408"/>
      <c r="D357" s="408"/>
      <c r="E357" s="408"/>
      <c r="F357" s="408"/>
      <c r="G357" s="408"/>
      <c r="H357" s="408"/>
      <c r="I357" s="408"/>
      <c r="J357" s="408"/>
      <c r="K357" s="408"/>
      <c r="L357" s="408"/>
      <c r="M357" s="408"/>
      <c r="N357" s="408"/>
      <c r="O357" s="517"/>
      <c r="P357" s="462" t="s">
        <v>540</v>
      </c>
      <c r="Q357" s="463"/>
      <c r="R357" s="463"/>
      <c r="S357" s="463"/>
      <c r="T357" s="463"/>
      <c r="U357" s="463"/>
      <c r="V357" s="464"/>
      <c r="W357" s="38" t="s">
        <v>541</v>
      </c>
      <c r="X357" s="39">
        <f>ROUNDUP(SUM(BO22:BO352),0)</f>
        <v>13</v>
      </c>
      <c r="Y357" s="39">
        <f>ROUNDUP(SUM(BP22:BP352),0)</f>
        <v>13</v>
      </c>
      <c r="Z357" s="38"/>
      <c r="AA357" s="392"/>
      <c r="AB357" s="392"/>
      <c r="AC357" s="392"/>
    </row>
    <row r="358" spans="1:32" x14ac:dyDescent="0.2">
      <c r="A358" s="408"/>
      <c r="B358" s="408"/>
      <c r="C358" s="408"/>
      <c r="D358" s="408"/>
      <c r="E358" s="408"/>
      <c r="F358" s="408"/>
      <c r="G358" s="408"/>
      <c r="H358" s="408"/>
      <c r="I358" s="408"/>
      <c r="J358" s="408"/>
      <c r="K358" s="408"/>
      <c r="L358" s="408"/>
      <c r="M358" s="408"/>
      <c r="N358" s="408"/>
      <c r="O358" s="517"/>
      <c r="P358" s="462" t="s">
        <v>542</v>
      </c>
      <c r="Q358" s="463"/>
      <c r="R358" s="463"/>
      <c r="S358" s="463"/>
      <c r="T358" s="463"/>
      <c r="U358" s="463"/>
      <c r="V358" s="464"/>
      <c r="W358" s="38" t="s">
        <v>71</v>
      </c>
      <c r="X358" s="391">
        <f>GrossWeightTotal+PalletQtyTotal*25</f>
        <v>7644.9356695124807</v>
      </c>
      <c r="Y358" s="391">
        <f>GrossWeightTotalR+PalletQtyTotalR*25</f>
        <v>7741.5879999999997</v>
      </c>
      <c r="Z358" s="38"/>
      <c r="AA358" s="392"/>
      <c r="AB358" s="392"/>
      <c r="AC358" s="392"/>
    </row>
    <row r="359" spans="1:32" x14ac:dyDescent="0.2">
      <c r="A359" s="408"/>
      <c r="B359" s="408"/>
      <c r="C359" s="408"/>
      <c r="D359" s="408"/>
      <c r="E359" s="408"/>
      <c r="F359" s="408"/>
      <c r="G359" s="408"/>
      <c r="H359" s="408"/>
      <c r="I359" s="408"/>
      <c r="J359" s="408"/>
      <c r="K359" s="408"/>
      <c r="L359" s="408"/>
      <c r="M359" s="408"/>
      <c r="N359" s="408"/>
      <c r="O359" s="517"/>
      <c r="P359" s="462" t="s">
        <v>543</v>
      </c>
      <c r="Q359" s="463"/>
      <c r="R359" s="463"/>
      <c r="S359" s="463"/>
      <c r="T359" s="463"/>
      <c r="U359" s="463"/>
      <c r="V359" s="464"/>
      <c r="W359" s="38" t="s">
        <v>541</v>
      </c>
      <c r="X359" s="391">
        <f>IFERROR(X24+X28+X36+X46+X52+X57+X63+X69+X77+X83+X89+X93+X99+X105+X118+X124+X128+X134+X139+X146+X157+X161+X173+X182+X188+X193+X198+X203+X212+X221+X229+X235+X242+X248+X254+X265+X270+X275+X279+X286+X290+X295+X299+X308+X313+X318+X322+X334+X339+X348+X353,"0")</f>
        <v>1194.4846367978553</v>
      </c>
      <c r="Y359" s="391">
        <f>IFERROR(Y24+Y28+Y36+Y46+Y52+Y57+Y63+Y69+Y77+Y83+Y89+Y93+Y99+Y105+Y118+Y124+Y128+Y134+Y139+Y146+Y157+Y161+Y173+Y182+Y188+Y193+Y198+Y203+Y212+Y221+Y229+Y235+Y242+Y248+Y254+Y265+Y270+Y275+Y279+Y286+Y290+Y295+Y299+Y308+Y313+Y318+Y322+Y334+Y339+Y348+Y353,"0")</f>
        <v>1209</v>
      </c>
      <c r="Z359" s="38"/>
      <c r="AA359" s="392"/>
      <c r="AB359" s="392"/>
      <c r="AC359" s="392"/>
    </row>
    <row r="360" spans="1:32" ht="14.25" customHeight="1" x14ac:dyDescent="0.2">
      <c r="A360" s="408"/>
      <c r="B360" s="408"/>
      <c r="C360" s="408"/>
      <c r="D360" s="408"/>
      <c r="E360" s="408"/>
      <c r="F360" s="408"/>
      <c r="G360" s="408"/>
      <c r="H360" s="408"/>
      <c r="I360" s="408"/>
      <c r="J360" s="408"/>
      <c r="K360" s="408"/>
      <c r="L360" s="408"/>
      <c r="M360" s="408"/>
      <c r="N360" s="408"/>
      <c r="O360" s="517"/>
      <c r="P360" s="462" t="s">
        <v>544</v>
      </c>
      <c r="Q360" s="463"/>
      <c r="R360" s="463"/>
      <c r="S360" s="463"/>
      <c r="T360" s="463"/>
      <c r="U360" s="463"/>
      <c r="V360" s="464"/>
      <c r="W360" s="40" t="s">
        <v>545</v>
      </c>
      <c r="X360" s="38"/>
      <c r="Y360" s="38"/>
      <c r="Z360" s="38">
        <f>IFERROR(Z24+Z28+Z36+Z46+Z52+Z57+Z63+Z69+Z77+Z83+Z89+Z93+Z99+Z105+Z118+Z124+Z128+Z134+Z139+Z146+Z157+Z161+Z173+Z182+Z188+Z193+Z198+Z203+Z212+Z221+Z229+Z235+Z242+Z248+Z254+Z265+Z270+Z275+Z279+Z286+Z290+Z295+Z299+Z308+Z313+Z318+Z322+Z334+Z339+Z348+Z353,"0")</f>
        <v>14.587669999999999</v>
      </c>
      <c r="AA360" s="392"/>
      <c r="AB360" s="392"/>
      <c r="AC360" s="392"/>
    </row>
    <row r="361" spans="1:32" ht="13.5" customHeight="1" thickBot="1" x14ac:dyDescent="0.25"/>
    <row r="362" spans="1:32" ht="27" customHeight="1" thickTop="1" thickBot="1" x14ac:dyDescent="0.25">
      <c r="A362" s="41" t="s">
        <v>546</v>
      </c>
      <c r="B362" s="382" t="s">
        <v>65</v>
      </c>
      <c r="C362" s="404" t="s">
        <v>84</v>
      </c>
      <c r="D362" s="422"/>
      <c r="E362" s="422"/>
      <c r="F362" s="422"/>
      <c r="G362" s="423"/>
      <c r="H362" s="404" t="s">
        <v>192</v>
      </c>
      <c r="I362" s="422"/>
      <c r="J362" s="422"/>
      <c r="K362" s="422"/>
      <c r="L362" s="422"/>
      <c r="M362" s="422"/>
      <c r="N362" s="422"/>
      <c r="O362" s="422"/>
      <c r="P362" s="422"/>
      <c r="Q362" s="422"/>
      <c r="R362" s="423"/>
      <c r="S362" s="404" t="s">
        <v>414</v>
      </c>
      <c r="T362" s="423"/>
      <c r="U362" s="404" t="s">
        <v>467</v>
      </c>
      <c r="V362" s="423"/>
      <c r="W362" s="382" t="s">
        <v>492</v>
      </c>
      <c r="AB362" s="53"/>
      <c r="AC362" s="53"/>
      <c r="AF362" s="384"/>
    </row>
    <row r="363" spans="1:32" ht="14.25" customHeight="1" thickTop="1" x14ac:dyDescent="0.2">
      <c r="A363" s="547" t="s">
        <v>547</v>
      </c>
      <c r="B363" s="404" t="s">
        <v>65</v>
      </c>
      <c r="C363" s="404" t="s">
        <v>85</v>
      </c>
      <c r="D363" s="404" t="s">
        <v>98</v>
      </c>
      <c r="E363" s="404" t="s">
        <v>132</v>
      </c>
      <c r="F363" s="404" t="s">
        <v>147</v>
      </c>
      <c r="G363" s="404" t="s">
        <v>84</v>
      </c>
      <c r="H363" s="404" t="s">
        <v>193</v>
      </c>
      <c r="I363" s="404" t="s">
        <v>227</v>
      </c>
      <c r="J363" s="404" t="s">
        <v>273</v>
      </c>
      <c r="K363" s="404" t="s">
        <v>294</v>
      </c>
      <c r="L363" s="404" t="s">
        <v>310</v>
      </c>
      <c r="M363" s="404" t="s">
        <v>317</v>
      </c>
      <c r="N363" s="384"/>
      <c r="O363" s="404" t="s">
        <v>321</v>
      </c>
      <c r="P363" s="404" t="s">
        <v>325</v>
      </c>
      <c r="Q363" s="404" t="s">
        <v>330</v>
      </c>
      <c r="R363" s="404" t="s">
        <v>407</v>
      </c>
      <c r="S363" s="404" t="s">
        <v>415</v>
      </c>
      <c r="T363" s="404" t="s">
        <v>447</v>
      </c>
      <c r="U363" s="404" t="s">
        <v>468</v>
      </c>
      <c r="V363" s="404" t="s">
        <v>485</v>
      </c>
      <c r="W363" s="404" t="s">
        <v>492</v>
      </c>
      <c r="AB363" s="53"/>
      <c r="AC363" s="53"/>
      <c r="AF363" s="384"/>
    </row>
    <row r="364" spans="1:32" ht="13.5" customHeight="1" thickBot="1" x14ac:dyDescent="0.25">
      <c r="A364" s="548"/>
      <c r="B364" s="405"/>
      <c r="C364" s="405"/>
      <c r="D364" s="405"/>
      <c r="E364" s="405"/>
      <c r="F364" s="405"/>
      <c r="G364" s="405"/>
      <c r="H364" s="405"/>
      <c r="I364" s="405"/>
      <c r="J364" s="405"/>
      <c r="K364" s="405"/>
      <c r="L364" s="405"/>
      <c r="M364" s="405"/>
      <c r="N364" s="384"/>
      <c r="O364" s="405"/>
      <c r="P364" s="405"/>
      <c r="Q364" s="405"/>
      <c r="R364" s="405"/>
      <c r="S364" s="405"/>
      <c r="T364" s="405"/>
      <c r="U364" s="405"/>
      <c r="V364" s="405"/>
      <c r="W364" s="405"/>
      <c r="AB364" s="53"/>
      <c r="AC364" s="53"/>
      <c r="AF364" s="384"/>
    </row>
    <row r="365" spans="1:32" ht="18" customHeight="1" thickTop="1" thickBot="1" x14ac:dyDescent="0.25">
      <c r="A365" s="41" t="s">
        <v>548</v>
      </c>
      <c r="B365" s="47">
        <f>IFERROR(Y22*1,"0")+IFERROR(Y23*1,"0")+IFERROR(Y27*1,"0")</f>
        <v>0</v>
      </c>
      <c r="C365" s="47">
        <f>IFERROR(Y33*1,"0")+IFERROR(Y34*1,"0")+IFERROR(Y35*1,"0")</f>
        <v>76</v>
      </c>
      <c r="D365" s="47">
        <f>IFERROR(Y40*1,"0")+IFERROR(Y41*1,"0")+IFERROR(Y42*1,"0")+IFERROR(Y43*1,"0")+IFERROR(Y44*1,"0")+IFERROR(Y45*1,"0")+IFERROR(Y49*1,"0")+IFERROR(Y50*1,"0")+IFERROR(Y51*1,"0")+IFERROR(Y55*1,"0")+IFERROR(Y56*1,"0")</f>
        <v>98.1</v>
      </c>
      <c r="E365" s="47">
        <f>IFERROR(Y61*1,"0")+IFERROR(Y62*1,"0")+IFERROR(Y66*1,"0")+IFERROR(Y67*1,"0")+IFERROR(Y68*1,"0")</f>
        <v>97.199999999999989</v>
      </c>
      <c r="F365" s="47">
        <f>IFERROR(Y73*1,"0")+IFERROR(Y74*1,"0")+IFERROR(Y75*1,"0")+IFERROR(Y76*1,"0")+IFERROR(Y80*1,"0")+IFERROR(Y81*1,"0")+IFERROR(Y82*1,"0")+IFERROR(Y86*1,"0")+IFERROR(Y87*1,"0")+IFERROR(Y88*1,"0")+IFERROR(Y92*1,"0")</f>
        <v>814.5</v>
      </c>
      <c r="G365" s="47">
        <f>IFERROR(Y97*1,"0")+IFERROR(Y98*1,"0")+IFERROR(Y102*1,"0")+IFERROR(Y103*1,"0")+IFERROR(Y104*1,"0")</f>
        <v>0</v>
      </c>
      <c r="H365" s="47">
        <f>IFERROR(Y110*1,"0")+IFERROR(Y111*1,"0")+IFERROR(Y112*1,"0")+IFERROR(Y113*1,"0")+IFERROR(Y114*1,"0")+IFERROR(Y115*1,"0")+IFERROR(Y116*1,"0")+IFERROR(Y117*1,"0")+IFERROR(Y121*1,"0")+IFERROR(Y122*1,"0")+IFERROR(Y123*1,"0")+IFERROR(Y127*1,"0")</f>
        <v>516.6</v>
      </c>
      <c r="I365" s="47">
        <f>IFERROR(Y132*1,"0")+IFERROR(Y133*1,"0")+IFERROR(Y137*1,"0")+IFERROR(Y138*1,"0")+IFERROR(Y142*1,"0")+IFERROR(Y143*1,"0")+IFERROR(Y144*1,"0")+IFERROR(Y145*1,"0")+IFERROR(Y149*1,"0")+IFERROR(Y150*1,"0")+IFERROR(Y151*1,"0")+IFERROR(Y152*1,"0")+IFERROR(Y153*1,"0")+IFERROR(Y154*1,"0")+IFERROR(Y155*1,"0")+IFERROR(Y156*1,"0")+IFERROR(Y160*1,"0")</f>
        <v>748.49999999999989</v>
      </c>
      <c r="J365" s="47">
        <f>IFERROR(Y165*1,"0")+IFERROR(Y166*1,"0")+IFERROR(Y167*1,"0")+IFERROR(Y168*1,"0")+IFERROR(Y169*1,"0")+IFERROR(Y170*1,"0")+IFERROR(Y171*1,"0")+IFERROR(Y172*1,"0")</f>
        <v>0</v>
      </c>
      <c r="K365" s="47">
        <f>IFERROR(Y177*1,"0")+IFERROR(Y178*1,"0")+IFERROR(Y179*1,"0")+IFERROR(Y180*1,"0")+IFERROR(Y181*1,"0")</f>
        <v>68</v>
      </c>
      <c r="L365" s="47">
        <f>IFERROR(Y186*1,"0")+IFERROR(Y187*1,"0")</f>
        <v>0</v>
      </c>
      <c r="M365" s="47">
        <f>IFERROR(Y192*1,"0")</f>
        <v>0</v>
      </c>
      <c r="N365" s="384"/>
      <c r="O365" s="47">
        <f>IFERROR(Y197*1,"0")</f>
        <v>0</v>
      </c>
      <c r="P365" s="47">
        <f>IFERROR(Y202*1,"0")</f>
        <v>0</v>
      </c>
      <c r="Q365" s="47">
        <f>IFERROR(Y207*1,"0")+IFERROR(Y208*1,"0")+IFERROR(Y209*1,"0")+IFERROR(Y210*1,"0")+IFERROR(Y211*1,"0")+IFERROR(Y215*1,"0")+IFERROR(Y216*1,"0")+IFERROR(Y217*1,"0")+IFERROR(Y218*1,"0")+IFERROR(Y219*1,"0")+IFERROR(Y220*1,"0")+IFERROR(Y224*1,"0")+IFERROR(Y225*1,"0")+IFERROR(Y226*1,"0")+IFERROR(Y227*1,"0")+IFERROR(Y228*1,"0")+IFERROR(Y232*1,"0")+IFERROR(Y233*1,"0")+IFERROR(Y234*1,"0")+IFERROR(Y238*1,"0")+IFERROR(Y239*1,"0")+IFERROR(Y240*1,"0")+IFERROR(Y241*1,"0")+IFERROR(Y245*1,"0")+IFERROR(Y246*1,"0")+IFERROR(Y247*1,"0")</f>
        <v>0</v>
      </c>
      <c r="R365" s="47">
        <f>IFERROR(Y252*1,"0")+IFERROR(Y253*1,"0")</f>
        <v>35.700000000000003</v>
      </c>
      <c r="S365" s="47">
        <f>IFERROR(Y259*1,"0")+IFERROR(Y260*1,"0")+IFERROR(Y261*1,"0")+IFERROR(Y262*1,"0")+IFERROR(Y263*1,"0")+IFERROR(Y264*1,"0")+IFERROR(Y268*1,"0")+IFERROR(Y269*1,"0")+IFERROR(Y273*1,"0")+IFERROR(Y274*1,"0")+IFERROR(Y278*1,"0")</f>
        <v>996</v>
      </c>
      <c r="T365" s="47">
        <f>IFERROR(Y283*1,"0")+IFERROR(Y284*1,"0")+IFERROR(Y285*1,"0")+IFERROR(Y289*1,"0")+IFERROR(Y293*1,"0")+IFERROR(Y294*1,"0")+IFERROR(Y298*1,"0")</f>
        <v>2949.4</v>
      </c>
      <c r="U365" s="47">
        <f>IFERROR(Y304*1,"0")+IFERROR(Y305*1,"0")+IFERROR(Y306*1,"0")+IFERROR(Y307*1,"0")+IFERROR(Y311*1,"0")+IFERROR(Y312*1,"0")</f>
        <v>16.8</v>
      </c>
      <c r="V365" s="47">
        <f>IFERROR(Y317*1,"0")+IFERROR(Y321*1,"0")</f>
        <v>0</v>
      </c>
      <c r="W365" s="47">
        <f>IFERROR(Y327*1,"0")+IFERROR(Y328*1,"0")+IFERROR(Y329*1,"0")+IFERROR(Y330*1,"0")+IFERROR(Y331*1,"0")+IFERROR(Y332*1,"0")+IFERROR(Y333*1,"0")+IFERROR(Y337*1,"0")+IFERROR(Y338*1,"0")+IFERROR(Y342*1,"0")+IFERROR(Y343*1,"0")+IFERROR(Y344*1,"0")+IFERROR(Y345*1,"0")+IFERROR(Y346*1,"0")+IFERROR(Y347*1,"0")+IFERROR(Y351*1,"0")+IFERROR(Y352*1,"0")</f>
        <v>606</v>
      </c>
      <c r="AB365" s="53"/>
      <c r="AC365" s="53"/>
      <c r="AF365" s="384"/>
    </row>
  </sheetData>
  <sheetProtection algorithmName="SHA-512" hashValue="cYpb0iQFJjaRMETmduKBYJhZpVyap0FV21JKGnx26RG/op/cpLs8zvU3e8vnjHczLxsK4TH2h3BblbUn+KUc8Q==" saltValue="C99GH9OaduZXevU7ygK7K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42">
    <mergeCell ref="P356:V356"/>
    <mergeCell ref="P338:T338"/>
    <mergeCell ref="D17:E18"/>
    <mergeCell ref="D344:E344"/>
    <mergeCell ref="A131:Z131"/>
    <mergeCell ref="X17:X18"/>
    <mergeCell ref="D123:E123"/>
    <mergeCell ref="A188:O189"/>
    <mergeCell ref="P202:T202"/>
    <mergeCell ref="D50:E50"/>
    <mergeCell ref="P307:T307"/>
    <mergeCell ref="D110:E110"/>
    <mergeCell ref="D44:E44"/>
    <mergeCell ref="A8:C8"/>
    <mergeCell ref="D293:E293"/>
    <mergeCell ref="D97:E97"/>
    <mergeCell ref="P151:T151"/>
    <mergeCell ref="D268:E268"/>
    <mergeCell ref="A10:C10"/>
    <mergeCell ref="P218:T218"/>
    <mergeCell ref="P69:V69"/>
    <mergeCell ref="P140:V140"/>
    <mergeCell ref="A136:Z136"/>
    <mergeCell ref="A21:Z21"/>
    <mergeCell ref="D121:E121"/>
    <mergeCell ref="D192:E192"/>
    <mergeCell ref="A99:O100"/>
    <mergeCell ref="D42:E42"/>
    <mergeCell ref="Q5:R5"/>
    <mergeCell ref="F17:F18"/>
    <mergeCell ref="P290:V290"/>
    <mergeCell ref="A315:Z315"/>
    <mergeCell ref="D278:E278"/>
    <mergeCell ref="D234:E234"/>
    <mergeCell ref="A24:O25"/>
    <mergeCell ref="P263:T263"/>
    <mergeCell ref="P228:T228"/>
    <mergeCell ref="D171:E171"/>
    <mergeCell ref="P293:T293"/>
    <mergeCell ref="Q6:R6"/>
    <mergeCell ref="A267:Z267"/>
    <mergeCell ref="A124:O125"/>
    <mergeCell ref="A118:O119"/>
    <mergeCell ref="D102:E102"/>
    <mergeCell ref="P294:T294"/>
    <mergeCell ref="D133:E133"/>
    <mergeCell ref="A231:Z231"/>
    <mergeCell ref="A206:Z206"/>
    <mergeCell ref="P308:V308"/>
    <mergeCell ref="V12:W12"/>
    <mergeCell ref="D262:E262"/>
    <mergeCell ref="A265:O266"/>
    <mergeCell ref="P358:V358"/>
    <mergeCell ref="P110:T110"/>
    <mergeCell ref="D218:E218"/>
    <mergeCell ref="P53:V53"/>
    <mergeCell ref="D247:E247"/>
    <mergeCell ref="A320:Z320"/>
    <mergeCell ref="A176:Z176"/>
    <mergeCell ref="R363:R364"/>
    <mergeCell ref="T363:T364"/>
    <mergeCell ref="A257:Z257"/>
    <mergeCell ref="A191:Z191"/>
    <mergeCell ref="P262:T262"/>
    <mergeCell ref="A107:Z107"/>
    <mergeCell ref="P353:V353"/>
    <mergeCell ref="A83:O84"/>
    <mergeCell ref="D170:E170"/>
    <mergeCell ref="D342:E342"/>
    <mergeCell ref="U362:V362"/>
    <mergeCell ref="A310:Z310"/>
    <mergeCell ref="D239:E239"/>
    <mergeCell ref="A279:O280"/>
    <mergeCell ref="P149:T149"/>
    <mergeCell ref="D331:E331"/>
    <mergeCell ref="P296:V296"/>
    <mergeCell ref="AD17:AF18"/>
    <mergeCell ref="D76:E76"/>
    <mergeCell ref="F5:G5"/>
    <mergeCell ref="P67:T67"/>
    <mergeCell ref="P119:V119"/>
    <mergeCell ref="P186:T186"/>
    <mergeCell ref="A36:O37"/>
    <mergeCell ref="S363:S364"/>
    <mergeCell ref="A334:O335"/>
    <mergeCell ref="P82:T82"/>
    <mergeCell ref="A223:Z223"/>
    <mergeCell ref="V11:W11"/>
    <mergeCell ref="P253:T253"/>
    <mergeCell ref="U363:U364"/>
    <mergeCell ref="D165:E165"/>
    <mergeCell ref="P75:T75"/>
    <mergeCell ref="P342:T342"/>
    <mergeCell ref="P317:T317"/>
    <mergeCell ref="D152:E152"/>
    <mergeCell ref="P121:T121"/>
    <mergeCell ref="P181:T181"/>
    <mergeCell ref="D23:E23"/>
    <mergeCell ref="D216:E216"/>
    <mergeCell ref="P344:T344"/>
    <mergeCell ref="P2:W3"/>
    <mergeCell ref="P133:T133"/>
    <mergeCell ref="A57:O58"/>
    <mergeCell ref="P127:T127"/>
    <mergeCell ref="D241:E241"/>
    <mergeCell ref="P298:T298"/>
    <mergeCell ref="P347:T347"/>
    <mergeCell ref="D35:E35"/>
    <mergeCell ref="D228:E228"/>
    <mergeCell ref="D333:E333"/>
    <mergeCell ref="D10:E10"/>
    <mergeCell ref="F10:G10"/>
    <mergeCell ref="D34:E34"/>
    <mergeCell ref="D305:E305"/>
    <mergeCell ref="A308:O309"/>
    <mergeCell ref="P78:V78"/>
    <mergeCell ref="A130:Z130"/>
    <mergeCell ref="A201:Z201"/>
    <mergeCell ref="A52:O53"/>
    <mergeCell ref="A134:O135"/>
    <mergeCell ref="A20:Z20"/>
    <mergeCell ref="P300:V300"/>
    <mergeCell ref="D252:E252"/>
    <mergeCell ref="P123:T123"/>
    <mergeCell ref="M17:M18"/>
    <mergeCell ref="A339:O340"/>
    <mergeCell ref="O17:O18"/>
    <mergeCell ref="P52:V52"/>
    <mergeCell ref="P174:V174"/>
    <mergeCell ref="A175:Z175"/>
    <mergeCell ref="A297:Z297"/>
    <mergeCell ref="P102:T102"/>
    <mergeCell ref="P189:V189"/>
    <mergeCell ref="A185:Z185"/>
    <mergeCell ref="D177:E177"/>
    <mergeCell ref="P287:V287"/>
    <mergeCell ref="D33:E33"/>
    <mergeCell ref="A313:O314"/>
    <mergeCell ref="D226:E226"/>
    <mergeCell ref="P62:T62"/>
    <mergeCell ref="N17:N18"/>
    <mergeCell ref="D49:E49"/>
    <mergeCell ref="A39:Z39"/>
    <mergeCell ref="A30:Z30"/>
    <mergeCell ref="U17:V17"/>
    <mergeCell ref="Y17:Y18"/>
    <mergeCell ref="K363:K364"/>
    <mergeCell ref="P226:T226"/>
    <mergeCell ref="M363:M364"/>
    <mergeCell ref="D207:E207"/>
    <mergeCell ref="P269:T269"/>
    <mergeCell ref="P35:T35"/>
    <mergeCell ref="G17:G18"/>
    <mergeCell ref="P57:V57"/>
    <mergeCell ref="P333:T333"/>
    <mergeCell ref="P242:V242"/>
    <mergeCell ref="D80:E80"/>
    <mergeCell ref="P357:V357"/>
    <mergeCell ref="P111:T111"/>
    <mergeCell ref="D154:E154"/>
    <mergeCell ref="D225:E225"/>
    <mergeCell ref="P61:T61"/>
    <mergeCell ref="A105:O106"/>
    <mergeCell ref="P346:T346"/>
    <mergeCell ref="D227:E227"/>
    <mergeCell ref="P321:T321"/>
    <mergeCell ref="D202:E202"/>
    <mergeCell ref="A242:O243"/>
    <mergeCell ref="P112:T112"/>
    <mergeCell ref="A302:Z302"/>
    <mergeCell ref="H5:M5"/>
    <mergeCell ref="P158:V158"/>
    <mergeCell ref="P98:T98"/>
    <mergeCell ref="A214:Z214"/>
    <mergeCell ref="P225:T225"/>
    <mergeCell ref="D317:E317"/>
    <mergeCell ref="A341:Z341"/>
    <mergeCell ref="D6:M6"/>
    <mergeCell ref="D304:E304"/>
    <mergeCell ref="P266:V266"/>
    <mergeCell ref="A85:Z85"/>
    <mergeCell ref="D143:E143"/>
    <mergeCell ref="P227:T227"/>
    <mergeCell ref="P177:T177"/>
    <mergeCell ref="P33:T33"/>
    <mergeCell ref="A9:C9"/>
    <mergeCell ref="D294:E294"/>
    <mergeCell ref="P70:V70"/>
    <mergeCell ref="A91:Z91"/>
    <mergeCell ref="Q13:R13"/>
    <mergeCell ref="P134:V134"/>
    <mergeCell ref="P339:V339"/>
    <mergeCell ref="A318:O319"/>
    <mergeCell ref="P47:V47"/>
    <mergeCell ref="V6:W9"/>
    <mergeCell ref="A59:Z59"/>
    <mergeCell ref="A299:O300"/>
    <mergeCell ref="D186:E186"/>
    <mergeCell ref="P274:T274"/>
    <mergeCell ref="A93:O94"/>
    <mergeCell ref="D217:E217"/>
    <mergeCell ref="P345:T345"/>
    <mergeCell ref="A348:O349"/>
    <mergeCell ref="P22:T22"/>
    <mergeCell ref="P40:T40"/>
    <mergeCell ref="P236:V236"/>
    <mergeCell ref="P334:V334"/>
    <mergeCell ref="P80:T80"/>
    <mergeCell ref="Z17:Z18"/>
    <mergeCell ref="P173:V173"/>
    <mergeCell ref="P29:V29"/>
    <mergeCell ref="A54:Z54"/>
    <mergeCell ref="P100:V100"/>
    <mergeCell ref="P271:V271"/>
    <mergeCell ref="P94:V94"/>
    <mergeCell ref="P265:V265"/>
    <mergeCell ref="A277:Z277"/>
    <mergeCell ref="P114:T114"/>
    <mergeCell ref="H10:M10"/>
    <mergeCell ref="AA17:AA18"/>
    <mergeCell ref="AC17:AC18"/>
    <mergeCell ref="A72:Z72"/>
    <mergeCell ref="P147:V147"/>
    <mergeCell ref="P45:T45"/>
    <mergeCell ref="A235:O236"/>
    <mergeCell ref="P343:T343"/>
    <mergeCell ref="D153:E153"/>
    <mergeCell ref="A288:Z288"/>
    <mergeCell ref="AB17:AB18"/>
    <mergeCell ref="P247:T247"/>
    <mergeCell ref="P241:T241"/>
    <mergeCell ref="P41:T41"/>
    <mergeCell ref="D22:E22"/>
    <mergeCell ref="D155:E155"/>
    <mergeCell ref="D149:E149"/>
    <mergeCell ref="P255:V255"/>
    <mergeCell ref="P178:T178"/>
    <mergeCell ref="P34:T34"/>
    <mergeCell ref="D86:E86"/>
    <mergeCell ref="D151:E151"/>
    <mergeCell ref="P49:T49"/>
    <mergeCell ref="D150:E150"/>
    <mergeCell ref="A363:A364"/>
    <mergeCell ref="H17:H18"/>
    <mergeCell ref="P261:T261"/>
    <mergeCell ref="P332:T332"/>
    <mergeCell ref="P217:T217"/>
    <mergeCell ref="D269:E269"/>
    <mergeCell ref="P275:V275"/>
    <mergeCell ref="A157:O158"/>
    <mergeCell ref="P27:T27"/>
    <mergeCell ref="D75:E75"/>
    <mergeCell ref="P154:T154"/>
    <mergeCell ref="D298:E298"/>
    <mergeCell ref="D181:E181"/>
    <mergeCell ref="A221:O222"/>
    <mergeCell ref="D273:E273"/>
    <mergeCell ref="P156:T156"/>
    <mergeCell ref="A286:O287"/>
    <mergeCell ref="P327:T327"/>
    <mergeCell ref="P105:V105"/>
    <mergeCell ref="P99:V99"/>
    <mergeCell ref="A141:Z141"/>
    <mergeCell ref="J363:J364"/>
    <mergeCell ref="L363:L364"/>
    <mergeCell ref="I363:I364"/>
    <mergeCell ref="J9:M9"/>
    <mergeCell ref="D112:E112"/>
    <mergeCell ref="D283:E283"/>
    <mergeCell ref="D62:E62"/>
    <mergeCell ref="D56:E56"/>
    <mergeCell ref="D127:E127"/>
    <mergeCell ref="P233:T233"/>
    <mergeCell ref="P304:T304"/>
    <mergeCell ref="D347:E347"/>
    <mergeCell ref="D114:E114"/>
    <mergeCell ref="D285:E285"/>
    <mergeCell ref="P143:T143"/>
    <mergeCell ref="D51:E51"/>
    <mergeCell ref="P306:T306"/>
    <mergeCell ref="P157:V157"/>
    <mergeCell ref="P213:V213"/>
    <mergeCell ref="A38:Z38"/>
    <mergeCell ref="P207:T207"/>
    <mergeCell ref="P249:V249"/>
    <mergeCell ref="P28:V28"/>
    <mergeCell ref="P221:V221"/>
    <mergeCell ref="D138:E138"/>
    <mergeCell ref="P232:T232"/>
    <mergeCell ref="P330:T330"/>
    <mergeCell ref="B363:B364"/>
    <mergeCell ref="D43:E43"/>
    <mergeCell ref="P84:V84"/>
    <mergeCell ref="D363:D364"/>
    <mergeCell ref="P314:V314"/>
    <mergeCell ref="D137:E137"/>
    <mergeCell ref="P216:T216"/>
    <mergeCell ref="A272:Z272"/>
    <mergeCell ref="P124:V124"/>
    <mergeCell ref="P360:V360"/>
    <mergeCell ref="D74:E74"/>
    <mergeCell ref="P87:T87"/>
    <mergeCell ref="D68:E68"/>
    <mergeCell ref="P245:T245"/>
    <mergeCell ref="P224:T224"/>
    <mergeCell ref="D132:E132"/>
    <mergeCell ref="P211:T211"/>
    <mergeCell ref="P260:T260"/>
    <mergeCell ref="D178:E178"/>
    <mergeCell ref="P88:T88"/>
    <mergeCell ref="P51:T51"/>
    <mergeCell ref="D172:E172"/>
    <mergeCell ref="P153:T153"/>
    <mergeCell ref="W363:W364"/>
    <mergeCell ref="T5:U5"/>
    <mergeCell ref="P76:T76"/>
    <mergeCell ref="V5:W5"/>
    <mergeCell ref="D246:E246"/>
    <mergeCell ref="A48:Z48"/>
    <mergeCell ref="D40:E40"/>
    <mergeCell ref="D111:E111"/>
    <mergeCell ref="D233:E233"/>
    <mergeCell ref="P212:V212"/>
    <mergeCell ref="Q8:R8"/>
    <mergeCell ref="A28:O29"/>
    <mergeCell ref="D219:E219"/>
    <mergeCell ref="D104:E104"/>
    <mergeCell ref="P83:V83"/>
    <mergeCell ref="A79:Z79"/>
    <mergeCell ref="T6:U9"/>
    <mergeCell ref="Q10:R10"/>
    <mergeCell ref="D41:E41"/>
    <mergeCell ref="P25:V25"/>
    <mergeCell ref="P58:V58"/>
    <mergeCell ref="A13:M13"/>
    <mergeCell ref="D61:E61"/>
    <mergeCell ref="P115:T115"/>
    <mergeCell ref="A196:Z196"/>
    <mergeCell ref="A12:M12"/>
    <mergeCell ref="A109:Z109"/>
    <mergeCell ref="A324:Z324"/>
    <mergeCell ref="P355:V355"/>
    <mergeCell ref="A355:O360"/>
    <mergeCell ref="D343:E343"/>
    <mergeCell ref="P74:T74"/>
    <mergeCell ref="P243:V243"/>
    <mergeCell ref="A19:Z19"/>
    <mergeCell ref="A190:Z190"/>
    <mergeCell ref="A14:M14"/>
    <mergeCell ref="D345:E345"/>
    <mergeCell ref="P138:T138"/>
    <mergeCell ref="A295:O296"/>
    <mergeCell ref="D338:E338"/>
    <mergeCell ref="P311:T311"/>
    <mergeCell ref="P254:V254"/>
    <mergeCell ref="P319:V319"/>
    <mergeCell ref="P318:V318"/>
    <mergeCell ref="A270:O271"/>
    <mergeCell ref="A350:Z350"/>
    <mergeCell ref="P313:V313"/>
    <mergeCell ref="A325:Z325"/>
    <mergeCell ref="A15:M15"/>
    <mergeCell ref="P15:T16"/>
    <mergeCell ref="D116:E116"/>
    <mergeCell ref="D352:E352"/>
    <mergeCell ref="P219:T219"/>
    <mergeCell ref="P23:T23"/>
    <mergeCell ref="A164:Z164"/>
    <mergeCell ref="A275:O276"/>
    <mergeCell ref="A69:O70"/>
    <mergeCell ref="D156:E156"/>
    <mergeCell ref="P210:T210"/>
    <mergeCell ref="D327:E327"/>
    <mergeCell ref="A146:O147"/>
    <mergeCell ref="P283:T283"/>
    <mergeCell ref="D264:E264"/>
    <mergeCell ref="D220:E220"/>
    <mergeCell ref="P199:V199"/>
    <mergeCell ref="A195:Z195"/>
    <mergeCell ref="A198:O199"/>
    <mergeCell ref="A251:Z251"/>
    <mergeCell ref="P122:T122"/>
    <mergeCell ref="P291:V291"/>
    <mergeCell ref="P43:T43"/>
    <mergeCell ref="P285:T285"/>
    <mergeCell ref="D328:E328"/>
    <mergeCell ref="A5:C5"/>
    <mergeCell ref="A237:Z237"/>
    <mergeCell ref="P64:V64"/>
    <mergeCell ref="P135:V135"/>
    <mergeCell ref="D179:E179"/>
    <mergeCell ref="P349:V349"/>
    <mergeCell ref="A108:Z108"/>
    <mergeCell ref="D166:E166"/>
    <mergeCell ref="D337:E337"/>
    <mergeCell ref="P128:V128"/>
    <mergeCell ref="A17:A18"/>
    <mergeCell ref="K17:K18"/>
    <mergeCell ref="C17:C18"/>
    <mergeCell ref="D103:E103"/>
    <mergeCell ref="D168:E168"/>
    <mergeCell ref="P66:T66"/>
    <mergeCell ref="D9:E9"/>
    <mergeCell ref="P137:T137"/>
    <mergeCell ref="D180:E180"/>
    <mergeCell ref="F9:G9"/>
    <mergeCell ref="P197:T197"/>
    <mergeCell ref="A254:O255"/>
    <mergeCell ref="D167:E167"/>
    <mergeCell ref="A248:O249"/>
    <mergeCell ref="A6:C6"/>
    <mergeCell ref="A322:O323"/>
    <mergeCell ref="D113:E113"/>
    <mergeCell ref="P180:T180"/>
    <mergeCell ref="A96:Z96"/>
    <mergeCell ref="D88:E88"/>
    <mergeCell ref="P142:T142"/>
    <mergeCell ref="P167:T167"/>
    <mergeCell ref="P117:T117"/>
    <mergeCell ref="P55:T55"/>
    <mergeCell ref="D115:E115"/>
    <mergeCell ref="D311:E311"/>
    <mergeCell ref="Q12:R12"/>
    <mergeCell ref="A203:O204"/>
    <mergeCell ref="P169:T169"/>
    <mergeCell ref="D261:E261"/>
    <mergeCell ref="P183:V183"/>
    <mergeCell ref="P246:T246"/>
    <mergeCell ref="P198:V198"/>
    <mergeCell ref="A250:Z250"/>
    <mergeCell ref="P289:T289"/>
    <mergeCell ref="D232:E232"/>
    <mergeCell ref="P264:T264"/>
    <mergeCell ref="P68:T68"/>
    <mergeCell ref="Q9:R9"/>
    <mergeCell ref="P312:T312"/>
    <mergeCell ref="P36:V36"/>
    <mergeCell ref="A32:Z32"/>
    <mergeCell ref="A303:Z303"/>
    <mergeCell ref="C362:G362"/>
    <mergeCell ref="A159:Z159"/>
    <mergeCell ref="P363:P364"/>
    <mergeCell ref="Q11:R11"/>
    <mergeCell ref="D260:E260"/>
    <mergeCell ref="P354:V354"/>
    <mergeCell ref="P351:T351"/>
    <mergeCell ref="P239:T239"/>
    <mergeCell ref="C363:C364"/>
    <mergeCell ref="D169:E169"/>
    <mergeCell ref="P204:V204"/>
    <mergeCell ref="P132:T132"/>
    <mergeCell ref="P146:V146"/>
    <mergeCell ref="A31:Z31"/>
    <mergeCell ref="D330:E330"/>
    <mergeCell ref="P305:T305"/>
    <mergeCell ref="V363:V364"/>
    <mergeCell ref="D27:E27"/>
    <mergeCell ref="P208:T208"/>
    <mergeCell ref="S362:T362"/>
    <mergeCell ref="D160:E160"/>
    <mergeCell ref="P139:V139"/>
    <mergeCell ref="I17:I18"/>
    <mergeCell ref="D306:E306"/>
    <mergeCell ref="P352:T352"/>
    <mergeCell ref="P203:V203"/>
    <mergeCell ref="A326:Z326"/>
    <mergeCell ref="P295:V295"/>
    <mergeCell ref="A120:Z120"/>
    <mergeCell ref="P276:V276"/>
    <mergeCell ref="A301:Z301"/>
    <mergeCell ref="P270:V270"/>
    <mergeCell ref="A95:Z95"/>
    <mergeCell ref="A126:Z126"/>
    <mergeCell ref="P238:T238"/>
    <mergeCell ref="A256:Z256"/>
    <mergeCell ref="D346:E346"/>
    <mergeCell ref="P179:T179"/>
    <mergeCell ref="P278:T278"/>
    <mergeCell ref="P129:V129"/>
    <mergeCell ref="P63:V63"/>
    <mergeCell ref="A128:O129"/>
    <mergeCell ref="D215:E215"/>
    <mergeCell ref="D1:F1"/>
    <mergeCell ref="P46:V46"/>
    <mergeCell ref="A71:Z71"/>
    <mergeCell ref="J17:J18"/>
    <mergeCell ref="D82:E82"/>
    <mergeCell ref="L17:L18"/>
    <mergeCell ref="P359:V359"/>
    <mergeCell ref="A184:Z184"/>
    <mergeCell ref="D240:E240"/>
    <mergeCell ref="A244:Z244"/>
    <mergeCell ref="A336:Z336"/>
    <mergeCell ref="P125:V125"/>
    <mergeCell ref="P192:T192"/>
    <mergeCell ref="P113:T113"/>
    <mergeCell ref="P284:T284"/>
    <mergeCell ref="P17:T18"/>
    <mergeCell ref="P348:V348"/>
    <mergeCell ref="P323:V323"/>
    <mergeCell ref="A148:Z148"/>
    <mergeCell ref="P50:T50"/>
    <mergeCell ref="D329:E329"/>
    <mergeCell ref="P187:T187"/>
    <mergeCell ref="A182:O183"/>
    <mergeCell ref="A353:O354"/>
    <mergeCell ref="A282:Z282"/>
    <mergeCell ref="D274:E274"/>
    <mergeCell ref="D245:E245"/>
    <mergeCell ref="P337:T337"/>
    <mergeCell ref="P116:T116"/>
    <mergeCell ref="D122:E122"/>
    <mergeCell ref="D224:E224"/>
    <mergeCell ref="A26:Z26"/>
    <mergeCell ref="P103:T103"/>
    <mergeCell ref="P97:T97"/>
    <mergeCell ref="P268:T268"/>
    <mergeCell ref="P168:T168"/>
    <mergeCell ref="D211:E211"/>
    <mergeCell ref="D321:E321"/>
    <mergeCell ref="P194:V194"/>
    <mergeCell ref="P286:V286"/>
    <mergeCell ref="H1:Q1"/>
    <mergeCell ref="P280:V280"/>
    <mergeCell ref="A292:Z292"/>
    <mergeCell ref="P222:V222"/>
    <mergeCell ref="P193:V193"/>
    <mergeCell ref="D284:E284"/>
    <mergeCell ref="D259:E259"/>
    <mergeCell ref="A163:Z163"/>
    <mergeCell ref="A101:Z101"/>
    <mergeCell ref="D117:E117"/>
    <mergeCell ref="D92:E92"/>
    <mergeCell ref="D55:E55"/>
    <mergeCell ref="P171:T171"/>
    <mergeCell ref="D67:E67"/>
    <mergeCell ref="D5:E5"/>
    <mergeCell ref="P42:T42"/>
    <mergeCell ref="P259:T259"/>
    <mergeCell ref="P240:T240"/>
    <mergeCell ref="P162:V162"/>
    <mergeCell ref="P106:V106"/>
    <mergeCell ref="P93:V93"/>
    <mergeCell ref="A281:Z281"/>
    <mergeCell ref="D145:E145"/>
    <mergeCell ref="P273:T273"/>
    <mergeCell ref="D7:M7"/>
    <mergeCell ref="P92:T92"/>
    <mergeCell ref="D144:E144"/>
    <mergeCell ref="F363:F364"/>
    <mergeCell ref="A290:O291"/>
    <mergeCell ref="D81:E81"/>
    <mergeCell ref="H363:H364"/>
    <mergeCell ref="D208:E208"/>
    <mergeCell ref="D8:M8"/>
    <mergeCell ref="P44:T44"/>
    <mergeCell ref="P279:V279"/>
    <mergeCell ref="A161:O162"/>
    <mergeCell ref="P329:T329"/>
    <mergeCell ref="P118:V118"/>
    <mergeCell ref="A212:O213"/>
    <mergeCell ref="P331:T331"/>
    <mergeCell ref="P182:V182"/>
    <mergeCell ref="P340:V340"/>
    <mergeCell ref="O363:O364"/>
    <mergeCell ref="Q363:Q364"/>
    <mergeCell ref="P335:V335"/>
    <mergeCell ref="D210:E210"/>
    <mergeCell ref="A316:Z316"/>
    <mergeCell ref="D87:E87"/>
    <mergeCell ref="R1:T1"/>
    <mergeCell ref="P172:T172"/>
    <mergeCell ref="P150:T150"/>
    <mergeCell ref="D332:E332"/>
    <mergeCell ref="P215:T215"/>
    <mergeCell ref="D307:E307"/>
    <mergeCell ref="A139:O140"/>
    <mergeCell ref="A46:O47"/>
    <mergeCell ref="P165:T165"/>
    <mergeCell ref="P229:V229"/>
    <mergeCell ref="A89:O90"/>
    <mergeCell ref="D98:E98"/>
    <mergeCell ref="D73:E73"/>
    <mergeCell ref="P77:V77"/>
    <mergeCell ref="P152:T152"/>
    <mergeCell ref="A200:Z200"/>
    <mergeCell ref="A258:Z258"/>
    <mergeCell ref="P37:V37"/>
    <mergeCell ref="P230:V230"/>
    <mergeCell ref="A63:O64"/>
    <mergeCell ref="P104:T104"/>
    <mergeCell ref="B17:B18"/>
    <mergeCell ref="A77:O78"/>
    <mergeCell ref="P248:V248"/>
    <mergeCell ref="E363:E364"/>
    <mergeCell ref="G363:G364"/>
    <mergeCell ref="P155:T155"/>
    <mergeCell ref="A205:Z205"/>
    <mergeCell ref="D312:E312"/>
    <mergeCell ref="P220:T220"/>
    <mergeCell ref="A65:Z65"/>
    <mergeCell ref="D263:E263"/>
    <mergeCell ref="D238:E238"/>
    <mergeCell ref="P86:T86"/>
    <mergeCell ref="P328:T328"/>
    <mergeCell ref="H362:R362"/>
    <mergeCell ref="P235:V235"/>
    <mergeCell ref="P81:T81"/>
    <mergeCell ref="P252:T252"/>
    <mergeCell ref="P299:V299"/>
    <mergeCell ref="A173:O174"/>
    <mergeCell ref="A229:O230"/>
    <mergeCell ref="P170:T170"/>
    <mergeCell ref="D66:E66"/>
    <mergeCell ref="P145:T145"/>
    <mergeCell ref="D197:E197"/>
    <mergeCell ref="D253:E253"/>
    <mergeCell ref="D351:E351"/>
    <mergeCell ref="P73:T73"/>
    <mergeCell ref="P144:T144"/>
    <mergeCell ref="D187:E187"/>
    <mergeCell ref="H9:I9"/>
    <mergeCell ref="D45:E45"/>
    <mergeCell ref="P24:V24"/>
    <mergeCell ref="P322:V322"/>
    <mergeCell ref="P89:V89"/>
    <mergeCell ref="P309:V309"/>
    <mergeCell ref="A60:Z60"/>
    <mergeCell ref="P56:T56"/>
    <mergeCell ref="V10:W10"/>
    <mergeCell ref="D289:E289"/>
    <mergeCell ref="P160:T160"/>
    <mergeCell ref="P209:T209"/>
    <mergeCell ref="A193:O194"/>
    <mergeCell ref="W17:W18"/>
    <mergeCell ref="P90:V90"/>
    <mergeCell ref="P161:V161"/>
    <mergeCell ref="P234:T234"/>
    <mergeCell ref="D142:E142"/>
    <mergeCell ref="P166:T166"/>
    <mergeCell ref="P188:V188"/>
    <mergeCell ref="D209:E2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549</v>
      </c>
      <c r="H1" s="53"/>
    </row>
    <row r="3" spans="2:8" x14ac:dyDescent="0.2">
      <c r="B3" s="48" t="s">
        <v>550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551</v>
      </c>
      <c r="D6" s="48" t="s">
        <v>552</v>
      </c>
      <c r="E6" s="48"/>
    </row>
    <row r="8" spans="2:8" x14ac:dyDescent="0.2">
      <c r="B8" s="48" t="s">
        <v>19</v>
      </c>
      <c r="C8" s="48" t="s">
        <v>551</v>
      </c>
      <c r="D8" s="48"/>
      <c r="E8" s="48"/>
    </row>
    <row r="10" spans="2:8" x14ac:dyDescent="0.2">
      <c r="B10" s="48" t="s">
        <v>553</v>
      </c>
      <c r="C10" s="48"/>
      <c r="D10" s="48"/>
      <c r="E10" s="48"/>
    </row>
    <row r="11" spans="2:8" x14ac:dyDescent="0.2">
      <c r="B11" s="48" t="s">
        <v>554</v>
      </c>
      <c r="C11" s="48"/>
      <c r="D11" s="48"/>
      <c r="E11" s="48"/>
    </row>
    <row r="12" spans="2:8" x14ac:dyDescent="0.2">
      <c r="B12" s="48" t="s">
        <v>555</v>
      </c>
      <c r="C12" s="48"/>
      <c r="D12" s="48"/>
      <c r="E12" s="48"/>
    </row>
    <row r="13" spans="2:8" x14ac:dyDescent="0.2">
      <c r="B13" s="48" t="s">
        <v>556</v>
      </c>
      <c r="C13" s="48"/>
      <c r="D13" s="48"/>
      <c r="E13" s="48"/>
    </row>
    <row r="14" spans="2:8" x14ac:dyDescent="0.2">
      <c r="B14" s="48" t="s">
        <v>557</v>
      </c>
      <c r="C14" s="48"/>
      <c r="D14" s="48"/>
      <c r="E14" s="48"/>
    </row>
    <row r="15" spans="2:8" x14ac:dyDescent="0.2">
      <c r="B15" s="48" t="s">
        <v>558</v>
      </c>
      <c r="C15" s="48"/>
      <c r="D15" s="48"/>
      <c r="E15" s="48"/>
    </row>
    <row r="16" spans="2:8" x14ac:dyDescent="0.2">
      <c r="B16" s="48" t="s">
        <v>559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560</v>
      </c>
      <c r="C18" s="48"/>
      <c r="D18" s="48"/>
      <c r="E18" s="48"/>
    </row>
    <row r="19" spans="2:5" x14ac:dyDescent="0.2">
      <c r="B19" s="48" t="s">
        <v>561</v>
      </c>
      <c r="C19" s="48"/>
      <c r="D19" s="48"/>
      <c r="E19" s="48"/>
    </row>
    <row r="20" spans="2:5" x14ac:dyDescent="0.2">
      <c r="B20" s="48" t="s">
        <v>562</v>
      </c>
      <c r="C20" s="48"/>
      <c r="D20" s="48"/>
      <c r="E20" s="48"/>
    </row>
  </sheetData>
  <sheetProtection algorithmName="SHA-512" hashValue="r3sqreeUFHEOlNRKz/TGu70ih+GjIE6qehiol2jPWEq+Fz7snoyKgD+ew8RX1lrG4QCoQNs0x8By+5unlsvt+A==" saltValue="GkDZSXbST86Bk3d57XvK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665</vt:i4>
      </vt:variant>
    </vt:vector>
  </HeadingPairs>
  <TitlesOfParts>
    <vt:vector size="6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2025-10-17T12:16:25Z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