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7,25 Ост КИ ПРС\"/>
    </mc:Choice>
  </mc:AlternateContent>
  <xr:revisionPtr revIDLastSave="0" documentId="13_ncr:1_{6868EA15-34C7-47CB-B313-B18CB9BA313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станкино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1" l="1"/>
  <c r="I9" i="1" l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D12" i="1"/>
  <c r="E12" i="1" s="1"/>
  <c r="D13" i="1"/>
  <c r="E13" i="1" s="1"/>
  <c r="D14" i="1"/>
  <c r="E14" i="1" s="1"/>
  <c r="D15" i="1"/>
  <c r="E15" i="1" s="1"/>
  <c r="D16" i="1"/>
  <c r="D17" i="1"/>
  <c r="D18" i="1"/>
  <c r="D19" i="1"/>
  <c r="D20" i="1"/>
  <c r="E20" i="1" s="1"/>
  <c r="D21" i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D29" i="1"/>
  <c r="E29" i="1" s="1"/>
  <c r="D30" i="1"/>
  <c r="D31" i="1"/>
  <c r="D32" i="1"/>
  <c r="D3" i="1"/>
  <c r="E3" i="1" s="1"/>
  <c r="E11" i="1"/>
  <c r="G32" i="1"/>
  <c r="H32" i="1" s="1"/>
  <c r="E32" i="1"/>
  <c r="G31" i="1"/>
  <c r="H31" i="1" s="1"/>
  <c r="E31" i="1"/>
  <c r="G30" i="1"/>
  <c r="H30" i="1" s="1"/>
  <c r="E30" i="1"/>
  <c r="G29" i="1"/>
  <c r="H29" i="1" s="1"/>
  <c r="G28" i="1"/>
  <c r="H28" i="1" s="1"/>
  <c r="E28" i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I21" i="1" s="1"/>
  <c r="E21" i="1"/>
  <c r="G20" i="1"/>
  <c r="H20" i="1" s="1"/>
  <c r="I20" i="1" s="1"/>
  <c r="G19" i="1"/>
  <c r="H19" i="1" s="1"/>
  <c r="E19" i="1"/>
  <c r="G18" i="1"/>
  <c r="H18" i="1" s="1"/>
  <c r="E18" i="1"/>
  <c r="G17" i="1"/>
  <c r="H17" i="1" s="1"/>
  <c r="E17" i="1"/>
  <c r="G16" i="1"/>
  <c r="H16" i="1" s="1"/>
  <c r="E16" i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E4" i="1"/>
  <c r="G3" i="1"/>
  <c r="H3" i="1" s="1"/>
  <c r="E33" i="1" l="1"/>
  <c r="I15" i="1"/>
  <c r="I19" i="1"/>
  <c r="I25" i="1"/>
  <c r="I29" i="1"/>
  <c r="I3" i="1"/>
  <c r="I12" i="1"/>
  <c r="I16" i="1"/>
  <c r="I30" i="1"/>
  <c r="I13" i="1"/>
  <c r="I17" i="1"/>
  <c r="I23" i="1"/>
  <c r="I27" i="1"/>
  <c r="I31" i="1"/>
  <c r="I22" i="1"/>
  <c r="I14" i="1"/>
  <c r="I18" i="1"/>
  <c r="I26" i="1"/>
  <c r="I24" i="1"/>
  <c r="I28" i="1"/>
  <c r="I32" i="1"/>
  <c r="I4" i="1"/>
  <c r="I5" i="1"/>
  <c r="I6" i="1"/>
  <c r="I7" i="1"/>
  <c r="I8" i="1"/>
  <c r="I10" i="1"/>
  <c r="I11" i="1"/>
</calcChain>
</file>

<file path=xl/sharedStrings.xml><?xml version="1.0" encoding="utf-8"?>
<sst xmlns="http://schemas.openxmlformats.org/spreadsheetml/2006/main" count="52" uniqueCount="52">
  <si>
    <t>Товар</t>
  </si>
  <si>
    <t>Штрих код</t>
  </si>
  <si>
    <t>Заказ утвержден</t>
  </si>
  <si>
    <t>май</t>
  </si>
  <si>
    <t>вход новый</t>
  </si>
  <si>
    <t>скидка</t>
  </si>
  <si>
    <t>кол-во</t>
  </si>
  <si>
    <t>кг</t>
  </si>
  <si>
    <t>вход/кг</t>
  </si>
  <si>
    <t>вход/шт</t>
  </si>
  <si>
    <t>БАЛЫК И ШЕЙКА с/в с/н мгс 1/90 10шт.</t>
  </si>
  <si>
    <t>БЕКОН Останкино с/к с/н в/у 1/180 10шт.</t>
  </si>
  <si>
    <t>ВЕТЧ.МЯСНАЯ Папа может п/о 0.4кг 8шт.</t>
  </si>
  <si>
    <t>4607958072026</t>
  </si>
  <si>
    <t>ДЛЯ ДЕТЕЙ сос п/о мгс 0.33кг 8шт.</t>
  </si>
  <si>
    <t>ДЫМОВИЦА ИЗ ЛОПАТКИ ПМ к/в с/н в/у 1/150</t>
  </si>
  <si>
    <t>САЛЯМИ Папа может п/к в/у 0.28кг 8шт.</t>
  </si>
  <si>
    <t>ДОКТОРСКАЯ ПРЕМИУМ вар п/о 0.4кг 8шт.</t>
  </si>
  <si>
    <t>4607958072682</t>
  </si>
  <si>
    <t>ФИЛЕЙНАЯ Папа может вар п/о 0.4кг</t>
  </si>
  <si>
    <t>4607958072590</t>
  </si>
  <si>
    <t>ЭКСТРА Папа может вар п/о 0.4кг 8шт.</t>
  </si>
  <si>
    <t>4607958072392</t>
  </si>
  <si>
    <t>БАЛЫКОВАЯ Папа Может п/к в/у 0.31кг 8шт.</t>
  </si>
  <si>
    <t>4607958071616</t>
  </si>
  <si>
    <t>СЕРВЕЛАТ ЗЕРНИСТЫЙ ПМ в/к в/у 0.35кг</t>
  </si>
  <si>
    <t>4607958072347</t>
  </si>
  <si>
    <t>САЛЯМИ МЕЛКОЗЕРНЕНАЯ с/к в/у 1/120_60с</t>
  </si>
  <si>
    <t>4601296003957</t>
  </si>
  <si>
    <t>ОХОТНИЧЬЯ Папа может с/к в/у 1/220 8шт.</t>
  </si>
  <si>
    <t>4607958073665</t>
  </si>
  <si>
    <t>ЭКСТРА Папа может с/к в/у 1/250 8шт.</t>
  </si>
  <si>
    <t>ЧЕСНОЧНАЯ Папа может п/к в/у 0.35кг 8шт.</t>
  </si>
  <si>
    <t>4607958072552</t>
  </si>
  <si>
    <t>МЯСНАЯ Папа может вар п/о 0.4кг 8шт.</t>
  </si>
  <si>
    <t>МЯСНАЯ СО ШПИКОМ вар п/о 0.5кг 8шт.</t>
  </si>
  <si>
    <t>МОЛОЧНЫЕ ПРЕМИУМ ПМ сос п/о мгс 0.6кг</t>
  </si>
  <si>
    <t>МРАМОРНАЯ И БАЛЫКОВАЯ в/к с/н мгс 1/90</t>
  </si>
  <si>
    <t>МЯСНОЕ АССОРТИ к/з с/н мгс 1/90 10шт.</t>
  </si>
  <si>
    <t>ПОСОЛЬСКАЯ ПМ с/к с/н в/у 1/100 10шт.</t>
  </si>
  <si>
    <t>САЛЯМИ Папа может с/к в/у 1/250 8шт.</t>
  </si>
  <si>
    <t>ХОТ-ДОГ Папа может сос п/о мгс 0.35кг</t>
  </si>
  <si>
    <t>С СЫРОМ Папа может сос ц/о мгс 0.4кг 6шт</t>
  </si>
  <si>
    <t>4607958075461</t>
  </si>
  <si>
    <t>СОЧНЫЕ ПМ сос п/о мгс 0.41кг 10шт.</t>
  </si>
  <si>
    <t>СОЧНЫЙ ГРИЛЬ ПМ сос п/о мгс 0.41кг 8шт.</t>
  </si>
  <si>
    <t>ИТАЛЬЯНСКОЕ АССОРТИ с/в с/н мгс 1/90</t>
  </si>
  <si>
    <t>4607958076581</t>
  </si>
  <si>
    <t>НЕАПОЛИТАНСКИЙ ДУЭТ с/к с/н мгс 1/90</t>
  </si>
  <si>
    <t>4607958076574</t>
  </si>
  <si>
    <t>СЛИВОЧНЫЕ ПМ сос п/о мгс 0.41кг 10шт_50с</t>
  </si>
  <si>
    <t>МОЛОЧНАЯ Останкино вар п/о 0.4кг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</si>
</sst>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2" fontId="0" fillId="0" borderId="14" xfId="0" applyNumberFormat="1" applyBorder="1"/>
    <xf numFmtId="2" fontId="0" fillId="0" borderId="15" xfId="0" applyNumberFormat="1" applyBorder="1"/>
    <xf numFmtId="0" fontId="1" fillId="3" borderId="16" xfId="0" applyFont="1" applyFill="1" applyBorder="1" applyAlignment="1">
      <alignment horizontal="left" vertical="top" wrapText="1"/>
    </xf>
    <xf numFmtId="164" fontId="0" fillId="0" borderId="17" xfId="0" applyNumberFormat="1" applyBorder="1"/>
    <xf numFmtId="2" fontId="0" fillId="0" borderId="17" xfId="0" applyNumberFormat="1" applyBorder="1"/>
    <xf numFmtId="2" fontId="0" fillId="0" borderId="19" xfId="0" applyNumberFormat="1" applyBorder="1"/>
    <xf numFmtId="0" fontId="0" fillId="3" borderId="16" xfId="0" applyFill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6" xfId="0" applyBorder="1" applyAlignment="1">
      <alignment horizontal="left"/>
    </xf>
    <xf numFmtId="0" fontId="0" fillId="0" borderId="20" xfId="0" applyBorder="1" applyAlignment="1">
      <alignment horizontal="left"/>
    </xf>
    <xf numFmtId="164" fontId="0" fillId="0" borderId="11" xfId="0" applyNumberFormat="1" applyBorder="1"/>
    <xf numFmtId="2" fontId="0" fillId="0" borderId="11" xfId="0" applyNumberFormat="1" applyBorder="1"/>
    <xf numFmtId="2" fontId="0" fillId="0" borderId="8" xfId="0" applyNumberFormat="1" applyBorder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65" fontId="0" fillId="0" borderId="15" xfId="0" applyNumberFormat="1" applyBorder="1"/>
    <xf numFmtId="165" fontId="0" fillId="0" borderId="19" xfId="0" applyNumberFormat="1" applyBorder="1"/>
    <xf numFmtId="165" fontId="0" fillId="0" borderId="8" xfId="0" applyNumberFormat="1" applyBorder="1"/>
    <xf numFmtId="0" fontId="2" fillId="2" borderId="2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1" fontId="1" fillId="3" borderId="21" xfId="0" applyNumberFormat="1" applyFont="1" applyFill="1" applyBorder="1" applyAlignment="1">
      <alignment horizontal="left" vertical="top" wrapText="1"/>
    </xf>
    <xf numFmtId="1" fontId="0" fillId="3" borderId="21" xfId="0" applyNumberFormat="1" applyFill="1" applyBorder="1" applyAlignment="1">
      <alignment horizontal="left" vertical="top" wrapText="1"/>
    </xf>
    <xf numFmtId="1" fontId="0" fillId="0" borderId="21" xfId="0" applyNumberFormat="1" applyBorder="1" applyAlignment="1">
      <alignment horizontal="left" vertical="top" wrapText="1"/>
    </xf>
    <xf numFmtId="1" fontId="1" fillId="0" borderId="21" xfId="0" applyNumberFormat="1" applyFont="1" applyBorder="1" applyAlignment="1">
      <alignment horizontal="left" vertical="top" wrapText="1"/>
    </xf>
    <xf numFmtId="1" fontId="0" fillId="0" borderId="21" xfId="0" applyNumberFormat="1" applyBorder="1" applyAlignment="1">
      <alignment horizontal="left"/>
    </xf>
    <xf numFmtId="1" fontId="0" fillId="0" borderId="22" xfId="0" applyNumberFormat="1" applyBorder="1" applyAlignment="1">
      <alignment horizontal="left"/>
    </xf>
    <xf numFmtId="0" fontId="1" fillId="3" borderId="5" xfId="0" applyFont="1" applyFill="1" applyBorder="1" applyAlignment="1">
      <alignment horizontal="left" vertical="top" wrapText="1"/>
    </xf>
    <xf numFmtId="1" fontId="1" fillId="3" borderId="23" xfId="0" applyNumberFormat="1" applyFont="1" applyFill="1" applyBorder="1" applyAlignment="1">
      <alignment horizontal="left" vertical="top" wrapText="1"/>
    </xf>
    <xf numFmtId="164" fontId="0" fillId="0" borderId="4" xfId="0" applyNumberFormat="1" applyBorder="1"/>
    <xf numFmtId="2" fontId="0" fillId="0" borderId="1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0" fontId="2" fillId="2" borderId="26" xfId="0" applyFont="1" applyFill="1" applyBorder="1" applyAlignment="1">
      <alignment vertical="top" wrapText="1"/>
    </xf>
    <xf numFmtId="0" fontId="2" fillId="2" borderId="27" xfId="0" applyFont="1" applyFill="1" applyBorder="1" applyAlignment="1">
      <alignment vertical="top" wrapText="1"/>
    </xf>
    <xf numFmtId="1" fontId="0" fillId="0" borderId="28" xfId="0" applyNumberFormat="1" applyBorder="1" applyAlignment="1">
      <alignment horizontal="left" vertical="top" wrapText="1"/>
    </xf>
    <xf numFmtId="1" fontId="0" fillId="0" borderId="29" xfId="0" applyNumberFormat="1" applyBorder="1" applyAlignment="1">
      <alignment horizontal="left" vertical="top" wrapText="1"/>
    </xf>
    <xf numFmtId="1" fontId="0" fillId="0" borderId="29" xfId="0" applyNumberFormat="1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3" fontId="0" fillId="0" borderId="3" xfId="0" applyNumberFormat="1" applyBorder="1"/>
    <xf numFmtId="3" fontId="0" fillId="0" borderId="18" xfId="0" applyNumberFormat="1" applyBorder="1"/>
    <xf numFmtId="3" fontId="0" fillId="0" borderId="10" xfId="0" applyNumberFormat="1" applyBorder="1"/>
    <xf numFmtId="0" fontId="2" fillId="2" borderId="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1047;&#1072;&#1082;&#1072;&#1079;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нкино"/>
    </sheetNames>
    <sheetDataSet>
      <sheetData sheetId="0">
        <row r="3">
          <cell r="B3">
            <v>4607958076598</v>
          </cell>
          <cell r="C3">
            <v>300</v>
          </cell>
        </row>
        <row r="4">
          <cell r="B4">
            <v>4607958072477</v>
          </cell>
          <cell r="C4">
            <v>300</v>
          </cell>
        </row>
        <row r="5">
          <cell r="B5" t="str">
            <v>4607958072026</v>
          </cell>
          <cell r="C5">
            <v>380</v>
          </cell>
        </row>
        <row r="6">
          <cell r="B6">
            <v>4607958078059</v>
          </cell>
          <cell r="C6">
            <v>280</v>
          </cell>
        </row>
        <row r="7">
          <cell r="B7">
            <v>4607958077687</v>
          </cell>
          <cell r="C7">
            <v>240</v>
          </cell>
        </row>
        <row r="8">
          <cell r="B8">
            <v>4607958077441</v>
          </cell>
          <cell r="C8">
            <v>440</v>
          </cell>
        </row>
        <row r="9">
          <cell r="B9" t="str">
            <v>4607958072682</v>
          </cell>
          <cell r="C9">
            <v>800</v>
          </cell>
        </row>
        <row r="10">
          <cell r="B10" t="str">
            <v>4607958072590</v>
          </cell>
          <cell r="C10">
            <v>460</v>
          </cell>
        </row>
        <row r="11">
          <cell r="B11" t="str">
            <v>4607958072392</v>
          </cell>
          <cell r="C11">
            <v>180</v>
          </cell>
        </row>
        <row r="12">
          <cell r="B12" t="str">
            <v>4607958071616</v>
          </cell>
          <cell r="C12">
            <v>120</v>
          </cell>
        </row>
        <row r="13">
          <cell r="B13" t="str">
            <v>4607958072347</v>
          </cell>
          <cell r="C13">
            <v>300</v>
          </cell>
        </row>
        <row r="14">
          <cell r="B14" t="str">
            <v>4601296003957</v>
          </cell>
          <cell r="C14">
            <v>550</v>
          </cell>
        </row>
        <row r="15">
          <cell r="B15" t="str">
            <v>4607958073665</v>
          </cell>
          <cell r="C15">
            <v>540</v>
          </cell>
        </row>
        <row r="16">
          <cell r="B16">
            <v>4607958071968</v>
          </cell>
          <cell r="C16">
            <v>250</v>
          </cell>
        </row>
        <row r="17">
          <cell r="B17" t="str">
            <v>4607958072552</v>
          </cell>
          <cell r="C17">
            <v>120</v>
          </cell>
        </row>
        <row r="18">
          <cell r="B18">
            <v>4607958070862</v>
          </cell>
          <cell r="C18">
            <v>320</v>
          </cell>
        </row>
        <row r="19">
          <cell r="B19">
            <v>4607958075638</v>
          </cell>
          <cell r="C19">
            <v>150</v>
          </cell>
        </row>
        <row r="20">
          <cell r="B20">
            <v>4607958077854</v>
          </cell>
          <cell r="C20">
            <v>340</v>
          </cell>
        </row>
        <row r="21">
          <cell r="B21">
            <v>4607958077380</v>
          </cell>
          <cell r="C21">
            <v>120</v>
          </cell>
        </row>
        <row r="22">
          <cell r="B22">
            <v>4607958076604</v>
          </cell>
          <cell r="C22">
            <v>250</v>
          </cell>
        </row>
        <row r="23">
          <cell r="B23">
            <v>4607958077373</v>
          </cell>
          <cell r="C23">
            <v>250</v>
          </cell>
        </row>
        <row r="24">
          <cell r="B24">
            <v>4607958077694</v>
          </cell>
          <cell r="C24">
            <v>220</v>
          </cell>
        </row>
        <row r="25">
          <cell r="B25">
            <v>4607958078172</v>
          </cell>
          <cell r="C25">
            <v>260</v>
          </cell>
        </row>
        <row r="26">
          <cell r="B26">
            <v>4607958077014</v>
          </cell>
          <cell r="C26">
            <v>420</v>
          </cell>
        </row>
        <row r="27">
          <cell r="B27" t="str">
            <v>4607958075461</v>
          </cell>
          <cell r="C27">
            <v>440</v>
          </cell>
        </row>
        <row r="28">
          <cell r="B28">
            <v>4607958076055</v>
          </cell>
          <cell r="C28">
            <v>520</v>
          </cell>
        </row>
        <row r="29">
          <cell r="B29">
            <v>4607958076024</v>
          </cell>
          <cell r="C29">
            <v>700</v>
          </cell>
        </row>
        <row r="30">
          <cell r="B30">
            <v>4607958076031</v>
          </cell>
          <cell r="C30">
            <v>360</v>
          </cell>
        </row>
        <row r="31">
          <cell r="B31" t="str">
            <v>4607958076581</v>
          </cell>
          <cell r="C31">
            <v>240</v>
          </cell>
        </row>
        <row r="32">
          <cell r="B32" t="str">
            <v>4607958076574</v>
          </cell>
          <cell r="C32">
            <v>450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I33"/>
  <sheetViews>
    <sheetView tabSelected="1" zoomScale="115" zoomScaleNormal="115" workbookViewId="0">
      <selection activeCell="M11" sqref="M11"/>
    </sheetView>
  </sheetViews>
  <sheetFormatPr defaultColWidth="10.33203125" defaultRowHeight="11.45" customHeight="1" x14ac:dyDescent="0.2"/>
  <cols>
    <col min="1" max="1" width="48.1640625" style="18" customWidth="1"/>
    <col min="2" max="2" width="16.33203125" style="18" customWidth="1"/>
    <col min="3" max="3" width="18.6640625" style="18" customWidth="1"/>
    <col min="4" max="4" width="12.1640625" customWidth="1"/>
    <col min="5" max="5" width="10.33203125" style="16" customWidth="1"/>
    <col min="6" max="7" width="10.33203125" style="17" customWidth="1"/>
    <col min="8" max="8" width="17" style="17" customWidth="1"/>
    <col min="9" max="9" width="9.33203125" style="17" customWidth="1"/>
  </cols>
  <sheetData>
    <row r="1" spans="1:9" ht="13.35" customHeight="1" x14ac:dyDescent="0.2">
      <c r="A1" s="48" t="s">
        <v>0</v>
      </c>
      <c r="B1" s="22"/>
      <c r="C1" s="50" t="s">
        <v>1</v>
      </c>
      <c r="D1" s="52" t="s">
        <v>2</v>
      </c>
      <c r="E1" s="53"/>
      <c r="F1" s="54" t="s">
        <v>3</v>
      </c>
      <c r="G1" s="55"/>
      <c r="H1" s="56" t="s">
        <v>4</v>
      </c>
      <c r="I1" s="46" t="s">
        <v>5</v>
      </c>
    </row>
    <row r="2" spans="1:9" ht="12.95" customHeight="1" thickBot="1" x14ac:dyDescent="0.25">
      <c r="A2" s="49"/>
      <c r="B2" s="23"/>
      <c r="C2" s="51"/>
      <c r="D2" s="36" t="s">
        <v>6</v>
      </c>
      <c r="E2" s="37" t="s">
        <v>7</v>
      </c>
      <c r="F2" s="1" t="s">
        <v>8</v>
      </c>
      <c r="G2" s="2" t="s">
        <v>9</v>
      </c>
      <c r="H2" s="57"/>
      <c r="I2" s="47"/>
    </row>
    <row r="3" spans="1:9" ht="11.1" customHeight="1" x14ac:dyDescent="0.2">
      <c r="A3" s="30" t="s">
        <v>10</v>
      </c>
      <c r="B3" s="31">
        <v>1001225406754</v>
      </c>
      <c r="C3" s="38">
        <v>4607958076598</v>
      </c>
      <c r="D3" s="43">
        <f>VLOOKUP(C3,[1]Останкино!$B$3:$C$32,2,FALSE)</f>
        <v>300</v>
      </c>
      <c r="E3" s="32">
        <f>D3*0.09</f>
        <v>27</v>
      </c>
      <c r="F3" s="33">
        <v>1266.8545454545454</v>
      </c>
      <c r="G3" s="3">
        <f>F3*0.09</f>
        <v>114.01690909090908</v>
      </c>
      <c r="H3" s="4">
        <f>G3*0.95</f>
        <v>108.31606363636362</v>
      </c>
      <c r="I3" s="19">
        <f>1-H3/G3</f>
        <v>5.0000000000000044E-2</v>
      </c>
    </row>
    <row r="4" spans="1:9" ht="11.1" customHeight="1" x14ac:dyDescent="0.2">
      <c r="A4" s="5" t="s">
        <v>11</v>
      </c>
      <c r="B4" s="24">
        <v>1001223297103</v>
      </c>
      <c r="C4" s="39">
        <v>4607958072477</v>
      </c>
      <c r="D4" s="44">
        <f>VLOOKUP(C4,[1]Останкино!$B$3:$C$32,2,FALSE)</f>
        <v>300</v>
      </c>
      <c r="E4" s="6">
        <f>D4*0.18</f>
        <v>54</v>
      </c>
      <c r="F4" s="34">
        <v>857.63</v>
      </c>
      <c r="G4" s="7">
        <f>F4*0.18</f>
        <v>154.3734</v>
      </c>
      <c r="H4" s="8">
        <f t="shared" ref="H4:H32" si="0">G4*0.95</f>
        <v>146.65473</v>
      </c>
      <c r="I4" s="20">
        <f t="shared" ref="I4:I32" si="1">1-H4/G4</f>
        <v>5.0000000000000044E-2</v>
      </c>
    </row>
    <row r="5" spans="1:9" ht="11.1" customHeight="1" x14ac:dyDescent="0.2">
      <c r="A5" s="5" t="s">
        <v>12</v>
      </c>
      <c r="B5" s="24">
        <v>1001094053215</v>
      </c>
      <c r="C5" s="39" t="s">
        <v>13</v>
      </c>
      <c r="D5" s="44">
        <f>VLOOKUP(C5,[1]Останкино!$B$3:$C$32,2,FALSE)</f>
        <v>380</v>
      </c>
      <c r="E5" s="6">
        <f>D5*0.4</f>
        <v>152</v>
      </c>
      <c r="F5" s="34">
        <v>377.53</v>
      </c>
      <c r="G5" s="7">
        <f>F5*0.4</f>
        <v>151.012</v>
      </c>
      <c r="H5" s="8">
        <f t="shared" si="0"/>
        <v>143.4614</v>
      </c>
      <c r="I5" s="20">
        <f t="shared" si="1"/>
        <v>5.0000000000000044E-2</v>
      </c>
    </row>
    <row r="6" spans="1:9" ht="11.1" customHeight="1" x14ac:dyDescent="0.2">
      <c r="A6" s="9" t="s">
        <v>14</v>
      </c>
      <c r="B6" s="25">
        <v>1001025767284</v>
      </c>
      <c r="C6" s="39">
        <v>4607958078059</v>
      </c>
      <c r="D6" s="44">
        <f>VLOOKUP(C6,[1]Останкино!$B$3:$C$32,2,FALSE)</f>
        <v>280</v>
      </c>
      <c r="E6" s="6">
        <f>D6*0.33</f>
        <v>92.4</v>
      </c>
      <c r="F6" s="34">
        <v>400.45</v>
      </c>
      <c r="G6" s="7">
        <f>F6*0.33</f>
        <v>132.14850000000001</v>
      </c>
      <c r="H6" s="8">
        <f t="shared" si="0"/>
        <v>125.54107500000001</v>
      </c>
      <c r="I6" s="20">
        <f t="shared" si="1"/>
        <v>5.0000000000000044E-2</v>
      </c>
    </row>
    <row r="7" spans="1:9" ht="11.1" customHeight="1" x14ac:dyDescent="0.2">
      <c r="A7" s="9" t="s">
        <v>15</v>
      </c>
      <c r="B7" s="25">
        <v>1001220226208</v>
      </c>
      <c r="C7" s="39">
        <v>4607958077687</v>
      </c>
      <c r="D7" s="44">
        <f>VLOOKUP(C7,[1]Останкино!$B$3:$C$32,2,FALSE)</f>
        <v>240</v>
      </c>
      <c r="E7" s="6">
        <f>D7*0.15</f>
        <v>36</v>
      </c>
      <c r="F7" s="34">
        <v>719.77</v>
      </c>
      <c r="G7" s="7">
        <f>F7*0.15</f>
        <v>107.96549999999999</v>
      </c>
      <c r="H7" s="8">
        <f t="shared" si="0"/>
        <v>102.56722499999999</v>
      </c>
      <c r="I7" s="20">
        <f t="shared" si="1"/>
        <v>4.9999999999999933E-2</v>
      </c>
    </row>
    <row r="8" spans="1:9" ht="11.1" customHeight="1" x14ac:dyDescent="0.2">
      <c r="A8" s="10" t="s">
        <v>16</v>
      </c>
      <c r="B8" s="26">
        <v>1001303107241</v>
      </c>
      <c r="C8" s="39">
        <v>4607958077441</v>
      </c>
      <c r="D8" s="44">
        <f>VLOOKUP(C8,[1]Останкино!$B$3:$C$32,2,FALSE)</f>
        <v>440</v>
      </c>
      <c r="E8" s="6">
        <f>D8*0.28</f>
        <v>123.20000000000002</v>
      </c>
      <c r="F8" s="34">
        <v>396.96</v>
      </c>
      <c r="G8" s="7">
        <f>F8*0.28</f>
        <v>111.14880000000001</v>
      </c>
      <c r="H8" s="8">
        <f t="shared" si="0"/>
        <v>105.59136000000001</v>
      </c>
      <c r="I8" s="20">
        <f t="shared" si="1"/>
        <v>5.0000000000000044E-2</v>
      </c>
    </row>
    <row r="9" spans="1:9" ht="11.1" customHeight="1" x14ac:dyDescent="0.2">
      <c r="A9" s="10" t="s">
        <v>17</v>
      </c>
      <c r="B9" s="26">
        <v>1001010106325</v>
      </c>
      <c r="C9" s="39" t="s">
        <v>18</v>
      </c>
      <c r="D9" s="44">
        <f>VLOOKUP(C9,[1]Останкино!$B$3:$C$32,2,FALSE)</f>
        <v>800</v>
      </c>
      <c r="E9" s="6">
        <f>D9*0.4</f>
        <v>320</v>
      </c>
      <c r="F9" s="34">
        <v>319</v>
      </c>
      <c r="G9" s="7">
        <f>F9*0.4</f>
        <v>127.60000000000001</v>
      </c>
      <c r="H9" s="8">
        <f t="shared" si="0"/>
        <v>121.22</v>
      </c>
      <c r="I9" s="20">
        <f>1-H9/G9</f>
        <v>5.0000000000000044E-2</v>
      </c>
    </row>
    <row r="10" spans="1:9" ht="11.1" customHeight="1" x14ac:dyDescent="0.2">
      <c r="A10" s="10" t="s">
        <v>19</v>
      </c>
      <c r="B10" s="26">
        <v>1001012566392</v>
      </c>
      <c r="C10" s="39" t="s">
        <v>20</v>
      </c>
      <c r="D10" s="44">
        <f>VLOOKUP(C10,[1]Останкино!$B$3:$C$32,2,FALSE)</f>
        <v>460</v>
      </c>
      <c r="E10" s="6">
        <f>D10*0.4</f>
        <v>184</v>
      </c>
      <c r="F10" s="34">
        <v>285.75</v>
      </c>
      <c r="G10" s="7">
        <f>F10*0.4</f>
        <v>114.30000000000001</v>
      </c>
      <c r="H10" s="8">
        <f t="shared" si="0"/>
        <v>108.58500000000001</v>
      </c>
      <c r="I10" s="20">
        <f t="shared" si="1"/>
        <v>5.0000000000000044E-2</v>
      </c>
    </row>
    <row r="11" spans="1:9" ht="11.1" customHeight="1" x14ac:dyDescent="0.2">
      <c r="A11" s="10" t="s">
        <v>21</v>
      </c>
      <c r="B11" s="26">
        <v>1001012506353</v>
      </c>
      <c r="C11" s="39" t="s">
        <v>22</v>
      </c>
      <c r="D11" s="44">
        <f>VLOOKUP(C11,[1]Останкино!$B$3:$C$32,2,FALSE)</f>
        <v>180</v>
      </c>
      <c r="E11" s="6">
        <f>D11*0.4</f>
        <v>72</v>
      </c>
      <c r="F11" s="34">
        <v>306.60000000000002</v>
      </c>
      <c r="G11" s="7">
        <f>F11*0.4</f>
        <v>122.64000000000001</v>
      </c>
      <c r="H11" s="8">
        <f t="shared" si="0"/>
        <v>116.50800000000001</v>
      </c>
      <c r="I11" s="20">
        <f t="shared" si="1"/>
        <v>5.0000000000000044E-2</v>
      </c>
    </row>
    <row r="12" spans="1:9" ht="11.1" customHeight="1" x14ac:dyDescent="0.2">
      <c r="A12" s="10" t="s">
        <v>23</v>
      </c>
      <c r="B12" s="26">
        <v>1001303637233</v>
      </c>
      <c r="C12" s="39" t="s">
        <v>24</v>
      </c>
      <c r="D12" s="44">
        <f>VLOOKUP(C12,[1]Останкино!$B$3:$C$32,2,FALSE)</f>
        <v>120</v>
      </c>
      <c r="E12" s="6">
        <f>D12*0.31</f>
        <v>37.200000000000003</v>
      </c>
      <c r="F12" s="34">
        <v>494.24</v>
      </c>
      <c r="G12" s="7">
        <f>F12*0.31</f>
        <v>153.21440000000001</v>
      </c>
      <c r="H12" s="8">
        <f t="shared" si="0"/>
        <v>145.55368000000001</v>
      </c>
      <c r="I12" s="20">
        <f t="shared" si="1"/>
        <v>4.9999999999999933E-2</v>
      </c>
    </row>
    <row r="13" spans="1:9" ht="11.1" customHeight="1" x14ac:dyDescent="0.2">
      <c r="A13" s="10" t="s">
        <v>25</v>
      </c>
      <c r="B13" s="26">
        <v>1001300387154</v>
      </c>
      <c r="C13" s="39" t="s">
        <v>26</v>
      </c>
      <c r="D13" s="44">
        <f>VLOOKUP(C13,[1]Останкино!$B$3:$C$32,2,FALSE)</f>
        <v>300</v>
      </c>
      <c r="E13" s="6">
        <f>D13*0.35</f>
        <v>105</v>
      </c>
      <c r="F13" s="34">
        <v>386.21</v>
      </c>
      <c r="G13" s="7">
        <f>F13*0.35</f>
        <v>135.17349999999999</v>
      </c>
      <c r="H13" s="8">
        <f t="shared" si="0"/>
        <v>128.41482499999998</v>
      </c>
      <c r="I13" s="20">
        <f t="shared" si="1"/>
        <v>5.0000000000000044E-2</v>
      </c>
    </row>
    <row r="14" spans="1:9" ht="11.1" customHeight="1" x14ac:dyDescent="0.2">
      <c r="A14" s="10" t="s">
        <v>27</v>
      </c>
      <c r="B14" s="26">
        <v>1001193115682</v>
      </c>
      <c r="C14" s="39" t="s">
        <v>28</v>
      </c>
      <c r="D14" s="44">
        <f>VLOOKUP(C14,[1]Останкино!$B$3:$C$32,2,FALSE)</f>
        <v>550</v>
      </c>
      <c r="E14" s="6">
        <f>D14*0.12</f>
        <v>66</v>
      </c>
      <c r="F14" s="34">
        <v>923.66</v>
      </c>
      <c r="G14" s="7">
        <f>F14*0.12</f>
        <v>110.83919999999999</v>
      </c>
      <c r="H14" s="8">
        <f t="shared" si="0"/>
        <v>105.29723999999999</v>
      </c>
      <c r="I14" s="20">
        <f t="shared" si="1"/>
        <v>5.0000000000000044E-2</v>
      </c>
    </row>
    <row r="15" spans="1:9" ht="11.1" customHeight="1" x14ac:dyDescent="0.2">
      <c r="A15" s="10" t="s">
        <v>29</v>
      </c>
      <c r="B15" s="27">
        <v>1001060755931</v>
      </c>
      <c r="C15" s="39" t="s">
        <v>30</v>
      </c>
      <c r="D15" s="44">
        <f>VLOOKUP(C15,[1]Останкино!$B$3:$C$32,2,FALSE)</f>
        <v>540</v>
      </c>
      <c r="E15" s="6">
        <f>D15*0.22</f>
        <v>118.8</v>
      </c>
      <c r="F15" s="34">
        <v>578.79</v>
      </c>
      <c r="G15" s="7">
        <f>F15*0.22</f>
        <v>127.3338</v>
      </c>
      <c r="H15" s="8">
        <f t="shared" si="0"/>
        <v>120.96710999999999</v>
      </c>
      <c r="I15" s="20">
        <f t="shared" si="1"/>
        <v>5.0000000000000044E-2</v>
      </c>
    </row>
    <row r="16" spans="1:9" ht="11.1" customHeight="1" x14ac:dyDescent="0.2">
      <c r="A16" s="10" t="s">
        <v>31</v>
      </c>
      <c r="B16" s="27">
        <v>1001062505483</v>
      </c>
      <c r="C16" s="39">
        <v>4607958071968</v>
      </c>
      <c r="D16" s="44">
        <f>VLOOKUP(C16,[1]Останкино!$B$3:$C$32,2,FALSE)</f>
        <v>250</v>
      </c>
      <c r="E16" s="6">
        <f>D16*0.25</f>
        <v>62.5</v>
      </c>
      <c r="F16" s="34">
        <v>620.49</v>
      </c>
      <c r="G16" s="7">
        <f>F16*0.25</f>
        <v>155.1225</v>
      </c>
      <c r="H16" s="8">
        <f t="shared" si="0"/>
        <v>147.36637500000001</v>
      </c>
      <c r="I16" s="20">
        <f t="shared" si="1"/>
        <v>4.9999999999999933E-2</v>
      </c>
    </row>
    <row r="17" spans="1:9" ht="11.1" customHeight="1" x14ac:dyDescent="0.2">
      <c r="A17" s="10" t="s">
        <v>32</v>
      </c>
      <c r="B17" s="26">
        <v>1001302347177</v>
      </c>
      <c r="C17" s="39" t="s">
        <v>33</v>
      </c>
      <c r="D17" s="44">
        <f>VLOOKUP(C17,[1]Останкино!$B$3:$C$32,2,FALSE)</f>
        <v>120</v>
      </c>
      <c r="E17" s="6">
        <f>D17*0.35</f>
        <v>42</v>
      </c>
      <c r="F17" s="34">
        <v>396.44</v>
      </c>
      <c r="G17" s="7">
        <f>F17*0.35</f>
        <v>138.75399999999999</v>
      </c>
      <c r="H17" s="8">
        <f t="shared" si="0"/>
        <v>131.81629999999998</v>
      </c>
      <c r="I17" s="20">
        <f t="shared" si="1"/>
        <v>5.0000000000000044E-2</v>
      </c>
    </row>
    <row r="18" spans="1:9" ht="11.1" customHeight="1" x14ac:dyDescent="0.2">
      <c r="A18" s="10" t="s">
        <v>34</v>
      </c>
      <c r="B18" s="26">
        <v>1001012486333</v>
      </c>
      <c r="C18" s="39">
        <v>4607958070862</v>
      </c>
      <c r="D18" s="44">
        <f>VLOOKUP(C18,[1]Останкино!$B$3:$C$32,2,FALSE)</f>
        <v>320</v>
      </c>
      <c r="E18" s="6">
        <f>D18*0.4</f>
        <v>128</v>
      </c>
      <c r="F18" s="34">
        <v>285.81</v>
      </c>
      <c r="G18" s="7">
        <f>F18*0.4</f>
        <v>114.32400000000001</v>
      </c>
      <c r="H18" s="8">
        <f t="shared" si="0"/>
        <v>108.60780000000001</v>
      </c>
      <c r="I18" s="20">
        <f t="shared" si="1"/>
        <v>5.0000000000000044E-2</v>
      </c>
    </row>
    <row r="19" spans="1:9" ht="11.1" customHeight="1" x14ac:dyDescent="0.2">
      <c r="A19" s="10" t="s">
        <v>35</v>
      </c>
      <c r="B19" s="26">
        <v>1001012636337</v>
      </c>
      <c r="C19" s="39">
        <v>4607958075638</v>
      </c>
      <c r="D19" s="44">
        <f>VLOOKUP(C19,[1]Останкино!$B$3:$C$32,2,FALSE)</f>
        <v>150</v>
      </c>
      <c r="E19" s="6">
        <f>D19*0.5</f>
        <v>75</v>
      </c>
      <c r="F19" s="34">
        <v>292.31</v>
      </c>
      <c r="G19" s="7">
        <f>F19*0.5</f>
        <v>146.155</v>
      </c>
      <c r="H19" s="8">
        <f t="shared" si="0"/>
        <v>138.84725</v>
      </c>
      <c r="I19" s="20">
        <f t="shared" si="1"/>
        <v>5.0000000000000044E-2</v>
      </c>
    </row>
    <row r="20" spans="1:9" ht="11.1" customHeight="1" x14ac:dyDescent="0.2">
      <c r="A20" s="10" t="s">
        <v>36</v>
      </c>
      <c r="B20" s="26">
        <v>1001022657074</v>
      </c>
      <c r="C20" s="39">
        <v>4607958077854</v>
      </c>
      <c r="D20" s="44">
        <f>VLOOKUP(C20,[1]Останкино!$B$3:$C$32,2,FALSE)</f>
        <v>340</v>
      </c>
      <c r="E20" s="6">
        <f>D20*0.6</f>
        <v>204</v>
      </c>
      <c r="F20" s="34">
        <v>291.33999999999997</v>
      </c>
      <c r="G20" s="7">
        <f>F20*0.6</f>
        <v>174.80399999999997</v>
      </c>
      <c r="H20" s="8">
        <f t="shared" si="0"/>
        <v>166.06379999999996</v>
      </c>
      <c r="I20" s="20">
        <f t="shared" si="1"/>
        <v>5.0000000000000044E-2</v>
      </c>
    </row>
    <row r="21" spans="1:9" ht="11.1" customHeight="1" x14ac:dyDescent="0.2">
      <c r="A21" s="10" t="s">
        <v>37</v>
      </c>
      <c r="B21" s="26">
        <v>1001215576586</v>
      </c>
      <c r="C21" s="39">
        <v>4607958077380</v>
      </c>
      <c r="D21" s="44">
        <f>VLOOKUP(C21,[1]Останкино!$B$3:$C$32,2,FALSE)</f>
        <v>120</v>
      </c>
      <c r="E21" s="6">
        <f>D21*0.09</f>
        <v>10.799999999999999</v>
      </c>
      <c r="F21" s="34">
        <v>968</v>
      </c>
      <c r="G21" s="7">
        <f>F21*0.09</f>
        <v>87.11999999999999</v>
      </c>
      <c r="H21" s="8">
        <f t="shared" si="0"/>
        <v>82.763999999999982</v>
      </c>
      <c r="I21" s="20">
        <f t="shared" si="1"/>
        <v>5.0000000000000155E-2</v>
      </c>
    </row>
    <row r="22" spans="1:9" ht="11.1" customHeight="1" x14ac:dyDescent="0.2">
      <c r="A22" s="10" t="s">
        <v>38</v>
      </c>
      <c r="B22" s="26">
        <v>1001225416228</v>
      </c>
      <c r="C22" s="39">
        <v>4607958076604</v>
      </c>
      <c r="D22" s="44">
        <f>VLOOKUP(C22,[1]Останкино!$B$3:$C$32,2,FALSE)</f>
        <v>250</v>
      </c>
      <c r="E22" s="6">
        <f>D22*0.09</f>
        <v>22.5</v>
      </c>
      <c r="F22" s="34">
        <v>1014.85</v>
      </c>
      <c r="G22" s="7">
        <f>F22*0.09</f>
        <v>91.336500000000001</v>
      </c>
      <c r="H22" s="8">
        <f t="shared" si="0"/>
        <v>86.769674999999992</v>
      </c>
      <c r="I22" s="20">
        <f t="shared" si="1"/>
        <v>5.0000000000000044E-2</v>
      </c>
    </row>
    <row r="23" spans="1:9" ht="11.1" customHeight="1" x14ac:dyDescent="0.2">
      <c r="A23" s="10" t="s">
        <v>51</v>
      </c>
      <c r="B23" s="26">
        <v>1001010027126</v>
      </c>
      <c r="C23" s="39">
        <v>4607958077373</v>
      </c>
      <c r="D23" s="44">
        <f>VLOOKUP(C23,[1]Останкино!$B$3:$C$32,2,FALSE)</f>
        <v>250</v>
      </c>
      <c r="E23" s="6">
        <f>D23*0.4</f>
        <v>100</v>
      </c>
      <c r="F23" s="34">
        <v>410.59</v>
      </c>
      <c r="G23" s="7">
        <f>F23*0.4</f>
        <v>164.23599999999999</v>
      </c>
      <c r="H23" s="8">
        <f>G23*0.95</f>
        <v>156.02419999999998</v>
      </c>
      <c r="I23" s="20">
        <f t="shared" si="1"/>
        <v>5.0000000000000044E-2</v>
      </c>
    </row>
    <row r="24" spans="1:9" ht="11.1" customHeight="1" x14ac:dyDescent="0.2">
      <c r="A24" s="10" t="s">
        <v>39</v>
      </c>
      <c r="B24" s="26">
        <v>1001203146834</v>
      </c>
      <c r="C24" s="39">
        <v>4607958077694</v>
      </c>
      <c r="D24" s="44">
        <f>VLOOKUP(C24,[1]Останкино!$B$3:$C$32,2,FALSE)</f>
        <v>220</v>
      </c>
      <c r="E24" s="6">
        <f>D24*0.1</f>
        <v>22</v>
      </c>
      <c r="F24" s="34">
        <v>823.58</v>
      </c>
      <c r="G24" s="7">
        <f>F24*0.1</f>
        <v>82.358000000000004</v>
      </c>
      <c r="H24" s="8">
        <f t="shared" si="0"/>
        <v>78.240099999999998</v>
      </c>
      <c r="I24" s="20">
        <f t="shared" si="1"/>
        <v>5.0000000000000044E-2</v>
      </c>
    </row>
    <row r="25" spans="1:9" ht="11.1" customHeight="1" x14ac:dyDescent="0.2">
      <c r="A25" s="10" t="s">
        <v>40</v>
      </c>
      <c r="B25" s="26">
        <v>1001063106937</v>
      </c>
      <c r="C25" s="39">
        <v>4607958078172</v>
      </c>
      <c r="D25" s="44">
        <f>VLOOKUP(C25,[1]Останкино!$B$3:$C$32,2,FALSE)</f>
        <v>260</v>
      </c>
      <c r="E25" s="6">
        <f>D25*0.25</f>
        <v>65</v>
      </c>
      <c r="F25" s="34">
        <v>712.8</v>
      </c>
      <c r="G25" s="7">
        <f>F25*0.25</f>
        <v>178.2</v>
      </c>
      <c r="H25" s="8">
        <f t="shared" si="0"/>
        <v>169.29</v>
      </c>
      <c r="I25" s="20">
        <f t="shared" si="1"/>
        <v>4.9999999999999933E-2</v>
      </c>
    </row>
    <row r="26" spans="1:9" ht="11.1" customHeight="1" x14ac:dyDescent="0.2">
      <c r="A26" s="10" t="s">
        <v>41</v>
      </c>
      <c r="B26" s="26">
        <v>1001025166776</v>
      </c>
      <c r="C26" s="39">
        <v>4607958077014</v>
      </c>
      <c r="D26" s="44">
        <f>VLOOKUP(C26,[1]Останкино!$B$3:$C$32,2,FALSE)</f>
        <v>420</v>
      </c>
      <c r="E26" s="6">
        <f>D26*0.35</f>
        <v>147</v>
      </c>
      <c r="F26" s="34">
        <v>308.06</v>
      </c>
      <c r="G26" s="7">
        <f>F26*0.35</f>
        <v>107.821</v>
      </c>
      <c r="H26" s="8">
        <f t="shared" si="0"/>
        <v>102.42994999999999</v>
      </c>
      <c r="I26" s="20">
        <f t="shared" si="1"/>
        <v>5.0000000000000044E-2</v>
      </c>
    </row>
    <row r="27" spans="1:9" ht="11.45" customHeight="1" x14ac:dyDescent="0.2">
      <c r="A27" s="11" t="s">
        <v>42</v>
      </c>
      <c r="B27" s="28">
        <v>1001025176475</v>
      </c>
      <c r="C27" s="40" t="s">
        <v>43</v>
      </c>
      <c r="D27" s="44">
        <f>VLOOKUP(C27,[1]Останкино!$B$3:$C$32,2,FALSE)</f>
        <v>440</v>
      </c>
      <c r="E27" s="6">
        <f>D27*0.4</f>
        <v>176</v>
      </c>
      <c r="F27" s="34">
        <v>338.89</v>
      </c>
      <c r="G27" s="7">
        <f>F27*0.4</f>
        <v>135.55600000000001</v>
      </c>
      <c r="H27" s="8">
        <f t="shared" si="0"/>
        <v>128.7782</v>
      </c>
      <c r="I27" s="20">
        <f t="shared" si="1"/>
        <v>5.0000000000000044E-2</v>
      </c>
    </row>
    <row r="28" spans="1:9" ht="11.45" customHeight="1" x14ac:dyDescent="0.2">
      <c r="A28" s="11" t="s">
        <v>50</v>
      </c>
      <c r="B28" s="28">
        <v>1001022467080</v>
      </c>
      <c r="C28" s="40">
        <v>4607958076055</v>
      </c>
      <c r="D28" s="44">
        <f>VLOOKUP(C28,[1]Останкино!$B$3:$C$32,2,FALSE)</f>
        <v>520</v>
      </c>
      <c r="E28" s="6">
        <f>D28*0.41</f>
        <v>213.2</v>
      </c>
      <c r="F28" s="34">
        <v>316.14999999999998</v>
      </c>
      <c r="G28" s="7">
        <f>F28*0.41</f>
        <v>129.62149999999997</v>
      </c>
      <c r="H28" s="8">
        <f t="shared" si="0"/>
        <v>123.14042499999996</v>
      </c>
      <c r="I28" s="20">
        <f t="shared" si="1"/>
        <v>5.0000000000000044E-2</v>
      </c>
    </row>
    <row r="29" spans="1:9" ht="11.45" customHeight="1" x14ac:dyDescent="0.2">
      <c r="A29" s="11" t="s">
        <v>44</v>
      </c>
      <c r="B29" s="28">
        <v>1001022377066</v>
      </c>
      <c r="C29" s="40">
        <v>4607958076024</v>
      </c>
      <c r="D29" s="44">
        <f>VLOOKUP(C29,[1]Останкино!$B$3:$C$32,2,FALSE)</f>
        <v>700</v>
      </c>
      <c r="E29" s="6">
        <f>D29*0.41</f>
        <v>287</v>
      </c>
      <c r="F29" s="34">
        <v>287.07</v>
      </c>
      <c r="G29" s="7">
        <f>F29*0.41</f>
        <v>117.69869999999999</v>
      </c>
      <c r="H29" s="8">
        <f t="shared" si="0"/>
        <v>111.81376499999999</v>
      </c>
      <c r="I29" s="20">
        <f t="shared" si="1"/>
        <v>5.0000000000000044E-2</v>
      </c>
    </row>
    <row r="30" spans="1:9" ht="11.45" customHeight="1" x14ac:dyDescent="0.2">
      <c r="A30" s="11" t="s">
        <v>45</v>
      </c>
      <c r="B30" s="28">
        <v>1001022246713</v>
      </c>
      <c r="C30" s="40">
        <v>4607958076031</v>
      </c>
      <c r="D30" s="44">
        <f>VLOOKUP(C30,[1]Останкино!$B$3:$C$32,2,FALSE)</f>
        <v>360</v>
      </c>
      <c r="E30" s="6">
        <f>D30*0.41</f>
        <v>147.6</v>
      </c>
      <c r="F30" s="34">
        <v>280</v>
      </c>
      <c r="G30" s="7">
        <f>F30*0.41</f>
        <v>114.8</v>
      </c>
      <c r="H30" s="8">
        <f t="shared" si="0"/>
        <v>109.05999999999999</v>
      </c>
      <c r="I30" s="20">
        <f t="shared" si="1"/>
        <v>5.0000000000000044E-2</v>
      </c>
    </row>
    <row r="31" spans="1:9" ht="11.45" customHeight="1" x14ac:dyDescent="0.2">
      <c r="A31" s="11" t="s">
        <v>46</v>
      </c>
      <c r="B31" s="28">
        <v>1001205386222</v>
      </c>
      <c r="C31" s="41" t="s">
        <v>47</v>
      </c>
      <c r="D31" s="44">
        <f>VLOOKUP(C31,[1]Останкино!$B$3:$C$32,2,FALSE)</f>
        <v>240</v>
      </c>
      <c r="E31" s="6">
        <f>D31*0.09</f>
        <v>21.599999999999998</v>
      </c>
      <c r="F31" s="34">
        <v>931.64</v>
      </c>
      <c r="G31" s="7">
        <f>F31*0.09</f>
        <v>83.8476</v>
      </c>
      <c r="H31" s="8">
        <f t="shared" si="0"/>
        <v>79.65522</v>
      </c>
      <c r="I31" s="20">
        <f t="shared" si="1"/>
        <v>5.0000000000000044E-2</v>
      </c>
    </row>
    <row r="32" spans="1:9" ht="11.45" customHeight="1" thickBot="1" x14ac:dyDescent="0.25">
      <c r="A32" s="12" t="s">
        <v>48</v>
      </c>
      <c r="B32" s="29">
        <v>1001205376221</v>
      </c>
      <c r="C32" s="42" t="s">
        <v>49</v>
      </c>
      <c r="D32" s="45">
        <f>VLOOKUP(C32,[1]Останкино!$B$3:$C$32,2,FALSE)</f>
        <v>450</v>
      </c>
      <c r="E32" s="13">
        <f>D32*0.09</f>
        <v>40.5</v>
      </c>
      <c r="F32" s="35">
        <v>937.87</v>
      </c>
      <c r="G32" s="14">
        <f>F32*0.09</f>
        <v>84.408299999999997</v>
      </c>
      <c r="H32" s="15">
        <f t="shared" si="0"/>
        <v>80.187884999999994</v>
      </c>
      <c r="I32" s="21">
        <f t="shared" si="1"/>
        <v>5.0000000000000044E-2</v>
      </c>
    </row>
    <row r="33" spans="4:5" ht="11.45" customHeight="1" x14ac:dyDescent="0.2">
      <c r="D33" s="16">
        <f>SUM(D3:D32)</f>
        <v>10300</v>
      </c>
      <c r="E33" s="16">
        <f>SUM(E3:E32)</f>
        <v>3152.2999999999993</v>
      </c>
    </row>
  </sheetData>
  <mergeCells count="6">
    <mergeCell ref="I1:I2"/>
    <mergeCell ref="A1:A2"/>
    <mergeCell ref="C1:C2"/>
    <mergeCell ref="D1:E1"/>
    <mergeCell ref="F1:G1"/>
    <mergeCell ref="H1:H2"/>
  </mergeCells>
  <pageMargins left="0.15748031496062992" right="0" top="0.74803149606299213" bottom="0.98425196850393704" header="0.51181102362204722" footer="0.51181102362204722"/>
  <pageSetup paperSize="9" orientation="landscape" r:id="rId1"/>
  <headerFooter>
    <oddHeader>&amp;L&amp;P&amp;CОстанкино&amp;R26.08.24</oddHeader>
  </headerFooter>
  <ignoredErrors>
    <ignoredError sqref="C5:C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Останкино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dcterms:created xsi:type="dcterms:W3CDTF">2025-06-05T13:11:20Z</dcterms:created>
  <dcterms:modified xsi:type="dcterms:W3CDTF">2025-07-02T08:25:29Z</dcterms:modified>
</cp:coreProperties>
</file>