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5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0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65"/>
  <sheetViews>
    <sheetView showGridLines="0" tabSelected="1" zoomScaleNormal="100" zoomScaleSheetLayoutView="100" workbookViewId="0">
      <selection activeCell="S14" sqref="S14"/>
    </sheetView>
  </sheetViews>
  <sheetFormatPr baseColWidth="8" defaultColWidth="9.140625" defaultRowHeight="12.75"/>
  <cols>
    <col width="9.140625" customWidth="1" style="39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97" min="18" max="18"/>
    <col width="6.140625" customWidth="1" style="39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97" min="24" max="24"/>
    <col width="11" customWidth="1" style="397" min="25" max="25"/>
    <col width="10" customWidth="1" style="397" min="26" max="26"/>
    <col width="11.5703125" customWidth="1" style="397" min="27" max="27"/>
    <col width="10.42578125" customWidth="1" style="397" min="28" max="28"/>
    <col width="30" customWidth="1" style="39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97" min="33" max="33"/>
    <col width="9.140625" customWidth="1" style="397" min="34" max="16384"/>
  </cols>
  <sheetData>
    <row r="1" ht="45" customFormat="1" customHeight="1" s="26">
      <c r="A1" s="47" t="n"/>
      <c r="B1" s="47" t="n"/>
      <c r="C1" s="47" t="n"/>
      <c r="D1" s="626" t="inlineStr">
        <is>
          <t xml:space="preserve">  БЛАНК ЗАКАЗА </t>
        </is>
      </c>
      <c r="G1" s="14" t="inlineStr">
        <is>
          <t>КИ</t>
        </is>
      </c>
      <c r="H1" s="626" t="inlineStr">
        <is>
          <t>на отгрузку продукции с ООО Трейд-Сервис с</t>
        </is>
      </c>
      <c r="R1" s="627" t="inlineStr">
        <is>
          <t>01.09.2025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26">
      <c r="A2" s="34" t="inlineStr">
        <is>
          <t>бланк создан</t>
        </is>
      </c>
      <c r="B2" s="35" t="inlineStr">
        <is>
          <t>27.08.2025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 t="n"/>
      <c r="R2" s="397" t="n"/>
      <c r="S2" s="397" t="n"/>
      <c r="T2" s="397" t="n"/>
      <c r="U2" s="397" t="n"/>
      <c r="V2" s="397" t="n"/>
      <c r="W2" s="39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97" t="n"/>
      <c r="Q3" s="397" t="n"/>
      <c r="R3" s="397" t="n"/>
      <c r="S3" s="397" t="n"/>
      <c r="T3" s="397" t="n"/>
      <c r="U3" s="397" t="n"/>
      <c r="V3" s="397" t="n"/>
      <c r="W3" s="39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26">
      <c r="A5" s="608" t="inlineStr">
        <is>
          <t xml:space="preserve">Ваш контактный телефон и имя: </t>
        </is>
      </c>
      <c r="B5" s="637" t="n"/>
      <c r="C5" s="638" t="n"/>
      <c r="D5" s="630" t="n"/>
      <c r="E5" s="639" t="n"/>
      <c r="F5" s="631" t="inlineStr">
        <is>
          <t>Комментарий к заказу:</t>
        </is>
      </c>
      <c r="G5" s="638" t="n"/>
      <c r="H5" s="630" t="n"/>
      <c r="I5" s="640" t="n"/>
      <c r="J5" s="640" t="n"/>
      <c r="K5" s="640" t="n"/>
      <c r="L5" s="640" t="n"/>
      <c r="M5" s="639" t="n"/>
      <c r="N5" s="72" t="n"/>
      <c r="P5" s="29" t="inlineStr">
        <is>
          <t>Дата загрузки</t>
        </is>
      </c>
      <c r="Q5" s="641" t="n">
        <v>45903</v>
      </c>
      <c r="R5" s="642" t="n"/>
      <c r="T5" s="634" t="inlineStr">
        <is>
          <t>Способ доставки (доставка/самовывоз)</t>
        </is>
      </c>
      <c r="U5" s="643" t="n"/>
      <c r="V5" s="644" t="inlineStr">
        <is>
          <t>Самовывоз</t>
        </is>
      </c>
      <c r="W5" s="642" t="n"/>
      <c r="AB5" s="59" t="n"/>
      <c r="AC5" s="59" t="n"/>
      <c r="AD5" s="59" t="n"/>
      <c r="AE5" s="59" t="n"/>
    </row>
    <row r="6" ht="24" customFormat="1" customHeight="1" s="26">
      <c r="A6" s="608" t="inlineStr">
        <is>
          <t>Адрес доставки:</t>
        </is>
      </c>
      <c r="B6" s="637" t="n"/>
      <c r="C6" s="638" t="n"/>
      <c r="D6" s="609" t="inlineStr">
        <is>
          <t>MOS PROD TORG, ООО, 100011, Яшнободский район, Ташкент г, JARQOґRGґON KOґCHASI, 22A-UY</t>
        </is>
      </c>
      <c r="E6" s="645" t="n"/>
      <c r="F6" s="645" t="n"/>
      <c r="G6" s="645" t="n"/>
      <c r="H6" s="645" t="n"/>
      <c r="I6" s="645" t="n"/>
      <c r="J6" s="645" t="n"/>
      <c r="K6" s="645" t="n"/>
      <c r="L6" s="645" t="n"/>
      <c r="M6" s="642" t="n"/>
      <c r="N6" s="73" t="n"/>
      <c r="P6" s="29" t="inlineStr">
        <is>
          <t>День недели</t>
        </is>
      </c>
      <c r="Q6" s="610">
        <f>IF(Q5=0," ",CHOOSE(WEEKDAY(Q5,2),"Понедельник","Вторник","Среда","Четверг","Пятница","Суббота","Воскресенье"))</f>
        <v/>
      </c>
      <c r="R6" s="646" t="n"/>
      <c r="T6" s="612" t="inlineStr">
        <is>
          <t>Наименование клиента</t>
        </is>
      </c>
      <c r="U6" s="643" t="n"/>
      <c r="V6" s="647" t="inlineStr">
        <is>
          <t>ОБЩЕСТВО С ОГРАНИЧЕННОЙ ОТВЕТСТВЕННОСТЬЮ "MOS PROD TORG"</t>
        </is>
      </c>
      <c r="W6" s="648" t="n"/>
      <c r="AB6" s="59" t="n"/>
      <c r="AC6" s="59" t="n"/>
      <c r="AD6" s="59" t="n"/>
      <c r="AE6" s="59" t="n"/>
    </row>
    <row r="7" hidden="1" ht="21.75" customFormat="1" customHeight="1" s="26">
      <c r="A7" s="64" t="n"/>
      <c r="B7" s="64" t="n"/>
      <c r="C7" s="64" t="n"/>
      <c r="D7" s="649">
        <f>IFERROR(VLOOKUP(DeliveryAddress,Table,3,0),1)</f>
        <v/>
      </c>
      <c r="E7" s="650" t="n"/>
      <c r="F7" s="650" t="n"/>
      <c r="G7" s="650" t="n"/>
      <c r="H7" s="650" t="n"/>
      <c r="I7" s="650" t="n"/>
      <c r="J7" s="650" t="n"/>
      <c r="K7" s="650" t="n"/>
      <c r="L7" s="650" t="n"/>
      <c r="M7" s="651" t="n"/>
      <c r="N7" s="74" t="n"/>
      <c r="P7" s="29" t="n"/>
      <c r="Q7" s="48" t="n"/>
      <c r="R7" s="48" t="n"/>
      <c r="T7" s="397" t="n"/>
      <c r="U7" s="643" t="n"/>
      <c r="V7" s="652" t="n"/>
      <c r="W7" s="653" t="n"/>
      <c r="AB7" s="59" t="n"/>
      <c r="AC7" s="59" t="n"/>
      <c r="AD7" s="59" t="n"/>
      <c r="AE7" s="59" t="n"/>
    </row>
    <row r="8" ht="25.5" customFormat="1" customHeight="1" s="26">
      <c r="A8" s="622" t="inlineStr">
        <is>
          <t>Адрес сдачи груза:</t>
        </is>
      </c>
      <c r="B8" s="654" t="n"/>
      <c r="C8" s="655" t="n"/>
      <c r="D8" s="623" t="inlineStr">
        <is>
          <t>100011, Яшнободский район, Ташкент г, JARQOґRGґON KOґCHASI, 22A-UYUZB</t>
        </is>
      </c>
      <c r="E8" s="656" t="n"/>
      <c r="F8" s="656" t="n"/>
      <c r="G8" s="656" t="n"/>
      <c r="H8" s="656" t="n"/>
      <c r="I8" s="656" t="n"/>
      <c r="J8" s="656" t="n"/>
      <c r="K8" s="656" t="n"/>
      <c r="L8" s="656" t="n"/>
      <c r="M8" s="657" t="n"/>
      <c r="N8" s="75" t="n"/>
      <c r="P8" s="29" t="inlineStr">
        <is>
          <t>Время загрузки</t>
        </is>
      </c>
      <c r="Q8" s="607" t="n">
        <v>0.4166666666666667</v>
      </c>
      <c r="R8" s="651" t="n"/>
      <c r="T8" s="397" t="n"/>
      <c r="U8" s="643" t="n"/>
      <c r="V8" s="652" t="n"/>
      <c r="W8" s="653" t="n"/>
      <c r="AB8" s="59" t="n"/>
      <c r="AC8" s="59" t="n"/>
      <c r="AD8" s="59" t="n"/>
      <c r="AE8" s="59" t="n"/>
    </row>
    <row r="9" ht="39.95" customFormat="1" customHeight="1" s="26">
      <c r="A9" s="5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 t="n"/>
      <c r="C9" s="397" t="n"/>
      <c r="D9" s="600" t="inlineStr"/>
      <c r="E9" s="3" t="n"/>
      <c r="F9" s="5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 t="n"/>
      <c r="H9" s="6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24" t="n"/>
      <c r="P9" s="31" t="inlineStr">
        <is>
          <t>Дата доставки</t>
        </is>
      </c>
      <c r="Q9" s="658" t="n"/>
      <c r="R9" s="659" t="n"/>
      <c r="T9" s="397" t="n"/>
      <c r="U9" s="643" t="n"/>
      <c r="V9" s="660" t="n"/>
      <c r="W9" s="661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26">
      <c r="A10" s="5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 t="n"/>
      <c r="C10" s="397" t="n"/>
      <c r="D10" s="600" t="n"/>
      <c r="E10" s="3" t="n"/>
      <c r="F10" s="5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 t="n"/>
      <c r="H10" s="602">
        <f>IFERROR(VLOOKUP($D$10,Proxy,2,FALSE),"")</f>
        <v/>
      </c>
      <c r="I10" s="397" t="n"/>
      <c r="J10" s="397" t="n"/>
      <c r="K10" s="397" t="n"/>
      <c r="L10" s="397" t="n"/>
      <c r="M10" s="397" t="n"/>
      <c r="N10" s="602" t="n"/>
      <c r="P10" s="31" t="inlineStr">
        <is>
          <t>Время доставки</t>
        </is>
      </c>
      <c r="Q10" s="603" t="n"/>
      <c r="R10" s="662" t="n"/>
      <c r="U10" s="29" t="inlineStr">
        <is>
          <t>КОД Аксапты Клиента</t>
        </is>
      </c>
      <c r="V10" s="663" t="inlineStr">
        <is>
          <t>592056</t>
        </is>
      </c>
      <c r="W10" s="648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06" t="n"/>
      <c r="R11" s="642" t="n"/>
      <c r="U11" s="29" t="inlineStr">
        <is>
          <t>Тип заказа</t>
        </is>
      </c>
      <c r="V11" s="585" t="inlineStr">
        <is>
          <t>Основной заказ</t>
        </is>
      </c>
      <c r="W11" s="659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26">
      <c r="A12" s="584" t="inlineStr">
        <is>
          <t>Телефоны для заказов: 8(919)002-63-01  E-mail: kolbasa@abiproduct.ru  Телефон сотрудников склада: 8 (910) 775-52-91</t>
        </is>
      </c>
      <c r="B12" s="637" t="n"/>
      <c r="C12" s="637" t="n"/>
      <c r="D12" s="637" t="n"/>
      <c r="E12" s="637" t="n"/>
      <c r="F12" s="637" t="n"/>
      <c r="G12" s="637" t="n"/>
      <c r="H12" s="637" t="n"/>
      <c r="I12" s="637" t="n"/>
      <c r="J12" s="637" t="n"/>
      <c r="K12" s="637" t="n"/>
      <c r="L12" s="637" t="n"/>
      <c r="M12" s="638" t="n"/>
      <c r="N12" s="76" t="n"/>
      <c r="P12" s="29" t="inlineStr">
        <is>
          <t>Время доставки 3 машины</t>
        </is>
      </c>
      <c r="Q12" s="607" t="n"/>
      <c r="R12" s="651" t="n"/>
      <c r="S12" s="28" t="n"/>
      <c r="U12" s="29" t="inlineStr">
        <is>
          <t>Инкотермс</t>
        </is>
      </c>
      <c r="V12" s="585" t="inlineStr">
        <is>
          <t>EXW</t>
        </is>
      </c>
      <c r="W12" s="659" t="n"/>
      <c r="AB12" s="59" t="n"/>
      <c r="AC12" s="59" t="n"/>
      <c r="AD12" s="59" t="n"/>
      <c r="AE12" s="59" t="n"/>
    </row>
    <row r="13" ht="23.25" customFormat="1" customHeight="1" s="26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7" t="n"/>
      <c r="C13" s="637" t="n"/>
      <c r="D13" s="637" t="n"/>
      <c r="E13" s="637" t="n"/>
      <c r="F13" s="637" t="n"/>
      <c r="G13" s="637" t="n"/>
      <c r="H13" s="637" t="n"/>
      <c r="I13" s="637" t="n"/>
      <c r="J13" s="637" t="n"/>
      <c r="K13" s="637" t="n"/>
      <c r="L13" s="637" t="n"/>
      <c r="M13" s="638" t="n"/>
      <c r="N13" s="76" t="n"/>
      <c r="O13" s="31" t="n"/>
      <c r="P13" s="31" t="inlineStr">
        <is>
          <t>Время доставки 4 машины</t>
        </is>
      </c>
      <c r="Q13" s="585" t="n"/>
      <c r="R13" s="659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26">
      <c r="A14" s="584" t="inlineStr">
        <is>
          <t>Телефон менеджера по логистике: 8 (919) 012-30-55 - по вопросам доставки продукции</t>
        </is>
      </c>
      <c r="B14" s="637" t="n"/>
      <c r="C14" s="637" t="n"/>
      <c r="D14" s="637" t="n"/>
      <c r="E14" s="637" t="n"/>
      <c r="F14" s="637" t="n"/>
      <c r="G14" s="637" t="n"/>
      <c r="H14" s="637" t="n"/>
      <c r="I14" s="637" t="n"/>
      <c r="J14" s="637" t="n"/>
      <c r="K14" s="637" t="n"/>
      <c r="L14" s="637" t="n"/>
      <c r="M14" s="638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26">
      <c r="A15" s="586" t="inlineStr">
        <is>
          <t>Телефон по работе с претензиями/жалобами (WhatSapp): 8 (980) 757-69-93       E-mail: Claims@abiproduct.ru</t>
        </is>
      </c>
      <c r="B15" s="637" t="n"/>
      <c r="C15" s="637" t="n"/>
      <c r="D15" s="637" t="n"/>
      <c r="E15" s="637" t="n"/>
      <c r="F15" s="637" t="n"/>
      <c r="G15" s="637" t="n"/>
      <c r="H15" s="637" t="n"/>
      <c r="I15" s="637" t="n"/>
      <c r="J15" s="637" t="n"/>
      <c r="K15" s="637" t="n"/>
      <c r="L15" s="637" t="n"/>
      <c r="M15" s="638" t="n"/>
      <c r="N15" s="77" t="n"/>
      <c r="P15" s="588" t="inlineStr">
        <is>
          <t>Кликните на продукт, чтобы просмотреть изображение</t>
        </is>
      </c>
      <c r="X15" s="26" t="n"/>
      <c r="Y15" s="26" t="n"/>
      <c r="Z15" s="26" t="n"/>
      <c r="AA15" s="2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664" t="n"/>
      <c r="Q16" s="664" t="n"/>
      <c r="R16" s="664" t="n"/>
      <c r="S16" s="664" t="n"/>
      <c r="T16" s="664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665" t="inlineStr">
        <is>
          <t>Код единицы продаж</t>
        </is>
      </c>
      <c r="B17" s="665" t="inlineStr">
        <is>
          <t>Код продукта</t>
        </is>
      </c>
      <c r="C17" s="666" t="inlineStr">
        <is>
          <t>Номер варианта</t>
        </is>
      </c>
      <c r="D17" s="665" t="inlineStr">
        <is>
          <t xml:space="preserve">Штрих-код </t>
        </is>
      </c>
      <c r="E17" s="667" t="n"/>
      <c r="F17" s="665" t="inlineStr">
        <is>
          <t>Вес нетто штуки, кг</t>
        </is>
      </c>
      <c r="G17" s="665" t="inlineStr">
        <is>
          <t>Кол-во штук в коробе, шт</t>
        </is>
      </c>
      <c r="H17" s="665" t="inlineStr">
        <is>
          <t>Вес нетто короба, кг</t>
        </is>
      </c>
      <c r="I17" s="665" t="inlineStr">
        <is>
          <t>Вес брутто короба, кг</t>
        </is>
      </c>
      <c r="J17" s="665" t="inlineStr">
        <is>
          <t>Кол-во кор. на паллте, шт</t>
        </is>
      </c>
      <c r="K17" s="665" t="inlineStr">
        <is>
          <t>Коробов в слое</t>
        </is>
      </c>
      <c r="L17" s="665" t="inlineStr">
        <is>
          <t>Квант заказа</t>
        </is>
      </c>
      <c r="M17" s="665" t="inlineStr">
        <is>
          <t>Завод</t>
        </is>
      </c>
      <c r="N17" s="665" t="inlineStr">
        <is>
          <t>Внешний код номенклатуры</t>
        </is>
      </c>
      <c r="O17" s="665" t="inlineStr">
        <is>
          <t>Срок годности, сут.</t>
        </is>
      </c>
      <c r="P17" s="665" t="inlineStr">
        <is>
          <t>Наименование</t>
        </is>
      </c>
      <c r="Q17" s="668" t="n"/>
      <c r="R17" s="668" t="n"/>
      <c r="S17" s="668" t="n"/>
      <c r="T17" s="667" t="n"/>
      <c r="U17" s="83" t="inlineStr">
        <is>
          <t>Доступно к отгрузке</t>
        </is>
      </c>
      <c r="V17" s="638" t="n"/>
      <c r="W17" s="665" t="inlineStr">
        <is>
          <t>Ед. изм.</t>
        </is>
      </c>
      <c r="X17" s="665" t="inlineStr">
        <is>
          <t>Заказ</t>
        </is>
      </c>
      <c r="Y17" s="669" t="inlineStr">
        <is>
          <t>Заказ с округлением до короба</t>
        </is>
      </c>
      <c r="Z17" s="670" t="inlineStr">
        <is>
          <t>Объём заказа, м3</t>
        </is>
      </c>
      <c r="AA17" s="671" t="inlineStr">
        <is>
          <t>Примечание по продуктку</t>
        </is>
      </c>
      <c r="AB17" s="671" t="inlineStr">
        <is>
          <t>Признак "НОВИНКА"</t>
        </is>
      </c>
      <c r="AC17" s="671" t="inlineStr">
        <is>
          <t>Декларация/Сертификат</t>
        </is>
      </c>
      <c r="AD17" s="671" t="inlineStr">
        <is>
          <t>Для формул</t>
        </is>
      </c>
      <c r="AE17" s="672" t="n"/>
      <c r="AF17" s="673" t="n"/>
      <c r="AG17" s="82" t="n"/>
      <c r="BD17" s="81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4" t="n"/>
      <c r="O18" s="674" t="n"/>
      <c r="P18" s="675" t="n"/>
      <c r="Q18" s="677" t="n"/>
      <c r="R18" s="677" t="n"/>
      <c r="S18" s="677" t="n"/>
      <c r="T18" s="676" t="n"/>
      <c r="U18" s="83" t="inlineStr">
        <is>
          <t>начиная с</t>
        </is>
      </c>
      <c r="V18" s="83" t="inlineStr">
        <is>
          <t>до</t>
        </is>
      </c>
      <c r="W18" s="674" t="n"/>
      <c r="X18" s="674" t="n"/>
      <c r="Y18" s="678" t="n"/>
      <c r="Z18" s="679" t="n"/>
      <c r="AA18" s="680" t="n"/>
      <c r="AB18" s="680" t="n"/>
      <c r="AC18" s="680" t="n"/>
      <c r="AD18" s="681" t="n"/>
      <c r="AE18" s="682" t="n"/>
      <c r="AF18" s="683" t="n"/>
      <c r="AG18" s="82" t="n"/>
      <c r="BD18" s="81" t="n"/>
    </row>
    <row r="19" ht="27.75" customHeight="1">
      <c r="A19" s="429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684" t="n"/>
      <c r="Z19" s="684" t="n"/>
      <c r="AA19" s="54" t="n"/>
      <c r="AB19" s="54" t="n"/>
      <c r="AC19" s="54" t="n"/>
    </row>
    <row r="20" ht="16.5" customHeight="1">
      <c r="A20" s="430" t="inlineStr">
        <is>
          <t>Ядрена копоть</t>
        </is>
      </c>
      <c r="B20" s="397" t="n"/>
      <c r="C20" s="397" t="n"/>
      <c r="D20" s="397" t="n"/>
      <c r="E20" s="397" t="n"/>
      <c r="F20" s="397" t="n"/>
      <c r="G20" s="397" t="n"/>
      <c r="H20" s="397" t="n"/>
      <c r="I20" s="397" t="n"/>
      <c r="J20" s="397" t="n"/>
      <c r="K20" s="397" t="n"/>
      <c r="L20" s="397" t="n"/>
      <c r="M20" s="397" t="n"/>
      <c r="N20" s="397" t="n"/>
      <c r="O20" s="397" t="n"/>
      <c r="P20" s="397" t="n"/>
      <c r="Q20" s="397" t="n"/>
      <c r="R20" s="397" t="n"/>
      <c r="S20" s="397" t="n"/>
      <c r="T20" s="397" t="n"/>
      <c r="U20" s="397" t="n"/>
      <c r="V20" s="397" t="n"/>
      <c r="W20" s="397" t="n"/>
      <c r="X20" s="397" t="n"/>
      <c r="Y20" s="397" t="n"/>
      <c r="Z20" s="397" t="n"/>
      <c r="AA20" s="430" t="n"/>
      <c r="AB20" s="430" t="n"/>
      <c r="AC20" s="430" t="n"/>
    </row>
    <row r="21" ht="14.25" customHeight="1">
      <c r="A21" s="400" t="inlineStr">
        <is>
          <t>Сосиски</t>
        </is>
      </c>
      <c r="B21" s="397" t="n"/>
      <c r="C21" s="397" t="n"/>
      <c r="D21" s="397" t="n"/>
      <c r="E21" s="397" t="n"/>
      <c r="F21" s="397" t="n"/>
      <c r="G21" s="397" t="n"/>
      <c r="H21" s="397" t="n"/>
      <c r="I21" s="397" t="n"/>
      <c r="J21" s="397" t="n"/>
      <c r="K21" s="397" t="n"/>
      <c r="L21" s="397" t="n"/>
      <c r="M21" s="397" t="n"/>
      <c r="N21" s="397" t="n"/>
      <c r="O21" s="397" t="n"/>
      <c r="P21" s="397" t="n"/>
      <c r="Q21" s="397" t="n"/>
      <c r="R21" s="397" t="n"/>
      <c r="S21" s="397" t="n"/>
      <c r="T21" s="397" t="n"/>
      <c r="U21" s="397" t="n"/>
      <c r="V21" s="397" t="n"/>
      <c r="W21" s="397" t="n"/>
      <c r="X21" s="397" t="n"/>
      <c r="Y21" s="397" t="n"/>
      <c r="Z21" s="397" t="n"/>
      <c r="AA21" s="400" t="n"/>
      <c r="AB21" s="400" t="n"/>
      <c r="AC21" s="400" t="n"/>
    </row>
    <row r="22" ht="27" customHeight="1">
      <c r="A22" s="63" t="inlineStr">
        <is>
          <t>SU003821</t>
        </is>
      </c>
      <c r="B22" s="63" t="inlineStr">
        <is>
          <t>P004874</t>
        </is>
      </c>
      <c r="C22" s="36" t="n">
        <v>4301051907</v>
      </c>
      <c r="D22" s="401" t="n">
        <v>4680115886230</v>
      </c>
      <c r="E22" s="646" t="n"/>
      <c r="F22" s="685" t="n">
        <v>0.3</v>
      </c>
      <c r="G22" s="37" t="n">
        <v>6</v>
      </c>
      <c r="H22" s="685" t="n">
        <v>1.8</v>
      </c>
      <c r="I22" s="685" t="n">
        <v>2.046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686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2" s="687" t="n"/>
      <c r="R22" s="687" t="n"/>
      <c r="S22" s="687" t="n"/>
      <c r="T22" s="688" t="n"/>
      <c r="U22" s="39" t="inlineStr"/>
      <c r="V22" s="39" t="inlineStr"/>
      <c r="W22" s="40" t="inlineStr">
        <is>
          <t>кг</t>
        </is>
      </c>
      <c r="X22" s="689" t="n">
        <v>0</v>
      </c>
      <c r="Y22" s="690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Д-RU.РА03.В.24952/24, ЕАЭС N RU Д-RU.РА04.В.77529/23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SU003820</t>
        </is>
      </c>
      <c r="B23" s="63" t="inlineStr">
        <is>
          <t>P004876</t>
        </is>
      </c>
      <c r="C23" s="36" t="n">
        <v>4301051909</v>
      </c>
      <c r="D23" s="401" t="n">
        <v>4680115886247</v>
      </c>
      <c r="E23" s="646" t="n"/>
      <c r="F23" s="685" t="n">
        <v>0.3</v>
      </c>
      <c r="G23" s="37" t="n">
        <v>6</v>
      </c>
      <c r="H23" s="685" t="n">
        <v>1.8</v>
      </c>
      <c r="I23" s="685" t="n">
        <v>2.046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691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3" s="687" t="n"/>
      <c r="R23" s="687" t="n"/>
      <c r="S23" s="687" t="n"/>
      <c r="T23" s="688" t="n"/>
      <c r="U23" s="39" t="inlineStr"/>
      <c r="V23" s="39" t="inlineStr"/>
      <c r="W23" s="40" t="inlineStr">
        <is>
          <t>кг</t>
        </is>
      </c>
      <c r="X23" s="689" t="n">
        <v>0</v>
      </c>
      <c r="Y23" s="690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Д-RU.РА03.В.10942/23, ЕАЭС N RU Д-RU.РА04.В.77492/23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>
      <c r="A24" s="410" t="n"/>
      <c r="B24" s="397" t="n"/>
      <c r="C24" s="397" t="n"/>
      <c r="D24" s="397" t="n"/>
      <c r="E24" s="397" t="n"/>
      <c r="F24" s="397" t="n"/>
      <c r="G24" s="397" t="n"/>
      <c r="H24" s="397" t="n"/>
      <c r="I24" s="397" t="n"/>
      <c r="J24" s="397" t="n"/>
      <c r="K24" s="397" t="n"/>
      <c r="L24" s="397" t="n"/>
      <c r="M24" s="397" t="n"/>
      <c r="N24" s="397" t="n"/>
      <c r="O24" s="692" t="n"/>
      <c r="P24" s="693" t="inlineStr">
        <is>
          <t>Итого</t>
        </is>
      </c>
      <c r="Q24" s="654" t="n"/>
      <c r="R24" s="654" t="n"/>
      <c r="S24" s="654" t="n"/>
      <c r="T24" s="654" t="n"/>
      <c r="U24" s="654" t="n"/>
      <c r="V24" s="655" t="n"/>
      <c r="W24" s="42" t="inlineStr">
        <is>
          <t>кор</t>
        </is>
      </c>
      <c r="X24" s="694">
        <f>IFERROR(X22/H22,"0")+IFERROR(X23/H23,"0")</f>
        <v/>
      </c>
      <c r="Y24" s="694">
        <f>IFERROR(Y22/H22,"0")+IFERROR(Y23/H23,"0")</f>
        <v/>
      </c>
      <c r="Z24" s="694">
        <f>IFERROR(IF(Z22="",0,Z22),"0")+IFERROR(IF(Z23="",0,Z23),"0")</f>
        <v/>
      </c>
      <c r="AA24" s="695" t="n"/>
      <c r="AB24" s="695" t="n"/>
      <c r="AC24" s="695" t="n"/>
    </row>
    <row r="25">
      <c r="A25" s="397" t="n"/>
      <c r="B25" s="397" t="n"/>
      <c r="C25" s="397" t="n"/>
      <c r="D25" s="397" t="n"/>
      <c r="E25" s="397" t="n"/>
      <c r="F25" s="397" t="n"/>
      <c r="G25" s="397" t="n"/>
      <c r="H25" s="397" t="n"/>
      <c r="I25" s="397" t="n"/>
      <c r="J25" s="397" t="n"/>
      <c r="K25" s="397" t="n"/>
      <c r="L25" s="397" t="n"/>
      <c r="M25" s="397" t="n"/>
      <c r="N25" s="397" t="n"/>
      <c r="O25" s="692" t="n"/>
      <c r="P25" s="693" t="inlineStr">
        <is>
          <t>Итого</t>
        </is>
      </c>
      <c r="Q25" s="654" t="n"/>
      <c r="R25" s="654" t="n"/>
      <c r="S25" s="654" t="n"/>
      <c r="T25" s="654" t="n"/>
      <c r="U25" s="654" t="n"/>
      <c r="V25" s="655" t="n"/>
      <c r="W25" s="42" t="inlineStr">
        <is>
          <t>кг</t>
        </is>
      </c>
      <c r="X25" s="694">
        <f>IFERROR(SUM(X22:X23),"0")</f>
        <v/>
      </c>
      <c r="Y25" s="694">
        <f>IFERROR(SUM(Y22:Y23),"0")</f>
        <v/>
      </c>
      <c r="Z25" s="42" t="n"/>
      <c r="AA25" s="695" t="n"/>
      <c r="AB25" s="695" t="n"/>
      <c r="AC25" s="695" t="n"/>
    </row>
    <row r="26" ht="14.25" customHeight="1">
      <c r="A26" s="400" t="inlineStr">
        <is>
          <t>Сырокопченые колбасы</t>
        </is>
      </c>
      <c r="B26" s="397" t="n"/>
      <c r="C26" s="397" t="n"/>
      <c r="D26" s="397" t="n"/>
      <c r="E26" s="397" t="n"/>
      <c r="F26" s="397" t="n"/>
      <c r="G26" s="397" t="n"/>
      <c r="H26" s="397" t="n"/>
      <c r="I26" s="397" t="n"/>
      <c r="J26" s="397" t="n"/>
      <c r="K26" s="397" t="n"/>
      <c r="L26" s="397" t="n"/>
      <c r="M26" s="397" t="n"/>
      <c r="N26" s="397" t="n"/>
      <c r="O26" s="397" t="n"/>
      <c r="P26" s="397" t="n"/>
      <c r="Q26" s="397" t="n"/>
      <c r="R26" s="397" t="n"/>
      <c r="S26" s="397" t="n"/>
      <c r="T26" s="397" t="n"/>
      <c r="U26" s="397" t="n"/>
      <c r="V26" s="397" t="n"/>
      <c r="W26" s="397" t="n"/>
      <c r="X26" s="397" t="n"/>
      <c r="Y26" s="397" t="n"/>
      <c r="Z26" s="397" t="n"/>
      <c r="AA26" s="400" t="n"/>
      <c r="AB26" s="400" t="n"/>
      <c r="AC26" s="400" t="n"/>
    </row>
    <row r="27" ht="27" customHeight="1">
      <c r="A27" s="63" t="inlineStr">
        <is>
          <t>SU002050</t>
        </is>
      </c>
      <c r="B27" s="63" t="inlineStr">
        <is>
          <t>P002188</t>
        </is>
      </c>
      <c r="C27" s="36" t="n">
        <v>4301032013</v>
      </c>
      <c r="D27" s="401" t="n">
        <v>4607091388503</v>
      </c>
      <c r="E27" s="646" t="n"/>
      <c r="F27" s="685" t="n">
        <v>0.05</v>
      </c>
      <c r="G27" s="37" t="n">
        <v>12</v>
      </c>
      <c r="H27" s="685" t="n">
        <v>0.6</v>
      </c>
      <c r="I27" s="685" t="n">
        <v>0.822</v>
      </c>
      <c r="J27" s="37" t="n">
        <v>182</v>
      </c>
      <c r="K27" s="37" t="inlineStr">
        <is>
          <t>14</t>
        </is>
      </c>
      <c r="L27" s="37" t="inlineStr"/>
      <c r="M27" s="38" t="inlineStr">
        <is>
          <t>АК</t>
        </is>
      </c>
      <c r="N27" s="38" t="n"/>
      <c r="O27" s="37" t="n">
        <v>120</v>
      </c>
      <c r="P27" s="69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7" s="687" t="n"/>
      <c r="R27" s="687" t="n"/>
      <c r="S27" s="687" t="n"/>
      <c r="T27" s="688" t="n"/>
      <c r="U27" s="39" t="inlineStr"/>
      <c r="V27" s="39" t="inlineStr"/>
      <c r="W27" s="40" t="inlineStr">
        <is>
          <t>кг</t>
        </is>
      </c>
      <c r="X27" s="689" t="n">
        <v>0</v>
      </c>
      <c r="Y27" s="690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Д-RU.РА01.В.14797/20</t>
        </is>
      </c>
      <c r="AG27" s="78" t="n"/>
      <c r="AJ27" s="84" t="inlineStr"/>
      <c r="AK27" s="84" t="n">
        <v>0</v>
      </c>
      <c r="BB27" s="91" t="inlineStr">
        <is>
          <t>СНК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>
      <c r="A28" s="410" t="n"/>
      <c r="B28" s="397" t="n"/>
      <c r="C28" s="397" t="n"/>
      <c r="D28" s="397" t="n"/>
      <c r="E28" s="397" t="n"/>
      <c r="F28" s="397" t="n"/>
      <c r="G28" s="397" t="n"/>
      <c r="H28" s="397" t="n"/>
      <c r="I28" s="397" t="n"/>
      <c r="J28" s="397" t="n"/>
      <c r="K28" s="397" t="n"/>
      <c r="L28" s="397" t="n"/>
      <c r="M28" s="397" t="n"/>
      <c r="N28" s="397" t="n"/>
      <c r="O28" s="692" t="n"/>
      <c r="P28" s="693" t="inlineStr">
        <is>
          <t>Итого</t>
        </is>
      </c>
      <c r="Q28" s="654" t="n"/>
      <c r="R28" s="654" t="n"/>
      <c r="S28" s="654" t="n"/>
      <c r="T28" s="654" t="n"/>
      <c r="U28" s="654" t="n"/>
      <c r="V28" s="655" t="n"/>
      <c r="W28" s="42" t="inlineStr">
        <is>
          <t>кор</t>
        </is>
      </c>
      <c r="X28" s="694">
        <f>IFERROR(X27/H27,"0")</f>
        <v/>
      </c>
      <c r="Y28" s="694">
        <f>IFERROR(Y27/H27,"0")</f>
        <v/>
      </c>
      <c r="Z28" s="694">
        <f>IFERROR(IF(Z27="",0,Z27),"0")</f>
        <v/>
      </c>
      <c r="AA28" s="695" t="n"/>
      <c r="AB28" s="695" t="n"/>
      <c r="AC28" s="695" t="n"/>
    </row>
    <row r="29">
      <c r="A29" s="397" t="n"/>
      <c r="B29" s="397" t="n"/>
      <c r="C29" s="397" t="n"/>
      <c r="D29" s="397" t="n"/>
      <c r="E29" s="397" t="n"/>
      <c r="F29" s="397" t="n"/>
      <c r="G29" s="397" t="n"/>
      <c r="H29" s="397" t="n"/>
      <c r="I29" s="397" t="n"/>
      <c r="J29" s="397" t="n"/>
      <c r="K29" s="397" t="n"/>
      <c r="L29" s="397" t="n"/>
      <c r="M29" s="397" t="n"/>
      <c r="N29" s="397" t="n"/>
      <c r="O29" s="692" t="n"/>
      <c r="P29" s="693" t="inlineStr">
        <is>
          <t>Итого</t>
        </is>
      </c>
      <c r="Q29" s="654" t="n"/>
      <c r="R29" s="654" t="n"/>
      <c r="S29" s="654" t="n"/>
      <c r="T29" s="654" t="n"/>
      <c r="U29" s="654" t="n"/>
      <c r="V29" s="655" t="n"/>
      <c r="W29" s="42" t="inlineStr">
        <is>
          <t>кг</t>
        </is>
      </c>
      <c r="X29" s="694">
        <f>IFERROR(SUM(X27:X27),"0")</f>
        <v/>
      </c>
      <c r="Y29" s="694">
        <f>IFERROR(SUM(Y27:Y27),"0")</f>
        <v/>
      </c>
      <c r="Z29" s="42" t="n"/>
      <c r="AA29" s="695" t="n"/>
      <c r="AB29" s="695" t="n"/>
      <c r="AC29" s="695" t="n"/>
    </row>
    <row r="30" ht="27.75" customHeight="1">
      <c r="A30" s="429" t="inlineStr">
        <is>
          <t>Вязанка</t>
        </is>
      </c>
      <c r="B30" s="684" t="n"/>
      <c r="C30" s="684" t="n"/>
      <c r="D30" s="684" t="n"/>
      <c r="E30" s="684" t="n"/>
      <c r="F30" s="684" t="n"/>
      <c r="G30" s="684" t="n"/>
      <c r="H30" s="684" t="n"/>
      <c r="I30" s="684" t="n"/>
      <c r="J30" s="684" t="n"/>
      <c r="K30" s="684" t="n"/>
      <c r="L30" s="684" t="n"/>
      <c r="M30" s="684" t="n"/>
      <c r="N30" s="684" t="n"/>
      <c r="O30" s="684" t="n"/>
      <c r="P30" s="684" t="n"/>
      <c r="Q30" s="684" t="n"/>
      <c r="R30" s="684" t="n"/>
      <c r="S30" s="684" t="n"/>
      <c r="T30" s="684" t="n"/>
      <c r="U30" s="684" t="n"/>
      <c r="V30" s="684" t="n"/>
      <c r="W30" s="684" t="n"/>
      <c r="X30" s="684" t="n"/>
      <c r="Y30" s="684" t="n"/>
      <c r="Z30" s="684" t="n"/>
      <c r="AA30" s="54" t="n"/>
      <c r="AB30" s="54" t="n"/>
      <c r="AC30" s="54" t="n"/>
    </row>
    <row r="31" ht="16.5" customHeight="1">
      <c r="A31" s="430" t="inlineStr">
        <is>
          <t>ГОСТ</t>
        </is>
      </c>
      <c r="B31" s="397" t="n"/>
      <c r="C31" s="397" t="n"/>
      <c r="D31" s="397" t="n"/>
      <c r="E31" s="397" t="n"/>
      <c r="F31" s="397" t="n"/>
      <c r="G31" s="397" t="n"/>
      <c r="H31" s="397" t="n"/>
      <c r="I31" s="397" t="n"/>
      <c r="J31" s="397" t="n"/>
      <c r="K31" s="397" t="n"/>
      <c r="L31" s="397" t="n"/>
      <c r="M31" s="397" t="n"/>
      <c r="N31" s="397" t="n"/>
      <c r="O31" s="397" t="n"/>
      <c r="P31" s="397" t="n"/>
      <c r="Q31" s="397" t="n"/>
      <c r="R31" s="397" t="n"/>
      <c r="S31" s="397" t="n"/>
      <c r="T31" s="397" t="n"/>
      <c r="U31" s="397" t="n"/>
      <c r="V31" s="397" t="n"/>
      <c r="W31" s="397" t="n"/>
      <c r="X31" s="397" t="n"/>
      <c r="Y31" s="397" t="n"/>
      <c r="Z31" s="397" t="n"/>
      <c r="AA31" s="430" t="n"/>
      <c r="AB31" s="430" t="n"/>
      <c r="AC31" s="430" t="n"/>
    </row>
    <row r="32" ht="14.25" customHeight="1">
      <c r="A32" s="400" t="inlineStr">
        <is>
          <t>Вареные колбасы</t>
        </is>
      </c>
      <c r="B32" s="397" t="n"/>
      <c r="C32" s="397" t="n"/>
      <c r="D32" s="397" t="n"/>
      <c r="E32" s="397" t="n"/>
      <c r="F32" s="397" t="n"/>
      <c r="G32" s="397" t="n"/>
      <c r="H32" s="397" t="n"/>
      <c r="I32" s="397" t="n"/>
      <c r="J32" s="397" t="n"/>
      <c r="K32" s="397" t="n"/>
      <c r="L32" s="397" t="n"/>
      <c r="M32" s="397" t="n"/>
      <c r="N32" s="397" t="n"/>
      <c r="O32" s="397" t="n"/>
      <c r="P32" s="397" t="n"/>
      <c r="Q32" s="397" t="n"/>
      <c r="R32" s="397" t="n"/>
      <c r="S32" s="397" t="n"/>
      <c r="T32" s="397" t="n"/>
      <c r="U32" s="397" t="n"/>
      <c r="V32" s="397" t="n"/>
      <c r="W32" s="397" t="n"/>
      <c r="X32" s="397" t="n"/>
      <c r="Y32" s="397" t="n"/>
      <c r="Z32" s="397" t="n"/>
      <c r="AA32" s="400" t="n"/>
      <c r="AB32" s="400" t="n"/>
      <c r="AC32" s="400" t="n"/>
    </row>
    <row r="33" ht="16.5" customHeight="1">
      <c r="A33" s="63" t="inlineStr">
        <is>
          <t>SU000722</t>
        </is>
      </c>
      <c r="B33" s="63" t="inlineStr">
        <is>
          <t>P003011</t>
        </is>
      </c>
      <c r="C33" s="36" t="n">
        <v>4301011380</v>
      </c>
      <c r="D33" s="401" t="n">
        <v>4607091385670</v>
      </c>
      <c r="E33" s="646" t="n"/>
      <c r="F33" s="685" t="n">
        <v>1.35</v>
      </c>
      <c r="G33" s="37" t="n">
        <v>8</v>
      </c>
      <c r="H33" s="685" t="n">
        <v>10.8</v>
      </c>
      <c r="I33" s="685" t="n">
        <v>11.235</v>
      </c>
      <c r="J33" s="37" t="n">
        <v>64</v>
      </c>
      <c r="K33" s="37" t="inlineStr">
        <is>
          <t>8</t>
        </is>
      </c>
      <c r="L33" s="37" t="inlineStr"/>
      <c r="M33" s="38" t="inlineStr">
        <is>
          <t>СК1</t>
        </is>
      </c>
      <c r="N33" s="38" t="n"/>
      <c r="O33" s="37" t="n">
        <v>50</v>
      </c>
      <c r="P33" s="69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3" s="687" t="n"/>
      <c r="R33" s="687" t="n"/>
      <c r="S33" s="687" t="n"/>
      <c r="T33" s="688" t="n"/>
      <c r="U33" s="39" t="inlineStr"/>
      <c r="V33" s="39" t="inlineStr"/>
      <c r="W33" s="40" t="inlineStr">
        <is>
          <t>кг</t>
        </is>
      </c>
      <c r="X33" s="689" t="n">
        <v>0</v>
      </c>
      <c r="Y33" s="690">
        <f>IFERROR(IF(X33="",0,CEILING((X33/$H33),1)*$H33),"")</f>
        <v/>
      </c>
      <c r="Z33" s="41">
        <f>IFERROR(IF(Y33=0,"",ROUNDUP(Y33/H33,0)*0.01898),"")</f>
        <v/>
      </c>
      <c r="AA33" s="68" t="inlineStr"/>
      <c r="AB33" s="69" t="inlineStr"/>
      <c r="AC33" s="92" t="inlineStr">
        <is>
          <t>ЕАЭС N RU Д- RU.РА01.В.79635/20</t>
        </is>
      </c>
      <c r="AG33" s="78" t="n"/>
      <c r="AJ33" s="84" t="inlineStr"/>
      <c r="AK33" s="84" t="n">
        <v>0</v>
      </c>
      <c r="BB33" s="9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 ht="27" customHeight="1">
      <c r="A34" s="63" t="inlineStr">
        <is>
          <t>SU001485</t>
        </is>
      </c>
      <c r="B34" s="63" t="inlineStr">
        <is>
          <t>P003008</t>
        </is>
      </c>
      <c r="C34" s="36" t="n">
        <v>4301011382</v>
      </c>
      <c r="D34" s="401" t="n">
        <v>4607091385687</v>
      </c>
      <c r="E34" s="646" t="n"/>
      <c r="F34" s="685" t="n">
        <v>0.4</v>
      </c>
      <c r="G34" s="37" t="n">
        <v>10</v>
      </c>
      <c r="H34" s="685" t="n">
        <v>4</v>
      </c>
      <c r="I34" s="685" t="n">
        <v>4.21</v>
      </c>
      <c r="J34" s="37" t="n">
        <v>132</v>
      </c>
      <c r="K34" s="37" t="inlineStr">
        <is>
          <t>12</t>
        </is>
      </c>
      <c r="L34" s="37" t="inlineStr"/>
      <c r="M34" s="38" t="inlineStr">
        <is>
          <t>СК3</t>
        </is>
      </c>
      <c r="N34" s="38" t="n"/>
      <c r="O34" s="37" t="n">
        <v>50</v>
      </c>
      <c r="P34" s="69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4" s="687" t="n"/>
      <c r="R34" s="687" t="n"/>
      <c r="S34" s="687" t="n"/>
      <c r="T34" s="688" t="n"/>
      <c r="U34" s="39" t="inlineStr"/>
      <c r="V34" s="39" t="inlineStr"/>
      <c r="W34" s="40" t="inlineStr">
        <is>
          <t>кг</t>
        </is>
      </c>
      <c r="X34" s="689" t="n">
        <v>0</v>
      </c>
      <c r="Y34" s="690">
        <f>IFERROR(IF(X34="",0,CEILING((X34/$H34),1)*$H34),"")</f>
        <v/>
      </c>
      <c r="Z34" s="41">
        <f>IFERROR(IF(Y34=0,"",ROUNDUP(Y34/H34,0)*0.00902),"")</f>
        <v/>
      </c>
      <c r="AA34" s="68" t="inlineStr"/>
      <c r="AB34" s="69" t="inlineStr"/>
      <c r="AC34" s="94" t="inlineStr">
        <is>
          <t>ЕАЭС N RU Д- RU.РА01.В.79635/20</t>
        </is>
      </c>
      <c r="AG34" s="78" t="n"/>
      <c r="AJ34" s="84" t="inlineStr"/>
      <c r="AK34" s="84" t="n">
        <v>0</v>
      </c>
      <c r="BB34" s="95" t="inlineStr">
        <is>
          <t>КИ</t>
        </is>
      </c>
      <c r="BM34" s="78">
        <f>IFERROR(X34*I34/H34,"0")</f>
        <v/>
      </c>
      <c r="BN34" s="78">
        <f>IFERROR(Y34*I34/H34,"0")</f>
        <v/>
      </c>
      <c r="BO34" s="78">
        <f>IFERROR(1/J34*(X34/H34),"0")</f>
        <v/>
      </c>
      <c r="BP34" s="78">
        <f>IFERROR(1/J34*(Y34/H34),"0")</f>
        <v/>
      </c>
    </row>
    <row r="35" ht="27" customHeight="1">
      <c r="A35" s="63" t="inlineStr">
        <is>
          <t>SU002986</t>
        </is>
      </c>
      <c r="B35" s="63" t="inlineStr">
        <is>
          <t>P003429</t>
        </is>
      </c>
      <c r="C35" s="36" t="n">
        <v>4301011565</v>
      </c>
      <c r="D35" s="401" t="n">
        <v>4680115882539</v>
      </c>
      <c r="E35" s="646" t="n"/>
      <c r="F35" s="685" t="n">
        <v>0.37</v>
      </c>
      <c r="G35" s="37" t="n">
        <v>10</v>
      </c>
      <c r="H35" s="685" t="n">
        <v>3.7</v>
      </c>
      <c r="I35" s="685" t="n">
        <v>3.91</v>
      </c>
      <c r="J35" s="37" t="n">
        <v>132</v>
      </c>
      <c r="K35" s="37" t="inlineStr">
        <is>
          <t>12</t>
        </is>
      </c>
      <c r="L35" s="37" t="inlineStr"/>
      <c r="M35" s="38" t="inlineStr">
        <is>
          <t>СК3</t>
        </is>
      </c>
      <c r="N35" s="38" t="n"/>
      <c r="O35" s="37" t="n">
        <v>50</v>
      </c>
      <c r="P35" s="69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5" s="687" t="n"/>
      <c r="R35" s="687" t="n"/>
      <c r="S35" s="687" t="n"/>
      <c r="T35" s="688" t="n"/>
      <c r="U35" s="39" t="inlineStr"/>
      <c r="V35" s="39" t="inlineStr"/>
      <c r="W35" s="40" t="inlineStr">
        <is>
          <t>кг</t>
        </is>
      </c>
      <c r="X35" s="689" t="n">
        <v>0</v>
      </c>
      <c r="Y35" s="690">
        <f>IFERROR(IF(X35="",0,CEILING((X35/$H35),1)*$H35),"")</f>
        <v/>
      </c>
      <c r="Z35" s="41">
        <f>IFERROR(IF(Y35=0,"",ROUNDUP(Y35/H35,0)*0.00902),"")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410" t="n"/>
      <c r="B36" s="397" t="n"/>
      <c r="C36" s="397" t="n"/>
      <c r="D36" s="397" t="n"/>
      <c r="E36" s="397" t="n"/>
      <c r="F36" s="397" t="n"/>
      <c r="G36" s="397" t="n"/>
      <c r="H36" s="397" t="n"/>
      <c r="I36" s="397" t="n"/>
      <c r="J36" s="397" t="n"/>
      <c r="K36" s="397" t="n"/>
      <c r="L36" s="397" t="n"/>
      <c r="M36" s="397" t="n"/>
      <c r="N36" s="397" t="n"/>
      <c r="O36" s="692" t="n"/>
      <c r="P36" s="693" t="inlineStr">
        <is>
          <t>Итого</t>
        </is>
      </c>
      <c r="Q36" s="654" t="n"/>
      <c r="R36" s="654" t="n"/>
      <c r="S36" s="654" t="n"/>
      <c r="T36" s="654" t="n"/>
      <c r="U36" s="654" t="n"/>
      <c r="V36" s="655" t="n"/>
      <c r="W36" s="42" t="inlineStr">
        <is>
          <t>кор</t>
        </is>
      </c>
      <c r="X36" s="694">
        <f>IFERROR(X33/H33,"0")+IFERROR(X34/H34,"0")+IFERROR(X35/H35,"0")</f>
        <v/>
      </c>
      <c r="Y36" s="694">
        <f>IFERROR(Y33/H33,"0")+IFERROR(Y34/H34,"0")+IFERROR(Y35/H35,"0")</f>
        <v/>
      </c>
      <c r="Z36" s="694">
        <f>IFERROR(IF(Z33="",0,Z33),"0")+IFERROR(IF(Z34="",0,Z34),"0")+IFERROR(IF(Z35="",0,Z35),"0")</f>
        <v/>
      </c>
      <c r="AA36" s="695" t="n"/>
      <c r="AB36" s="695" t="n"/>
      <c r="AC36" s="695" t="n"/>
    </row>
    <row r="37">
      <c r="A37" s="397" t="n"/>
      <c r="B37" s="397" t="n"/>
      <c r="C37" s="397" t="n"/>
      <c r="D37" s="397" t="n"/>
      <c r="E37" s="397" t="n"/>
      <c r="F37" s="397" t="n"/>
      <c r="G37" s="397" t="n"/>
      <c r="H37" s="397" t="n"/>
      <c r="I37" s="397" t="n"/>
      <c r="J37" s="397" t="n"/>
      <c r="K37" s="397" t="n"/>
      <c r="L37" s="397" t="n"/>
      <c r="M37" s="397" t="n"/>
      <c r="N37" s="397" t="n"/>
      <c r="O37" s="692" t="n"/>
      <c r="P37" s="693" t="inlineStr">
        <is>
          <t>Итого</t>
        </is>
      </c>
      <c r="Q37" s="654" t="n"/>
      <c r="R37" s="654" t="n"/>
      <c r="S37" s="654" t="n"/>
      <c r="T37" s="654" t="n"/>
      <c r="U37" s="654" t="n"/>
      <c r="V37" s="655" t="n"/>
      <c r="W37" s="42" t="inlineStr">
        <is>
          <t>кг</t>
        </is>
      </c>
      <c r="X37" s="694">
        <f>IFERROR(SUM(X33:X35),"0")</f>
        <v/>
      </c>
      <c r="Y37" s="694">
        <f>IFERROR(SUM(Y33:Y35),"0")</f>
        <v/>
      </c>
      <c r="Z37" s="42" t="n"/>
      <c r="AA37" s="695" t="n"/>
      <c r="AB37" s="695" t="n"/>
      <c r="AC37" s="695" t="n"/>
    </row>
    <row r="38" ht="16.5" customHeight="1">
      <c r="A38" s="430" t="inlineStr">
        <is>
          <t>Филейская</t>
        </is>
      </c>
      <c r="B38" s="397" t="n"/>
      <c r="C38" s="397" t="n"/>
      <c r="D38" s="397" t="n"/>
      <c r="E38" s="397" t="n"/>
      <c r="F38" s="397" t="n"/>
      <c r="G38" s="397" t="n"/>
      <c r="H38" s="397" t="n"/>
      <c r="I38" s="397" t="n"/>
      <c r="J38" s="397" t="n"/>
      <c r="K38" s="397" t="n"/>
      <c r="L38" s="397" t="n"/>
      <c r="M38" s="397" t="n"/>
      <c r="N38" s="397" t="n"/>
      <c r="O38" s="397" t="n"/>
      <c r="P38" s="397" t="n"/>
      <c r="Q38" s="397" t="n"/>
      <c r="R38" s="397" t="n"/>
      <c r="S38" s="397" t="n"/>
      <c r="T38" s="397" t="n"/>
      <c r="U38" s="397" t="n"/>
      <c r="V38" s="397" t="n"/>
      <c r="W38" s="397" t="n"/>
      <c r="X38" s="397" t="n"/>
      <c r="Y38" s="397" t="n"/>
      <c r="Z38" s="397" t="n"/>
      <c r="AA38" s="430" t="n"/>
      <c r="AB38" s="430" t="n"/>
      <c r="AC38" s="430" t="n"/>
    </row>
    <row r="39" ht="14.25" customHeight="1">
      <c r="A39" s="400" t="inlineStr">
        <is>
          <t>Вареные колбасы</t>
        </is>
      </c>
      <c r="B39" s="397" t="n"/>
      <c r="C39" s="397" t="n"/>
      <c r="D39" s="397" t="n"/>
      <c r="E39" s="397" t="n"/>
      <c r="F39" s="397" t="n"/>
      <c r="G39" s="397" t="n"/>
      <c r="H39" s="397" t="n"/>
      <c r="I39" s="397" t="n"/>
      <c r="J39" s="397" t="n"/>
      <c r="K39" s="397" t="n"/>
      <c r="L39" s="397" t="n"/>
      <c r="M39" s="397" t="n"/>
      <c r="N39" s="397" t="n"/>
      <c r="O39" s="397" t="n"/>
      <c r="P39" s="397" t="n"/>
      <c r="Q39" s="397" t="n"/>
      <c r="R39" s="397" t="n"/>
      <c r="S39" s="397" t="n"/>
      <c r="T39" s="397" t="n"/>
      <c r="U39" s="397" t="n"/>
      <c r="V39" s="397" t="n"/>
      <c r="W39" s="397" t="n"/>
      <c r="X39" s="397" t="n"/>
      <c r="Y39" s="397" t="n"/>
      <c r="Z39" s="397" t="n"/>
      <c r="AA39" s="400" t="n"/>
      <c r="AB39" s="400" t="n"/>
      <c r="AC39" s="400" t="n"/>
    </row>
    <row r="40" ht="27" customHeight="1">
      <c r="A40" s="63" t="inlineStr">
        <is>
          <t>SU003642</t>
        </is>
      </c>
      <c r="B40" s="63" t="inlineStr">
        <is>
          <t>P004621</t>
        </is>
      </c>
      <c r="C40" s="36" t="n">
        <v>4301012030</v>
      </c>
      <c r="D40" s="401" t="n">
        <v>4680115885882</v>
      </c>
      <c r="E40" s="646" t="n"/>
      <c r="F40" s="685" t="n">
        <v>1.4</v>
      </c>
      <c r="G40" s="37" t="n">
        <v>8</v>
      </c>
      <c r="H40" s="685" t="n">
        <v>11.2</v>
      </c>
      <c r="I40" s="685" t="n">
        <v>11.635</v>
      </c>
      <c r="J40" s="37" t="n">
        <v>64</v>
      </c>
      <c r="K40" s="37" t="inlineStr">
        <is>
          <t>8</t>
        </is>
      </c>
      <c r="L40" s="37" t="inlineStr"/>
      <c r="M40" s="38" t="inlineStr">
        <is>
          <t>СК3</t>
        </is>
      </c>
      <c r="N40" s="38" t="n"/>
      <c r="O40" s="37" t="n">
        <v>50</v>
      </c>
      <c r="P40" s="70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0" s="687" t="n"/>
      <c r="R40" s="687" t="n"/>
      <c r="S40" s="687" t="n"/>
      <c r="T40" s="688" t="n"/>
      <c r="U40" s="39" t="inlineStr"/>
      <c r="V40" s="39" t="inlineStr"/>
      <c r="W40" s="40" t="inlineStr">
        <is>
          <t>кг</t>
        </is>
      </c>
      <c r="X40" s="689" t="n">
        <v>0</v>
      </c>
      <c r="Y40" s="690">
        <f>IFERROR(IF(X40="",0,CEILING((X40/$H40),1)*$H40),"")</f>
        <v/>
      </c>
      <c r="Z40" s="41">
        <f>IFERROR(IF(Y40=0,"",ROUNDUP(Y40/H40,0)*0.01898),"")</f>
        <v/>
      </c>
      <c r="AA40" s="68" t="inlineStr"/>
      <c r="AB40" s="69" t="inlineStr"/>
      <c r="AC40" s="98" t="inlineStr">
        <is>
          <t>ЕАЭС N RU Д-RU.РА06.В.18331/23</t>
        </is>
      </c>
      <c r="AG40" s="78" t="n"/>
      <c r="AJ40" s="84" t="inlineStr"/>
      <c r="AK40" s="84" t="n">
        <v>0</v>
      </c>
      <c r="BB40" s="99" t="inlineStr">
        <is>
          <t>КИ</t>
        </is>
      </c>
      <c r="BM40" s="78">
        <f>IFERROR(X40*I40/H40,"0")</f>
        <v/>
      </c>
      <c r="BN40" s="78">
        <f>IFERROR(Y40*I40/H40,"0")</f>
        <v/>
      </c>
      <c r="BO40" s="78">
        <f>IFERROR(1/J40*(X40/H40),"0")</f>
        <v/>
      </c>
      <c r="BP40" s="78">
        <f>IFERROR(1/J40*(Y40/H40),"0")</f>
        <v/>
      </c>
    </row>
    <row r="41" ht="27" customHeight="1">
      <c r="A41" s="63" t="inlineStr">
        <is>
          <t>SU002829</t>
        </is>
      </c>
      <c r="B41" s="63" t="inlineStr">
        <is>
          <t>P003235</t>
        </is>
      </c>
      <c r="C41" s="36" t="n">
        <v>4301011816</v>
      </c>
      <c r="D41" s="401" t="n">
        <v>4680115881426</v>
      </c>
      <c r="E41" s="646" t="n"/>
      <c r="F41" s="685" t="n">
        <v>1.35</v>
      </c>
      <c r="G41" s="37" t="n">
        <v>8</v>
      </c>
      <c r="H41" s="685" t="n">
        <v>10.8</v>
      </c>
      <c r="I41" s="685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701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41" s="687" t="n"/>
      <c r="R41" s="687" t="n"/>
      <c r="S41" s="687" t="n"/>
      <c r="T41" s="688" t="n"/>
      <c r="U41" s="39" t="inlineStr"/>
      <c r="V41" s="39" t="inlineStr"/>
      <c r="W41" s="40" t="inlineStr">
        <is>
          <t>кг</t>
        </is>
      </c>
      <c r="X41" s="689" t="n">
        <v>0</v>
      </c>
      <c r="Y41" s="690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0" t="inlineStr">
        <is>
          <t>ЕАЭС N RU Д-RU.РА01.В.10475/23</t>
        </is>
      </c>
      <c r="AG41" s="78" t="n"/>
      <c r="AJ41" s="84" t="inlineStr"/>
      <c r="AK41" s="84" t="n">
        <v>0</v>
      </c>
      <c r="BB41" s="101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SU002674</t>
        </is>
      </c>
      <c r="B42" s="63" t="inlineStr">
        <is>
          <t>P003045</t>
        </is>
      </c>
      <c r="C42" s="36" t="n">
        <v>4301011386</v>
      </c>
      <c r="D42" s="401" t="n">
        <v>4680115880283</v>
      </c>
      <c r="E42" s="646" t="n"/>
      <c r="F42" s="685" t="n">
        <v>0.6</v>
      </c>
      <c r="G42" s="37" t="n">
        <v>8</v>
      </c>
      <c r="H42" s="685" t="n">
        <v>4.8</v>
      </c>
      <c r="I42" s="685" t="n">
        <v>5.01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СК1</t>
        </is>
      </c>
      <c r="N42" s="38" t="n"/>
      <c r="O42" s="37" t="n">
        <v>45</v>
      </c>
      <c r="P42" s="702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42" s="687" t="n"/>
      <c r="R42" s="687" t="n"/>
      <c r="S42" s="687" t="n"/>
      <c r="T42" s="688" t="n"/>
      <c r="U42" s="39" t="inlineStr"/>
      <c r="V42" s="39" t="inlineStr"/>
      <c r="W42" s="40" t="inlineStr">
        <is>
          <t>кг</t>
        </is>
      </c>
      <c r="X42" s="689" t="n">
        <v>0</v>
      </c>
      <c r="Y42" s="690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2" t="inlineStr">
        <is>
          <t>ЕАЭС № RU Д-RU.АБ75.В.00997/19</t>
        </is>
      </c>
      <c r="AG42" s="78" t="n"/>
      <c r="AJ42" s="84" t="inlineStr"/>
      <c r="AK42" s="84" t="n">
        <v>0</v>
      </c>
      <c r="BB42" s="103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16.5" customHeight="1">
      <c r="A43" s="63" t="inlineStr">
        <is>
          <t>SU002831</t>
        </is>
      </c>
      <c r="B43" s="63" t="inlineStr">
        <is>
          <t>P003243</t>
        </is>
      </c>
      <c r="C43" s="36" t="n">
        <v>4301011806</v>
      </c>
      <c r="D43" s="401" t="n">
        <v>4680115881525</v>
      </c>
      <c r="E43" s="646" t="n"/>
      <c r="F43" s="685" t="n">
        <v>0.4</v>
      </c>
      <c r="G43" s="37" t="n">
        <v>10</v>
      </c>
      <c r="H43" s="685" t="n">
        <v>4</v>
      </c>
      <c r="I43" s="685" t="n">
        <v>4.21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СК1</t>
        </is>
      </c>
      <c r="N43" s="38" t="n"/>
      <c r="O43" s="37" t="n">
        <v>50</v>
      </c>
      <c r="P43" s="70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43" s="687" t="n"/>
      <c r="R43" s="687" t="n"/>
      <c r="S43" s="687" t="n"/>
      <c r="T43" s="688" t="n"/>
      <c r="U43" s="39" t="inlineStr"/>
      <c r="V43" s="39" t="inlineStr"/>
      <c r="W43" s="40" t="inlineStr">
        <is>
          <t>кг</t>
        </is>
      </c>
      <c r="X43" s="689" t="n">
        <v>0</v>
      </c>
      <c r="Y43" s="690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4" t="inlineStr">
        <is>
          <t>ЕАЭС N RU Д-RU.РА01.В.10475/23</t>
        </is>
      </c>
      <c r="AG43" s="78" t="n"/>
      <c r="AJ43" s="84" t="inlineStr"/>
      <c r="AK43" s="84" t="n">
        <v>0</v>
      </c>
      <c r="BB43" s="105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 ht="27" customHeight="1">
      <c r="A44" s="63" t="inlineStr">
        <is>
          <t>SU003033</t>
        </is>
      </c>
      <c r="B44" s="63" t="inlineStr">
        <is>
          <t>P003578</t>
        </is>
      </c>
      <c r="C44" s="36" t="n">
        <v>4301011589</v>
      </c>
      <c r="D44" s="401" t="n">
        <v>4680115885899</v>
      </c>
      <c r="E44" s="646" t="n"/>
      <c r="F44" s="685" t="n">
        <v>0.35</v>
      </c>
      <c r="G44" s="37" t="n">
        <v>6</v>
      </c>
      <c r="H44" s="685" t="n">
        <v>2.1</v>
      </c>
      <c r="I44" s="685" t="n">
        <v>2.28</v>
      </c>
      <c r="J44" s="37" t="n">
        <v>182</v>
      </c>
      <c r="K44" s="37" t="inlineStr">
        <is>
          <t>14</t>
        </is>
      </c>
      <c r="L44" s="37" t="inlineStr"/>
      <c r="M44" s="38" t="inlineStr">
        <is>
          <t>СК4</t>
        </is>
      </c>
      <c r="N44" s="38" t="n"/>
      <c r="O44" s="37" t="n">
        <v>50</v>
      </c>
      <c r="P44" s="70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44" s="687" t="n"/>
      <c r="R44" s="687" t="n"/>
      <c r="S44" s="687" t="n"/>
      <c r="T44" s="688" t="n"/>
      <c r="U44" s="39" t="inlineStr"/>
      <c r="V44" s="39" t="inlineStr"/>
      <c r="W44" s="40" t="inlineStr">
        <is>
          <t>кг</t>
        </is>
      </c>
      <c r="X44" s="689" t="n">
        <v>0</v>
      </c>
      <c r="Y44" s="690">
        <f>IFERROR(IF(X44="",0,CEILING((X44/$H44),1)*$H44),"")</f>
        <v/>
      </c>
      <c r="Z44" s="41">
        <f>IFERROR(IF(Y44=0,"",ROUNDUP(Y44/H44,0)*0.00651),"")</f>
        <v/>
      </c>
      <c r="AA44" s="68" t="inlineStr"/>
      <c r="AB44" s="69" t="inlineStr"/>
      <c r="AC44" s="106" t="inlineStr">
        <is>
          <t>ЕАЭС N RU Д-RU.РА06.В.18263/23, ЕАЭС N RU Д-RU.РА06.В.18331/23</t>
        </is>
      </c>
      <c r="AG44" s="78" t="n"/>
      <c r="AJ44" s="84" t="inlineStr"/>
      <c r="AK44" s="84" t="n">
        <v>0</v>
      </c>
      <c r="BB44" s="107" t="inlineStr">
        <is>
          <t>КИ</t>
        </is>
      </c>
      <c r="BM44" s="78">
        <f>IFERROR(X44*I44/H44,"0")</f>
        <v/>
      </c>
      <c r="BN44" s="78">
        <f>IFERROR(Y44*I44/H44,"0")</f>
        <v/>
      </c>
      <c r="BO44" s="78">
        <f>IFERROR(1/J44*(X44/H44),"0")</f>
        <v/>
      </c>
      <c r="BP44" s="78">
        <f>IFERROR(1/J44*(Y44/H44),"0")</f>
        <v/>
      </c>
    </row>
    <row r="45" ht="27" customHeight="1">
      <c r="A45" s="63" t="inlineStr">
        <is>
          <t>SU002815</t>
        </is>
      </c>
      <c r="B45" s="63" t="inlineStr">
        <is>
          <t>P003227</t>
        </is>
      </c>
      <c r="C45" s="36" t="n">
        <v>4301011801</v>
      </c>
      <c r="D45" s="401" t="n">
        <v>4680115881419</v>
      </c>
      <c r="E45" s="646" t="n"/>
      <c r="F45" s="685" t="n">
        <v>0.45</v>
      </c>
      <c r="G45" s="37" t="n">
        <v>10</v>
      </c>
      <c r="H45" s="685" t="n">
        <v>4.5</v>
      </c>
      <c r="I45" s="685" t="n">
        <v>4.71</v>
      </c>
      <c r="J45" s="37" t="n">
        <v>132</v>
      </c>
      <c r="K45" s="37" t="inlineStr">
        <is>
          <t>12</t>
        </is>
      </c>
      <c r="L45" s="37" t="inlineStr"/>
      <c r="M45" s="38" t="inlineStr">
        <is>
          <t>СК1</t>
        </is>
      </c>
      <c r="N45" s="38" t="n"/>
      <c r="O45" s="37" t="n">
        <v>50</v>
      </c>
      <c r="P45" s="705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45" s="687" t="n"/>
      <c r="R45" s="687" t="n"/>
      <c r="S45" s="687" t="n"/>
      <c r="T45" s="688" t="n"/>
      <c r="U45" s="39" t="inlineStr"/>
      <c r="V45" s="39" t="inlineStr"/>
      <c r="W45" s="40" t="inlineStr">
        <is>
          <t>кг</t>
        </is>
      </c>
      <c r="X45" s="689" t="n">
        <v>0</v>
      </c>
      <c r="Y45" s="690">
        <f>IFERROR(IF(X45="",0,CEILING((X45/$H45),1)*$H45),"")</f>
        <v/>
      </c>
      <c r="Z45" s="41">
        <f>IFERROR(IF(Y45=0,"",ROUNDUP(Y45/H45,0)*0.00902),"")</f>
        <v/>
      </c>
      <c r="AA45" s="68" t="inlineStr"/>
      <c r="AB45" s="69" t="inlineStr"/>
      <c r="AC45" s="108" t="inlineStr">
        <is>
          <t>ЕАЭС N RU Д-RU.РА01.В.10475/23, ЕАЭС N RU Д-RU.РА01.В.10512/23</t>
        </is>
      </c>
      <c r="AG45" s="78" t="n"/>
      <c r="AJ45" s="84" t="inlineStr"/>
      <c r="AK45" s="84" t="n">
        <v>0</v>
      </c>
      <c r="BB45" s="109" t="inlineStr">
        <is>
          <t>КИ</t>
        </is>
      </c>
      <c r="BM45" s="78">
        <f>IFERROR(X45*I45/H45,"0")</f>
        <v/>
      </c>
      <c r="BN45" s="78">
        <f>IFERROR(Y45*I45/H45,"0")</f>
        <v/>
      </c>
      <c r="BO45" s="78">
        <f>IFERROR(1/J45*(X45/H45),"0")</f>
        <v/>
      </c>
      <c r="BP45" s="78">
        <f>IFERROR(1/J45*(Y45/H45),"0")</f>
        <v/>
      </c>
    </row>
    <row r="46">
      <c r="A46" s="410" t="n"/>
      <c r="B46" s="397" t="n"/>
      <c r="C46" s="397" t="n"/>
      <c r="D46" s="397" t="n"/>
      <c r="E46" s="397" t="n"/>
      <c r="F46" s="397" t="n"/>
      <c r="G46" s="397" t="n"/>
      <c r="H46" s="397" t="n"/>
      <c r="I46" s="397" t="n"/>
      <c r="J46" s="397" t="n"/>
      <c r="K46" s="397" t="n"/>
      <c r="L46" s="397" t="n"/>
      <c r="M46" s="397" t="n"/>
      <c r="N46" s="397" t="n"/>
      <c r="O46" s="692" t="n"/>
      <c r="P46" s="693" t="inlineStr">
        <is>
          <t>Итого</t>
        </is>
      </c>
      <c r="Q46" s="654" t="n"/>
      <c r="R46" s="654" t="n"/>
      <c r="S46" s="654" t="n"/>
      <c r="T46" s="654" t="n"/>
      <c r="U46" s="654" t="n"/>
      <c r="V46" s="655" t="n"/>
      <c r="W46" s="42" t="inlineStr">
        <is>
          <t>кор</t>
        </is>
      </c>
      <c r="X46" s="694">
        <f>IFERROR(X40/H40,"0")+IFERROR(X41/H41,"0")+IFERROR(X42/H42,"0")+IFERROR(X43/H43,"0")+IFERROR(X44/H44,"0")+IFERROR(X45/H45,"0")</f>
        <v/>
      </c>
      <c r="Y46" s="694">
        <f>IFERROR(Y40/H40,"0")+IFERROR(Y41/H41,"0")+IFERROR(Y42/H42,"0")+IFERROR(Y43/H43,"0")+IFERROR(Y44/H44,"0")+IFERROR(Y45/H45,"0")</f>
        <v/>
      </c>
      <c r="Z46" s="694">
        <f>IFERROR(IF(Z40="",0,Z40),"0")+IFERROR(IF(Z41="",0,Z41),"0")+IFERROR(IF(Z42="",0,Z42),"0")+IFERROR(IF(Z43="",0,Z43),"0")+IFERROR(IF(Z44="",0,Z44),"0")+IFERROR(IF(Z45="",0,Z45),"0")</f>
        <v/>
      </c>
      <c r="AA46" s="695" t="n"/>
      <c r="AB46" s="695" t="n"/>
      <c r="AC46" s="695" t="n"/>
    </row>
    <row r="47">
      <c r="A47" s="397" t="n"/>
      <c r="B47" s="397" t="n"/>
      <c r="C47" s="397" t="n"/>
      <c r="D47" s="397" t="n"/>
      <c r="E47" s="397" t="n"/>
      <c r="F47" s="397" t="n"/>
      <c r="G47" s="397" t="n"/>
      <c r="H47" s="397" t="n"/>
      <c r="I47" s="397" t="n"/>
      <c r="J47" s="397" t="n"/>
      <c r="K47" s="397" t="n"/>
      <c r="L47" s="397" t="n"/>
      <c r="M47" s="397" t="n"/>
      <c r="N47" s="397" t="n"/>
      <c r="O47" s="692" t="n"/>
      <c r="P47" s="693" t="inlineStr">
        <is>
          <t>Итого</t>
        </is>
      </c>
      <c r="Q47" s="654" t="n"/>
      <c r="R47" s="654" t="n"/>
      <c r="S47" s="654" t="n"/>
      <c r="T47" s="654" t="n"/>
      <c r="U47" s="654" t="n"/>
      <c r="V47" s="655" t="n"/>
      <c r="W47" s="42" t="inlineStr">
        <is>
          <t>кг</t>
        </is>
      </c>
      <c r="X47" s="694">
        <f>IFERROR(SUM(X40:X45),"0")</f>
        <v/>
      </c>
      <c r="Y47" s="694">
        <f>IFERROR(SUM(Y40:Y45),"0")</f>
        <v/>
      </c>
      <c r="Z47" s="42" t="n"/>
      <c r="AA47" s="695" t="n"/>
      <c r="AB47" s="695" t="n"/>
      <c r="AC47" s="695" t="n"/>
    </row>
    <row r="48" ht="14.25" customHeight="1">
      <c r="A48" s="400" t="inlineStr">
        <is>
          <t>Ветчины</t>
        </is>
      </c>
      <c r="B48" s="397" t="n"/>
      <c r="C48" s="397" t="n"/>
      <c r="D48" s="397" t="n"/>
      <c r="E48" s="397" t="n"/>
      <c r="F48" s="397" t="n"/>
      <c r="G48" s="397" t="n"/>
      <c r="H48" s="397" t="n"/>
      <c r="I48" s="397" t="n"/>
      <c r="J48" s="397" t="n"/>
      <c r="K48" s="397" t="n"/>
      <c r="L48" s="397" t="n"/>
      <c r="M48" s="397" t="n"/>
      <c r="N48" s="397" t="n"/>
      <c r="O48" s="397" t="n"/>
      <c r="P48" s="397" t="n"/>
      <c r="Q48" s="397" t="n"/>
      <c r="R48" s="397" t="n"/>
      <c r="S48" s="397" t="n"/>
      <c r="T48" s="397" t="n"/>
      <c r="U48" s="397" t="n"/>
      <c r="V48" s="397" t="n"/>
      <c r="W48" s="397" t="n"/>
      <c r="X48" s="397" t="n"/>
      <c r="Y48" s="397" t="n"/>
      <c r="Z48" s="397" t="n"/>
      <c r="AA48" s="400" t="n"/>
      <c r="AB48" s="400" t="n"/>
      <c r="AC48" s="400" t="n"/>
    </row>
    <row r="49" ht="16.5" customHeight="1">
      <c r="A49" s="63" t="inlineStr">
        <is>
          <t>SU002828</t>
        </is>
      </c>
      <c r="B49" s="63" t="inlineStr">
        <is>
          <t>P003234</t>
        </is>
      </c>
      <c r="C49" s="36" t="n">
        <v>4301020298</v>
      </c>
      <c r="D49" s="401" t="n">
        <v>4680115881440</v>
      </c>
      <c r="E49" s="646" t="n"/>
      <c r="F49" s="685" t="n">
        <v>1.35</v>
      </c>
      <c r="G49" s="37" t="n">
        <v>8</v>
      </c>
      <c r="H49" s="685" t="n">
        <v>10.8</v>
      </c>
      <c r="I49" s="685" t="n">
        <v>11.235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706">
        <f>HYPERLINK("https://abi.ru/products/Охлажденные/Вязанка/Филейская/Ветчины/P003234/","Ветчины «Филейская» Весовые Вектор ТМ «Вязанка»")</f>
        <v/>
      </c>
      <c r="Q49" s="687" t="n"/>
      <c r="R49" s="687" t="n"/>
      <c r="S49" s="687" t="n"/>
      <c r="T49" s="688" t="n"/>
      <c r="U49" s="39" t="inlineStr"/>
      <c r="V49" s="39" t="inlineStr"/>
      <c r="W49" s="40" t="inlineStr">
        <is>
          <t>кг</t>
        </is>
      </c>
      <c r="X49" s="689" t="n">
        <v>0</v>
      </c>
      <c r="Y49" s="690">
        <f>IFERROR(IF(X49="",0,CEILING((X49/$H49),1)*$H49),"")</f>
        <v/>
      </c>
      <c r="Z49" s="41">
        <f>IFERROR(IF(Y49=0,"",ROUNDUP(Y49/H49,0)*0.01898),"")</f>
        <v/>
      </c>
      <c r="AA49" s="68" t="inlineStr"/>
      <c r="AB49" s="69" t="inlineStr"/>
      <c r="AC49" s="110" t="inlineStr">
        <is>
          <t>ЕАЭС N RU Д-RU.РА01.В.10660/23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SU002786</t>
        </is>
      </c>
      <c r="B50" s="63" t="inlineStr">
        <is>
          <t>P003188</t>
        </is>
      </c>
      <c r="C50" s="36" t="n">
        <v>4301020228</v>
      </c>
      <c r="D50" s="401" t="n">
        <v>4680115882751</v>
      </c>
      <c r="E50" s="646" t="n"/>
      <c r="F50" s="685" t="n">
        <v>0.45</v>
      </c>
      <c r="G50" s="37" t="n">
        <v>10</v>
      </c>
      <c r="H50" s="685" t="n">
        <v>4.5</v>
      </c>
      <c r="I50" s="685" t="n">
        <v>4.71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СК1</t>
        </is>
      </c>
      <c r="N50" s="38" t="n"/>
      <c r="O50" s="37" t="n">
        <v>90</v>
      </c>
      <c r="P50" s="707">
        <f>HYPERLINK("https://abi.ru/products/Охлажденные/Вязанка/Филейская/Ветчины/P003188/","Ветчины «Филейская #Живой_пар» ф/в 0,45 п/а ТМ «Вязанка»")</f>
        <v/>
      </c>
      <c r="Q50" s="687" t="n"/>
      <c r="R50" s="687" t="n"/>
      <c r="S50" s="687" t="n"/>
      <c r="T50" s="688" t="n"/>
      <c r="U50" s="39" t="inlineStr"/>
      <c r="V50" s="39" t="inlineStr"/>
      <c r="W50" s="40" t="inlineStr">
        <is>
          <t>кг</t>
        </is>
      </c>
      <c r="X50" s="689" t="n">
        <v>0</v>
      </c>
      <c r="Y50" s="690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2" t="inlineStr">
        <is>
          <t>ЕАЭС N RU Д-RU.РА03.В.00811/23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16.5" customHeight="1">
      <c r="A51" s="63" t="inlineStr">
        <is>
          <t>SU003689</t>
        </is>
      </c>
      <c r="B51" s="63" t="inlineStr">
        <is>
          <t>P004676</t>
        </is>
      </c>
      <c r="C51" s="36" t="n">
        <v>4301020358</v>
      </c>
      <c r="D51" s="401" t="n">
        <v>4680115885950</v>
      </c>
      <c r="E51" s="646" t="n"/>
      <c r="F51" s="685" t="n">
        <v>0.37</v>
      </c>
      <c r="G51" s="37" t="n">
        <v>6</v>
      </c>
      <c r="H51" s="685" t="n">
        <v>2.22</v>
      </c>
      <c r="I51" s="685" t="n">
        <v>2.4</v>
      </c>
      <c r="J51" s="37" t="n">
        <v>182</v>
      </c>
      <c r="K51" s="37" t="inlineStr">
        <is>
          <t>14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708">
        <f>HYPERLINK("https://abi.ru/products/Охлажденные/Вязанка/Филейская/Ветчины/P004676/","Ветчины «Филейская» ф/в 0,37 п/а ТМ «Вязанка»")</f>
        <v/>
      </c>
      <c r="Q51" s="687" t="n"/>
      <c r="R51" s="687" t="n"/>
      <c r="S51" s="687" t="n"/>
      <c r="T51" s="688" t="n"/>
      <c r="U51" s="39" t="inlineStr"/>
      <c r="V51" s="39" t="inlineStr"/>
      <c r="W51" s="40" t="inlineStr">
        <is>
          <t>кг</t>
        </is>
      </c>
      <c r="X51" s="689" t="n">
        <v>0</v>
      </c>
      <c r="Y51" s="690">
        <f>IFERROR(IF(X51="",0,CEILING((X51/$H51),1)*$H51),"")</f>
        <v/>
      </c>
      <c r="Z51" s="41">
        <f>IFERROR(IF(Y51=0,"",ROUNDUP(Y51/H51,0)*0.00651),"")</f>
        <v/>
      </c>
      <c r="AA51" s="68" t="inlineStr"/>
      <c r="AB51" s="69" t="inlineStr"/>
      <c r="AC51" s="114" t="inlineStr">
        <is>
          <t>ЕАЭС N RU Д-RU.РА01.В.10660/23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SU002814</t>
        </is>
      </c>
      <c r="B52" s="63" t="inlineStr">
        <is>
          <t>P003226</t>
        </is>
      </c>
      <c r="C52" s="36" t="n">
        <v>4301020296</v>
      </c>
      <c r="D52" s="401" t="n">
        <v>4680115881433</v>
      </c>
      <c r="E52" s="646" t="n"/>
      <c r="F52" s="685" t="n">
        <v>0.45</v>
      </c>
      <c r="G52" s="37" t="n">
        <v>6</v>
      </c>
      <c r="H52" s="685" t="n">
        <v>2.7</v>
      </c>
      <c r="I52" s="685" t="n">
        <v>2.88</v>
      </c>
      <c r="J52" s="37" t="n">
        <v>182</v>
      </c>
      <c r="K52" s="37" t="inlineStr">
        <is>
          <t>14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709">
        <f>HYPERLINK("https://abi.ru/products/Охлажденные/Вязанка/Филейская/Ветчины/P003226/","Ветчины «Филейская» Фикс.вес 0,45 Вектор ТМ «Вязанка»")</f>
        <v/>
      </c>
      <c r="Q52" s="687" t="n"/>
      <c r="R52" s="687" t="n"/>
      <c r="S52" s="687" t="n"/>
      <c r="T52" s="688" t="n"/>
      <c r="U52" s="39" t="inlineStr"/>
      <c r="V52" s="39" t="inlineStr"/>
      <c r="W52" s="40" t="inlineStr">
        <is>
          <t>кг</t>
        </is>
      </c>
      <c r="X52" s="689" t="n">
        <v>0</v>
      </c>
      <c r="Y52" s="690">
        <f>IFERROR(IF(X52="",0,CEILING((X52/$H52),1)*$H52),"")</f>
        <v/>
      </c>
      <c r="Z52" s="41">
        <f>IFERROR(IF(Y52=0,"",ROUNDUP(Y52/H52,0)*0.00651),"")</f>
        <v/>
      </c>
      <c r="AA52" s="68" t="inlineStr"/>
      <c r="AB52" s="69" t="inlineStr"/>
      <c r="AC52" s="116" t="inlineStr">
        <is>
          <t>ЕАЭС N RU Д-RU.РА01.В.10660/23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>
      <c r="A53" s="410" t="n"/>
      <c r="B53" s="397" t="n"/>
      <c r="C53" s="397" t="n"/>
      <c r="D53" s="397" t="n"/>
      <c r="E53" s="397" t="n"/>
      <c r="F53" s="397" t="n"/>
      <c r="G53" s="397" t="n"/>
      <c r="H53" s="397" t="n"/>
      <c r="I53" s="397" t="n"/>
      <c r="J53" s="397" t="n"/>
      <c r="K53" s="397" t="n"/>
      <c r="L53" s="397" t="n"/>
      <c r="M53" s="397" t="n"/>
      <c r="N53" s="397" t="n"/>
      <c r="O53" s="692" t="n"/>
      <c r="P53" s="693" t="inlineStr">
        <is>
          <t>Итого</t>
        </is>
      </c>
      <c r="Q53" s="654" t="n"/>
      <c r="R53" s="654" t="n"/>
      <c r="S53" s="654" t="n"/>
      <c r="T53" s="654" t="n"/>
      <c r="U53" s="654" t="n"/>
      <c r="V53" s="655" t="n"/>
      <c r="W53" s="42" t="inlineStr">
        <is>
          <t>кор</t>
        </is>
      </c>
      <c r="X53" s="694">
        <f>IFERROR(X49/H49,"0")+IFERROR(X50/H50,"0")+IFERROR(X51/H51,"0")+IFERROR(X52/H52,"0")</f>
        <v/>
      </c>
      <c r="Y53" s="694">
        <f>IFERROR(Y49/H49,"0")+IFERROR(Y50/H50,"0")+IFERROR(Y51/H51,"0")+IFERROR(Y52/H52,"0")</f>
        <v/>
      </c>
      <c r="Z53" s="694">
        <f>IFERROR(IF(Z49="",0,Z49),"0")+IFERROR(IF(Z50="",0,Z50),"0")+IFERROR(IF(Z51="",0,Z51),"0")+IFERROR(IF(Z52="",0,Z52),"0")</f>
        <v/>
      </c>
      <c r="AA53" s="695" t="n"/>
      <c r="AB53" s="695" t="n"/>
      <c r="AC53" s="695" t="n"/>
    </row>
    <row r="54">
      <c r="A54" s="397" t="n"/>
      <c r="B54" s="397" t="n"/>
      <c r="C54" s="397" t="n"/>
      <c r="D54" s="397" t="n"/>
      <c r="E54" s="397" t="n"/>
      <c r="F54" s="397" t="n"/>
      <c r="G54" s="397" t="n"/>
      <c r="H54" s="397" t="n"/>
      <c r="I54" s="397" t="n"/>
      <c r="J54" s="397" t="n"/>
      <c r="K54" s="397" t="n"/>
      <c r="L54" s="397" t="n"/>
      <c r="M54" s="397" t="n"/>
      <c r="N54" s="397" t="n"/>
      <c r="O54" s="692" t="n"/>
      <c r="P54" s="693" t="inlineStr">
        <is>
          <t>Итого</t>
        </is>
      </c>
      <c r="Q54" s="654" t="n"/>
      <c r="R54" s="654" t="n"/>
      <c r="S54" s="654" t="n"/>
      <c r="T54" s="654" t="n"/>
      <c r="U54" s="654" t="n"/>
      <c r="V54" s="655" t="n"/>
      <c r="W54" s="42" t="inlineStr">
        <is>
          <t>кг</t>
        </is>
      </c>
      <c r="X54" s="694">
        <f>IFERROR(SUM(X49:X52),"0")</f>
        <v/>
      </c>
      <c r="Y54" s="694">
        <f>IFERROR(SUM(Y49:Y52),"0")</f>
        <v/>
      </c>
      <c r="Z54" s="42" t="n"/>
      <c r="AA54" s="695" t="n"/>
      <c r="AB54" s="695" t="n"/>
      <c r="AC54" s="695" t="n"/>
    </row>
    <row r="55" ht="14.25" customHeight="1">
      <c r="A55" s="400" t="inlineStr">
        <is>
          <t>Сардельки</t>
        </is>
      </c>
      <c r="B55" s="397" t="n"/>
      <c r="C55" s="397" t="n"/>
      <c r="D55" s="397" t="n"/>
      <c r="E55" s="397" t="n"/>
      <c r="F55" s="397" t="n"/>
      <c r="G55" s="397" t="n"/>
      <c r="H55" s="397" t="n"/>
      <c r="I55" s="397" t="n"/>
      <c r="J55" s="397" t="n"/>
      <c r="K55" s="397" t="n"/>
      <c r="L55" s="397" t="n"/>
      <c r="M55" s="397" t="n"/>
      <c r="N55" s="397" t="n"/>
      <c r="O55" s="397" t="n"/>
      <c r="P55" s="397" t="n"/>
      <c r="Q55" s="397" t="n"/>
      <c r="R55" s="397" t="n"/>
      <c r="S55" s="397" t="n"/>
      <c r="T55" s="397" t="n"/>
      <c r="U55" s="397" t="n"/>
      <c r="V55" s="397" t="n"/>
      <c r="W55" s="397" t="n"/>
      <c r="X55" s="397" t="n"/>
      <c r="Y55" s="397" t="n"/>
      <c r="Z55" s="397" t="n"/>
      <c r="AA55" s="400" t="n"/>
      <c r="AB55" s="400" t="n"/>
      <c r="AC55" s="400" t="n"/>
    </row>
    <row r="56" ht="27" customHeight="1">
      <c r="A56" s="63" t="inlineStr">
        <is>
          <t>SU002835</t>
        </is>
      </c>
      <c r="B56" s="63" t="inlineStr">
        <is>
          <t>P003883</t>
        </is>
      </c>
      <c r="C56" s="36" t="n">
        <v>4301060455</v>
      </c>
      <c r="D56" s="401" t="n">
        <v>4680115881532</v>
      </c>
      <c r="E56" s="646" t="n"/>
      <c r="F56" s="685" t="n">
        <v>1.3</v>
      </c>
      <c r="G56" s="37" t="n">
        <v>6</v>
      </c>
      <c r="H56" s="685" t="n">
        <v>7.8</v>
      </c>
      <c r="I56" s="685" t="n">
        <v>8.234999999999999</v>
      </c>
      <c r="J56" s="37" t="n">
        <v>64</v>
      </c>
      <c r="K56" s="37" t="inlineStr">
        <is>
          <t>8</t>
        </is>
      </c>
      <c r="L56" s="37" t="inlineStr"/>
      <c r="M56" s="38" t="inlineStr">
        <is>
          <t>СК4</t>
        </is>
      </c>
      <c r="N56" s="38" t="n"/>
      <c r="O56" s="37" t="n">
        <v>30</v>
      </c>
      <c r="P56" s="710">
        <f>HYPERLINK("https://abi.ru/products/Охлажденные/Вязанка/Филейская/Сардельки/P003883/","Сардельки «Филейские» Весовые н/о мгс ТМ «Вязанка»")</f>
        <v/>
      </c>
      <c r="Q56" s="687" t="n"/>
      <c r="R56" s="687" t="n"/>
      <c r="S56" s="687" t="n"/>
      <c r="T56" s="688" t="n"/>
      <c r="U56" s="39" t="inlineStr"/>
      <c r="V56" s="39" t="inlineStr"/>
      <c r="W56" s="40" t="inlineStr">
        <is>
          <t>кг</t>
        </is>
      </c>
      <c r="X56" s="689" t="n">
        <v>0</v>
      </c>
      <c r="Y56" s="690">
        <f>IFERROR(IF(X56="",0,CEILING((X56/$H56),1)*$H56),"")</f>
        <v/>
      </c>
      <c r="Z56" s="41">
        <f>IFERROR(IF(Y56=0,"",ROUNDUP(Y56/H56,0)*0.01898),"")</f>
        <v/>
      </c>
      <c r="AA56" s="68" t="inlineStr"/>
      <c r="AB56" s="69" t="inlineStr"/>
      <c r="AC56" s="118" t="inlineStr">
        <is>
          <t>ЕАЭС N RU Д-RU.РА01.В.63000/23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SU002834</t>
        </is>
      </c>
      <c r="B57" s="63" t="inlineStr">
        <is>
          <t>P003238</t>
        </is>
      </c>
      <c r="C57" s="36" t="n">
        <v>4301060351</v>
      </c>
      <c r="D57" s="401" t="n">
        <v>4680115881464</v>
      </c>
      <c r="E57" s="646" t="n"/>
      <c r="F57" s="685" t="n">
        <v>0.4</v>
      </c>
      <c r="G57" s="37" t="n">
        <v>6</v>
      </c>
      <c r="H57" s="685" t="n">
        <v>2.4</v>
      </c>
      <c r="I57" s="685" t="n">
        <v>2.61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СК3</t>
        </is>
      </c>
      <c r="N57" s="38" t="n"/>
      <c r="O57" s="37" t="n">
        <v>30</v>
      </c>
      <c r="P57" s="711">
        <f>HYPERLINK("https://abi.ru/products/Охлажденные/Вязанка/Филейская/Сардельки/P003238/","Сардельки «Филейские» Фикс.вес 0,4 NDX ТМ «Вязанка»")</f>
        <v/>
      </c>
      <c r="Q57" s="687" t="n"/>
      <c r="R57" s="687" t="n"/>
      <c r="S57" s="687" t="n"/>
      <c r="T57" s="688" t="n"/>
      <c r="U57" s="39" t="inlineStr"/>
      <c r="V57" s="39" t="inlineStr"/>
      <c r="W57" s="40" t="inlineStr">
        <is>
          <t>кг</t>
        </is>
      </c>
      <c r="X57" s="689" t="n">
        <v>0</v>
      </c>
      <c r="Y57" s="690">
        <f>IFERROR(IF(X57="",0,CEILING((X57/$H57),1)*$H57),"")</f>
        <v/>
      </c>
      <c r="Z57" s="41">
        <f>IFERROR(IF(Y57=0,"",ROUNDUP(Y57/H57,0)*0.00902),"")</f>
        <v/>
      </c>
      <c r="AA57" s="68" t="inlineStr"/>
      <c r="AB57" s="69" t="inlineStr"/>
      <c r="AC57" s="120" t="inlineStr">
        <is>
          <t>ЕАЭС N RU Д-RU.РА01.В.62909/23, ЕАЭС N RU Д-RU.РА01.В.63000/23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410" t="n"/>
      <c r="B58" s="397" t="n"/>
      <c r="C58" s="397" t="n"/>
      <c r="D58" s="397" t="n"/>
      <c r="E58" s="397" t="n"/>
      <c r="F58" s="397" t="n"/>
      <c r="G58" s="397" t="n"/>
      <c r="H58" s="397" t="n"/>
      <c r="I58" s="397" t="n"/>
      <c r="J58" s="397" t="n"/>
      <c r="K58" s="397" t="n"/>
      <c r="L58" s="397" t="n"/>
      <c r="M58" s="397" t="n"/>
      <c r="N58" s="397" t="n"/>
      <c r="O58" s="692" t="n"/>
      <c r="P58" s="693" t="inlineStr">
        <is>
          <t>Итого</t>
        </is>
      </c>
      <c r="Q58" s="654" t="n"/>
      <c r="R58" s="654" t="n"/>
      <c r="S58" s="654" t="n"/>
      <c r="T58" s="654" t="n"/>
      <c r="U58" s="654" t="n"/>
      <c r="V58" s="655" t="n"/>
      <c r="W58" s="42" t="inlineStr">
        <is>
          <t>кор</t>
        </is>
      </c>
      <c r="X58" s="694">
        <f>IFERROR(X56/H56,"0")+IFERROR(X57/H57,"0")</f>
        <v/>
      </c>
      <c r="Y58" s="694">
        <f>IFERROR(Y56/H56,"0")+IFERROR(Y57/H57,"0")</f>
        <v/>
      </c>
      <c r="Z58" s="694">
        <f>IFERROR(IF(Z56="",0,Z56),"0")+IFERROR(IF(Z57="",0,Z57),"0")</f>
        <v/>
      </c>
      <c r="AA58" s="695" t="n"/>
      <c r="AB58" s="695" t="n"/>
      <c r="AC58" s="695" t="n"/>
    </row>
    <row r="59">
      <c r="A59" s="397" t="n"/>
      <c r="B59" s="397" t="n"/>
      <c r="C59" s="397" t="n"/>
      <c r="D59" s="397" t="n"/>
      <c r="E59" s="397" t="n"/>
      <c r="F59" s="397" t="n"/>
      <c r="G59" s="397" t="n"/>
      <c r="H59" s="397" t="n"/>
      <c r="I59" s="397" t="n"/>
      <c r="J59" s="397" t="n"/>
      <c r="K59" s="397" t="n"/>
      <c r="L59" s="397" t="n"/>
      <c r="M59" s="397" t="n"/>
      <c r="N59" s="397" t="n"/>
      <c r="O59" s="692" t="n"/>
      <c r="P59" s="693" t="inlineStr">
        <is>
          <t>Итого</t>
        </is>
      </c>
      <c r="Q59" s="654" t="n"/>
      <c r="R59" s="654" t="n"/>
      <c r="S59" s="654" t="n"/>
      <c r="T59" s="654" t="n"/>
      <c r="U59" s="654" t="n"/>
      <c r="V59" s="655" t="n"/>
      <c r="W59" s="42" t="inlineStr">
        <is>
          <t>кг</t>
        </is>
      </c>
      <c r="X59" s="694">
        <f>IFERROR(SUM(X56:X57),"0")</f>
        <v/>
      </c>
      <c r="Y59" s="694">
        <f>IFERROR(SUM(Y56:Y57),"0")</f>
        <v/>
      </c>
      <c r="Z59" s="42" t="n"/>
      <c r="AA59" s="695" t="n"/>
      <c r="AB59" s="695" t="n"/>
      <c r="AC59" s="695" t="n"/>
    </row>
    <row r="60" ht="16.5" customHeight="1">
      <c r="A60" s="430" t="inlineStr">
        <is>
          <t>Молокуша</t>
        </is>
      </c>
      <c r="B60" s="397" t="n"/>
      <c r="C60" s="397" t="n"/>
      <c r="D60" s="397" t="n"/>
      <c r="E60" s="397" t="n"/>
      <c r="F60" s="397" t="n"/>
      <c r="G60" s="397" t="n"/>
      <c r="H60" s="397" t="n"/>
      <c r="I60" s="397" t="n"/>
      <c r="J60" s="397" t="n"/>
      <c r="K60" s="397" t="n"/>
      <c r="L60" s="397" t="n"/>
      <c r="M60" s="397" t="n"/>
      <c r="N60" s="397" t="n"/>
      <c r="O60" s="397" t="n"/>
      <c r="P60" s="397" t="n"/>
      <c r="Q60" s="397" t="n"/>
      <c r="R60" s="397" t="n"/>
      <c r="S60" s="397" t="n"/>
      <c r="T60" s="397" t="n"/>
      <c r="U60" s="397" t="n"/>
      <c r="V60" s="397" t="n"/>
      <c r="W60" s="397" t="n"/>
      <c r="X60" s="397" t="n"/>
      <c r="Y60" s="397" t="n"/>
      <c r="Z60" s="397" t="n"/>
      <c r="AA60" s="430" t="n"/>
      <c r="AB60" s="430" t="n"/>
      <c r="AC60" s="430" t="n"/>
    </row>
    <row r="61" ht="14.25" customHeight="1">
      <c r="A61" s="400" t="inlineStr">
        <is>
          <t>Вареные колбасы</t>
        </is>
      </c>
      <c r="B61" s="397" t="n"/>
      <c r="C61" s="397" t="n"/>
      <c r="D61" s="397" t="n"/>
      <c r="E61" s="397" t="n"/>
      <c r="F61" s="397" t="n"/>
      <c r="G61" s="397" t="n"/>
      <c r="H61" s="397" t="n"/>
      <c r="I61" s="397" t="n"/>
      <c r="J61" s="397" t="n"/>
      <c r="K61" s="397" t="n"/>
      <c r="L61" s="397" t="n"/>
      <c r="M61" s="397" t="n"/>
      <c r="N61" s="397" t="n"/>
      <c r="O61" s="397" t="n"/>
      <c r="P61" s="397" t="n"/>
      <c r="Q61" s="397" t="n"/>
      <c r="R61" s="397" t="n"/>
      <c r="S61" s="397" t="n"/>
      <c r="T61" s="397" t="n"/>
      <c r="U61" s="397" t="n"/>
      <c r="V61" s="397" t="n"/>
      <c r="W61" s="397" t="n"/>
      <c r="X61" s="397" t="n"/>
      <c r="Y61" s="397" t="n"/>
      <c r="Z61" s="397" t="n"/>
      <c r="AA61" s="400" t="n"/>
      <c r="AB61" s="400" t="n"/>
      <c r="AC61" s="400" t="n"/>
    </row>
    <row r="62" ht="27" customHeight="1">
      <c r="A62" s="63" t="inlineStr">
        <is>
          <t>SU002830</t>
        </is>
      </c>
      <c r="B62" s="63" t="inlineStr">
        <is>
          <t>P003239</t>
        </is>
      </c>
      <c r="C62" s="36" t="n">
        <v>4301011468</v>
      </c>
      <c r="D62" s="401" t="n">
        <v>4680115881327</v>
      </c>
      <c r="E62" s="646" t="n"/>
      <c r="F62" s="685" t="n">
        <v>1.35</v>
      </c>
      <c r="G62" s="37" t="n">
        <v>8</v>
      </c>
      <c r="H62" s="685" t="n">
        <v>10.8</v>
      </c>
      <c r="I62" s="685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СК4</t>
        </is>
      </c>
      <c r="N62" s="38" t="n"/>
      <c r="O62" s="37" t="n">
        <v>50</v>
      </c>
      <c r="P62" s="712">
        <f>HYPERLINK("https://abi.ru/products/Охлажденные/Вязанка/Молокуша/Вареные колбасы/P003239/","Вареные колбасы Молокуша Вязанка Вес п/а Вязанка")</f>
        <v/>
      </c>
      <c r="Q62" s="687" t="n"/>
      <c r="R62" s="687" t="n"/>
      <c r="S62" s="687" t="n"/>
      <c r="T62" s="688" t="n"/>
      <c r="U62" s="39" t="inlineStr"/>
      <c r="V62" s="39" t="inlineStr"/>
      <c r="W62" s="40" t="inlineStr">
        <is>
          <t>кг</t>
        </is>
      </c>
      <c r="X62" s="689" t="n">
        <v>0</v>
      </c>
      <c r="Y62" s="690">
        <f>IFERROR(IF(X62="",0,CEILING((X62/$H62),1)*$H62),"")</f>
        <v/>
      </c>
      <c r="Z62" s="41">
        <f>IFERROR(IF(Y62=0,"",ROUNDUP(Y62/H62,0)*0.01898),"")</f>
        <v/>
      </c>
      <c r="AA62" s="68" t="inlineStr"/>
      <c r="AB62" s="69" t="inlineStr"/>
      <c r="AC62" s="122" t="inlineStr">
        <is>
          <t>ЕАЭС N RU Д-RU.РА04.В.70946/22, ЕАЭС N RU Д-RU.РА10.В.83330/24</t>
        </is>
      </c>
      <c r="AG62" s="78" t="n"/>
      <c r="AJ62" s="84" t="inlineStr"/>
      <c r="AK62" s="84" t="n">
        <v>0</v>
      </c>
      <c r="BB62" s="123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SU002832</t>
        </is>
      </c>
      <c r="B63" s="63" t="inlineStr">
        <is>
          <t>P003245</t>
        </is>
      </c>
      <c r="C63" s="36" t="n">
        <v>4301011476</v>
      </c>
      <c r="D63" s="401" t="n">
        <v>4680115881518</v>
      </c>
      <c r="E63" s="646" t="n"/>
      <c r="F63" s="685" t="n">
        <v>0.4</v>
      </c>
      <c r="G63" s="37" t="n">
        <v>10</v>
      </c>
      <c r="H63" s="685" t="n">
        <v>4</v>
      </c>
      <c r="I63" s="685" t="n">
        <v>4.21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71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63" s="687" t="n"/>
      <c r="R63" s="687" t="n"/>
      <c r="S63" s="687" t="n"/>
      <c r="T63" s="688" t="n"/>
      <c r="U63" s="39" t="inlineStr"/>
      <c r="V63" s="39" t="inlineStr"/>
      <c r="W63" s="40" t="inlineStr">
        <is>
          <t>кг</t>
        </is>
      </c>
      <c r="X63" s="689" t="n">
        <v>0</v>
      </c>
      <c r="Y63" s="690">
        <f>IFERROR(IF(X63="",0,CEILING((X63/$H63),1)*$H63),"")</f>
        <v/>
      </c>
      <c r="Z63" s="41">
        <f>IFERROR(IF(Y63=0,"",ROUNDUP(Y63/H63,0)*0.00902),"")</f>
        <v/>
      </c>
      <c r="AA63" s="68" t="inlineStr"/>
      <c r="AB63" s="69" t="inlineStr"/>
      <c r="AC63" s="124" t="inlineStr">
        <is>
          <t>ЕАЭС N RU Д-RU.РА04.В.70946/22, ЕАЭС N RU Д-RU.РА10.В.83330/24</t>
        </is>
      </c>
      <c r="AG63" s="78" t="n"/>
      <c r="AJ63" s="84" t="inlineStr"/>
      <c r="AK63" s="84" t="n">
        <v>0</v>
      </c>
      <c r="BB63" s="125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>
      <c r="A64" s="410" t="n"/>
      <c r="B64" s="397" t="n"/>
      <c r="C64" s="397" t="n"/>
      <c r="D64" s="397" t="n"/>
      <c r="E64" s="397" t="n"/>
      <c r="F64" s="397" t="n"/>
      <c r="G64" s="397" t="n"/>
      <c r="H64" s="397" t="n"/>
      <c r="I64" s="397" t="n"/>
      <c r="J64" s="397" t="n"/>
      <c r="K64" s="397" t="n"/>
      <c r="L64" s="397" t="n"/>
      <c r="M64" s="397" t="n"/>
      <c r="N64" s="397" t="n"/>
      <c r="O64" s="692" t="n"/>
      <c r="P64" s="693" t="inlineStr">
        <is>
          <t>Итого</t>
        </is>
      </c>
      <c r="Q64" s="654" t="n"/>
      <c r="R64" s="654" t="n"/>
      <c r="S64" s="654" t="n"/>
      <c r="T64" s="654" t="n"/>
      <c r="U64" s="654" t="n"/>
      <c r="V64" s="655" t="n"/>
      <c r="W64" s="42" t="inlineStr">
        <is>
          <t>кор</t>
        </is>
      </c>
      <c r="X64" s="694">
        <f>IFERROR(X62/H62,"0")+IFERROR(X63/H63,"0")</f>
        <v/>
      </c>
      <c r="Y64" s="694">
        <f>IFERROR(Y62/H62,"0")+IFERROR(Y63/H63,"0")</f>
        <v/>
      </c>
      <c r="Z64" s="694">
        <f>IFERROR(IF(Z62="",0,Z62),"0")+IFERROR(IF(Z63="",0,Z63),"0")</f>
        <v/>
      </c>
      <c r="AA64" s="695" t="n"/>
      <c r="AB64" s="695" t="n"/>
      <c r="AC64" s="695" t="n"/>
    </row>
    <row r="65">
      <c r="A65" s="397" t="n"/>
      <c r="B65" s="397" t="n"/>
      <c r="C65" s="397" t="n"/>
      <c r="D65" s="397" t="n"/>
      <c r="E65" s="397" t="n"/>
      <c r="F65" s="397" t="n"/>
      <c r="G65" s="397" t="n"/>
      <c r="H65" s="397" t="n"/>
      <c r="I65" s="397" t="n"/>
      <c r="J65" s="397" t="n"/>
      <c r="K65" s="397" t="n"/>
      <c r="L65" s="397" t="n"/>
      <c r="M65" s="397" t="n"/>
      <c r="N65" s="397" t="n"/>
      <c r="O65" s="692" t="n"/>
      <c r="P65" s="693" t="inlineStr">
        <is>
          <t>Итого</t>
        </is>
      </c>
      <c r="Q65" s="654" t="n"/>
      <c r="R65" s="654" t="n"/>
      <c r="S65" s="654" t="n"/>
      <c r="T65" s="654" t="n"/>
      <c r="U65" s="654" t="n"/>
      <c r="V65" s="655" t="n"/>
      <c r="W65" s="42" t="inlineStr">
        <is>
          <t>кг</t>
        </is>
      </c>
      <c r="X65" s="694">
        <f>IFERROR(SUM(X62:X63),"0")</f>
        <v/>
      </c>
      <c r="Y65" s="694">
        <f>IFERROR(SUM(Y62:Y63),"0")</f>
        <v/>
      </c>
      <c r="Z65" s="42" t="n"/>
      <c r="AA65" s="695" t="n"/>
      <c r="AB65" s="695" t="n"/>
      <c r="AC65" s="695" t="n"/>
    </row>
    <row r="66" ht="14.25" customHeight="1">
      <c r="A66" s="400" t="inlineStr">
        <is>
          <t>Сосиски</t>
        </is>
      </c>
      <c r="B66" s="397" t="n"/>
      <c r="C66" s="397" t="n"/>
      <c r="D66" s="397" t="n"/>
      <c r="E66" s="397" t="n"/>
      <c r="F66" s="397" t="n"/>
      <c r="G66" s="397" t="n"/>
      <c r="H66" s="397" t="n"/>
      <c r="I66" s="397" t="n"/>
      <c r="J66" s="397" t="n"/>
      <c r="K66" s="397" t="n"/>
      <c r="L66" s="397" t="n"/>
      <c r="M66" s="397" t="n"/>
      <c r="N66" s="397" t="n"/>
      <c r="O66" s="397" t="n"/>
      <c r="P66" s="397" t="n"/>
      <c r="Q66" s="397" t="n"/>
      <c r="R66" s="397" t="n"/>
      <c r="S66" s="397" t="n"/>
      <c r="T66" s="397" t="n"/>
      <c r="U66" s="397" t="n"/>
      <c r="V66" s="397" t="n"/>
      <c r="W66" s="397" t="n"/>
      <c r="X66" s="397" t="n"/>
      <c r="Y66" s="397" t="n"/>
      <c r="Z66" s="397" t="n"/>
      <c r="AA66" s="400" t="n"/>
      <c r="AB66" s="400" t="n"/>
      <c r="AC66" s="400" t="n"/>
    </row>
    <row r="67" ht="16.5" customHeight="1">
      <c r="A67" s="63" t="inlineStr">
        <is>
          <t>SU001523</t>
        </is>
      </c>
      <c r="B67" s="63" t="inlineStr">
        <is>
          <t>P003986</t>
        </is>
      </c>
      <c r="C67" s="36" t="n">
        <v>4301051712</v>
      </c>
      <c r="D67" s="401" t="n">
        <v>4607091386967</v>
      </c>
      <c r="E67" s="646" t="n"/>
      <c r="F67" s="685" t="n">
        <v>1.35</v>
      </c>
      <c r="G67" s="37" t="n">
        <v>6</v>
      </c>
      <c r="H67" s="685" t="n">
        <v>8.1</v>
      </c>
      <c r="I67" s="685" t="n">
        <v>8.619</v>
      </c>
      <c r="J67" s="37" t="n">
        <v>64</v>
      </c>
      <c r="K67" s="37" t="inlineStr">
        <is>
          <t>8</t>
        </is>
      </c>
      <c r="L67" s="37" t="inlineStr"/>
      <c r="M67" s="38" t="inlineStr">
        <is>
          <t>СК4</t>
        </is>
      </c>
      <c r="N67" s="38" t="n"/>
      <c r="O67" s="37" t="n">
        <v>45</v>
      </c>
      <c r="P67" s="714" t="inlineStr">
        <is>
          <t>Сосиски «Молокуши (Вязанка Молочные)» Весовой п/а мгс ТМ «Вязанка»</t>
        </is>
      </c>
      <c r="Q67" s="687" t="n"/>
      <c r="R67" s="687" t="n"/>
      <c r="S67" s="687" t="n"/>
      <c r="T67" s="688" t="n"/>
      <c r="U67" s="39" t="inlineStr"/>
      <c r="V67" s="39" t="inlineStr"/>
      <c r="W67" s="40" t="inlineStr">
        <is>
          <t>кг</t>
        </is>
      </c>
      <c r="X67" s="689" t="n">
        <v>150</v>
      </c>
      <c r="Y67" s="690">
        <f>IFERROR(IF(X67="",0,CEILING((X67/$H67),1)*$H67),"")</f>
        <v/>
      </c>
      <c r="Z67" s="41">
        <f>IFERROR(IF(Y67=0,"",ROUNDUP(Y67/H67,0)*0.01898),"")</f>
        <v/>
      </c>
      <c r="AA67" s="68" t="inlineStr"/>
      <c r="AB67" s="69" t="inlineStr"/>
      <c r="AC67" s="126" t="inlineStr">
        <is>
          <t>ЕАЭС N RU Д-RU.РА03.В.39392/23</t>
        </is>
      </c>
      <c r="AG67" s="78" t="n"/>
      <c r="AJ67" s="84" t="inlineStr"/>
      <c r="AK67" s="84" t="n">
        <v>0</v>
      </c>
      <c r="BB67" s="127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SU001718</t>
        </is>
      </c>
      <c r="B68" s="63" t="inlineStr">
        <is>
          <t>P003985</t>
        </is>
      </c>
      <c r="C68" s="36" t="n">
        <v>4301051718</v>
      </c>
      <c r="D68" s="401" t="n">
        <v>4607091385731</v>
      </c>
      <c r="E68" s="646" t="n"/>
      <c r="F68" s="685" t="n">
        <v>0.45</v>
      </c>
      <c r="G68" s="37" t="n">
        <v>6</v>
      </c>
      <c r="H68" s="685" t="n">
        <v>2.7</v>
      </c>
      <c r="I68" s="685" t="n">
        <v>2.952</v>
      </c>
      <c r="J68" s="37" t="n">
        <v>182</v>
      </c>
      <c r="K68" s="37" t="inlineStr">
        <is>
          <t>14</t>
        </is>
      </c>
      <c r="L68" s="37" t="inlineStr"/>
      <c r="M68" s="38" t="inlineStr">
        <is>
          <t>СК4</t>
        </is>
      </c>
      <c r="N68" s="38" t="n"/>
      <c r="O68" s="37" t="n">
        <v>45</v>
      </c>
      <c r="P68" s="715">
        <f>HYPERLINK("https://abi.ru/products/Охлажденные/Вязанка/Молокуша/Сосиски/P003985/","Сосиски «Молокуши» ф/в 0,45 п/а мгс ТМ «Вязанка»")</f>
        <v/>
      </c>
      <c r="Q68" s="687" t="n"/>
      <c r="R68" s="687" t="n"/>
      <c r="S68" s="687" t="n"/>
      <c r="T68" s="688" t="n"/>
      <c r="U68" s="39" t="inlineStr"/>
      <c r="V68" s="39" t="inlineStr"/>
      <c r="W68" s="40" t="inlineStr">
        <is>
          <t>кг</t>
        </is>
      </c>
      <c r="X68" s="689" t="n">
        <v>0</v>
      </c>
      <c r="Y68" s="690">
        <f>IFERROR(IF(X68="",0,CEILING((X68/$H68),1)*$H68),"")</f>
        <v/>
      </c>
      <c r="Z68" s="41">
        <f>IFERROR(IF(Y68=0,"",ROUNDUP(Y68/H68,0)*0.00651),"")</f>
        <v/>
      </c>
      <c r="AA68" s="68" t="inlineStr"/>
      <c r="AB68" s="69" t="inlineStr"/>
      <c r="AC68" s="128" t="inlineStr">
        <is>
          <t>ЕАЭС N RU Д-RU.РА03.В.39392/23</t>
        </is>
      </c>
      <c r="AG68" s="78" t="n"/>
      <c r="AJ68" s="84" t="inlineStr"/>
      <c r="AK68" s="84" t="n">
        <v>0</v>
      </c>
      <c r="BB68" s="129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16.5" customHeight="1">
      <c r="A69" s="63" t="inlineStr">
        <is>
          <t>SU002769</t>
        </is>
      </c>
      <c r="B69" s="63" t="inlineStr">
        <is>
          <t>P003324</t>
        </is>
      </c>
      <c r="C69" s="36" t="n">
        <v>4301051438</v>
      </c>
      <c r="D69" s="401" t="n">
        <v>4680115880894</v>
      </c>
      <c r="E69" s="646" t="n"/>
      <c r="F69" s="685" t="n">
        <v>0.33</v>
      </c>
      <c r="G69" s="37" t="n">
        <v>6</v>
      </c>
      <c r="H69" s="685" t="n">
        <v>1.98</v>
      </c>
      <c r="I69" s="685" t="n">
        <v>2.238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СК3</t>
        </is>
      </c>
      <c r="N69" s="38" t="n"/>
      <c r="O69" s="37" t="n">
        <v>45</v>
      </c>
      <c r="P69" s="71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69" s="687" t="n"/>
      <c r="R69" s="687" t="n"/>
      <c r="S69" s="687" t="n"/>
      <c r="T69" s="688" t="n"/>
      <c r="U69" s="39" t="inlineStr"/>
      <c r="V69" s="39" t="inlineStr"/>
      <c r="W69" s="40" t="inlineStr">
        <is>
          <t>кг</t>
        </is>
      </c>
      <c r="X69" s="689" t="n">
        <v>0</v>
      </c>
      <c r="Y69" s="690">
        <f>IFERROR(IF(X69="",0,CEILING((X69/$H69),1)*$H69),"")</f>
        <v/>
      </c>
      <c r="Z69" s="41">
        <f>IFERROR(IF(Y69=0,"",ROUNDUP(Y69/H69,0)*0.00651),"")</f>
        <v/>
      </c>
      <c r="AA69" s="68" t="inlineStr"/>
      <c r="AB69" s="69" t="inlineStr"/>
      <c r="AC69" s="130" t="inlineStr">
        <is>
          <t>ЕАЭС N RU Д-RU.РА10.В.95027/23</t>
        </is>
      </c>
      <c r="AG69" s="78" t="n"/>
      <c r="AJ69" s="84" t="inlineStr"/>
      <c r="AK69" s="84" t="n">
        <v>0</v>
      </c>
      <c r="BB69" s="131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>
      <c r="A70" s="410" t="n"/>
      <c r="B70" s="397" t="n"/>
      <c r="C70" s="397" t="n"/>
      <c r="D70" s="397" t="n"/>
      <c r="E70" s="397" t="n"/>
      <c r="F70" s="397" t="n"/>
      <c r="G70" s="397" t="n"/>
      <c r="H70" s="397" t="n"/>
      <c r="I70" s="397" t="n"/>
      <c r="J70" s="397" t="n"/>
      <c r="K70" s="397" t="n"/>
      <c r="L70" s="397" t="n"/>
      <c r="M70" s="397" t="n"/>
      <c r="N70" s="397" t="n"/>
      <c r="O70" s="692" t="n"/>
      <c r="P70" s="693" t="inlineStr">
        <is>
          <t>Итого</t>
        </is>
      </c>
      <c r="Q70" s="654" t="n"/>
      <c r="R70" s="654" t="n"/>
      <c r="S70" s="654" t="n"/>
      <c r="T70" s="654" t="n"/>
      <c r="U70" s="654" t="n"/>
      <c r="V70" s="655" t="n"/>
      <c r="W70" s="42" t="inlineStr">
        <is>
          <t>кор</t>
        </is>
      </c>
      <c r="X70" s="694">
        <f>IFERROR(X67/H67,"0")+IFERROR(X68/H68,"0")+IFERROR(X69/H69,"0")</f>
        <v/>
      </c>
      <c r="Y70" s="694">
        <f>IFERROR(Y67/H67,"0")+IFERROR(Y68/H68,"0")+IFERROR(Y69/H69,"0")</f>
        <v/>
      </c>
      <c r="Z70" s="694">
        <f>IFERROR(IF(Z67="",0,Z67),"0")+IFERROR(IF(Z68="",0,Z68),"0")+IFERROR(IF(Z69="",0,Z69),"0")</f>
        <v/>
      </c>
      <c r="AA70" s="695" t="n"/>
      <c r="AB70" s="695" t="n"/>
      <c r="AC70" s="695" t="n"/>
    </row>
    <row r="71">
      <c r="A71" s="397" t="n"/>
      <c r="B71" s="397" t="n"/>
      <c r="C71" s="397" t="n"/>
      <c r="D71" s="397" t="n"/>
      <c r="E71" s="397" t="n"/>
      <c r="F71" s="397" t="n"/>
      <c r="G71" s="397" t="n"/>
      <c r="H71" s="397" t="n"/>
      <c r="I71" s="397" t="n"/>
      <c r="J71" s="397" t="n"/>
      <c r="K71" s="397" t="n"/>
      <c r="L71" s="397" t="n"/>
      <c r="M71" s="397" t="n"/>
      <c r="N71" s="397" t="n"/>
      <c r="O71" s="692" t="n"/>
      <c r="P71" s="693" t="inlineStr">
        <is>
          <t>Итого</t>
        </is>
      </c>
      <c r="Q71" s="654" t="n"/>
      <c r="R71" s="654" t="n"/>
      <c r="S71" s="654" t="n"/>
      <c r="T71" s="654" t="n"/>
      <c r="U71" s="654" t="n"/>
      <c r="V71" s="655" t="n"/>
      <c r="W71" s="42" t="inlineStr">
        <is>
          <t>кг</t>
        </is>
      </c>
      <c r="X71" s="694">
        <f>IFERROR(SUM(X67:X69),"0")</f>
        <v/>
      </c>
      <c r="Y71" s="694">
        <f>IFERROR(SUM(Y67:Y69),"0")</f>
        <v/>
      </c>
      <c r="Z71" s="42" t="n"/>
      <c r="AA71" s="695" t="n"/>
      <c r="AB71" s="695" t="n"/>
      <c r="AC71" s="695" t="n"/>
    </row>
    <row r="72" ht="16.5" customHeight="1">
      <c r="A72" s="430" t="inlineStr">
        <is>
          <t>Сливушка</t>
        </is>
      </c>
      <c r="B72" s="397" t="n"/>
      <c r="C72" s="397" t="n"/>
      <c r="D72" s="397" t="n"/>
      <c r="E72" s="397" t="n"/>
      <c r="F72" s="397" t="n"/>
      <c r="G72" s="397" t="n"/>
      <c r="H72" s="397" t="n"/>
      <c r="I72" s="397" t="n"/>
      <c r="J72" s="397" t="n"/>
      <c r="K72" s="397" t="n"/>
      <c r="L72" s="397" t="n"/>
      <c r="M72" s="397" t="n"/>
      <c r="N72" s="397" t="n"/>
      <c r="O72" s="397" t="n"/>
      <c r="P72" s="397" t="n"/>
      <c r="Q72" s="397" t="n"/>
      <c r="R72" s="397" t="n"/>
      <c r="S72" s="397" t="n"/>
      <c r="T72" s="397" t="n"/>
      <c r="U72" s="397" t="n"/>
      <c r="V72" s="397" t="n"/>
      <c r="W72" s="397" t="n"/>
      <c r="X72" s="397" t="n"/>
      <c r="Y72" s="397" t="n"/>
      <c r="Z72" s="397" t="n"/>
      <c r="AA72" s="430" t="n"/>
      <c r="AB72" s="430" t="n"/>
      <c r="AC72" s="430" t="n"/>
    </row>
    <row r="73" ht="14.25" customHeight="1">
      <c r="A73" s="400" t="inlineStr">
        <is>
          <t>Вареные колбасы</t>
        </is>
      </c>
      <c r="B73" s="397" t="n"/>
      <c r="C73" s="397" t="n"/>
      <c r="D73" s="397" t="n"/>
      <c r="E73" s="397" t="n"/>
      <c r="F73" s="397" t="n"/>
      <c r="G73" s="397" t="n"/>
      <c r="H73" s="397" t="n"/>
      <c r="I73" s="397" t="n"/>
      <c r="J73" s="397" t="n"/>
      <c r="K73" s="397" t="n"/>
      <c r="L73" s="397" t="n"/>
      <c r="M73" s="397" t="n"/>
      <c r="N73" s="397" t="n"/>
      <c r="O73" s="397" t="n"/>
      <c r="P73" s="397" t="n"/>
      <c r="Q73" s="397" t="n"/>
      <c r="R73" s="397" t="n"/>
      <c r="S73" s="397" t="n"/>
      <c r="T73" s="397" t="n"/>
      <c r="U73" s="397" t="n"/>
      <c r="V73" s="397" t="n"/>
      <c r="W73" s="397" t="n"/>
      <c r="X73" s="397" t="n"/>
      <c r="Y73" s="397" t="n"/>
      <c r="Z73" s="397" t="n"/>
      <c r="AA73" s="400" t="n"/>
      <c r="AB73" s="400" t="n"/>
      <c r="AC73" s="400" t="n"/>
    </row>
    <row r="74" ht="27" customHeight="1">
      <c r="A74" s="63" t="inlineStr">
        <is>
          <t>SU002928</t>
        </is>
      </c>
      <c r="B74" s="63" t="inlineStr">
        <is>
          <t>P003357</t>
        </is>
      </c>
      <c r="C74" s="36" t="n">
        <v>4301011514</v>
      </c>
      <c r="D74" s="401" t="n">
        <v>4680115882133</v>
      </c>
      <c r="E74" s="646" t="n"/>
      <c r="F74" s="685" t="n">
        <v>1.35</v>
      </c>
      <c r="G74" s="37" t="n">
        <v>8</v>
      </c>
      <c r="H74" s="685" t="n">
        <v>10.8</v>
      </c>
      <c r="I74" s="685" t="n">
        <v>11.235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СК1</t>
        </is>
      </c>
      <c r="N74" s="38" t="n"/>
      <c r="O74" s="37" t="n">
        <v>50</v>
      </c>
      <c r="P74" s="717">
        <f>HYPERLINK("https://abi.ru/products/Охлажденные/Вязанка/Сливушка/Вареные колбасы/P003357/","Вареные колбасы «Сливушка» Вес П/а ТМ «Вязанка»")</f>
        <v/>
      </c>
      <c r="Q74" s="687" t="n"/>
      <c r="R74" s="687" t="n"/>
      <c r="S74" s="687" t="n"/>
      <c r="T74" s="688" t="n"/>
      <c r="U74" s="39" t="inlineStr"/>
      <c r="V74" s="39" t="inlineStr"/>
      <c r="W74" s="40" t="inlineStr">
        <is>
          <t>кг</t>
        </is>
      </c>
      <c r="X74" s="689" t="n">
        <v>0</v>
      </c>
      <c r="Y74" s="690">
        <f>IFERROR(IF(X74="",0,CEILING((X74/$H74),1)*$H74),"")</f>
        <v/>
      </c>
      <c r="Z74" s="41">
        <f>IFERROR(IF(Y74=0,"",ROUNDUP(Y74/H74,0)*0.01898),"")</f>
        <v/>
      </c>
      <c r="AA74" s="68" t="inlineStr"/>
      <c r="AB74" s="69" t="inlineStr"/>
      <c r="AC74" s="132" t="inlineStr">
        <is>
          <t>ЕАЭС N RU Д-RU.РА06.В.04803/22, ЕАЭС N RU Д-RU.РА10.В.83544/24</t>
        </is>
      </c>
      <c r="AG74" s="78" t="n"/>
      <c r="AJ74" s="84" t="inlineStr"/>
      <c r="AK74" s="84" t="n">
        <v>0</v>
      </c>
      <c r="BB74" s="13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SU002733</t>
        </is>
      </c>
      <c r="B75" s="63" t="inlineStr">
        <is>
          <t>P003102</t>
        </is>
      </c>
      <c r="C75" s="36" t="n">
        <v>4301011417</v>
      </c>
      <c r="D75" s="401" t="n">
        <v>4680115880269</v>
      </c>
      <c r="E75" s="646" t="n"/>
      <c r="F75" s="685" t="n">
        <v>0.375</v>
      </c>
      <c r="G75" s="37" t="n">
        <v>10</v>
      </c>
      <c r="H75" s="685" t="n">
        <v>3.75</v>
      </c>
      <c r="I75" s="685" t="n">
        <v>3.96</v>
      </c>
      <c r="J75" s="37" t="n">
        <v>132</v>
      </c>
      <c r="K75" s="37" t="inlineStr">
        <is>
          <t>12</t>
        </is>
      </c>
      <c r="L75" s="37" t="inlineStr"/>
      <c r="M75" s="38" t="inlineStr">
        <is>
          <t>СК3</t>
        </is>
      </c>
      <c r="N75" s="38" t="n"/>
      <c r="O75" s="37" t="n">
        <v>50</v>
      </c>
      <c r="P75" s="718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75" s="687" t="n"/>
      <c r="R75" s="687" t="n"/>
      <c r="S75" s="687" t="n"/>
      <c r="T75" s="688" t="n"/>
      <c r="U75" s="39" t="inlineStr"/>
      <c r="V75" s="39" t="inlineStr"/>
      <c r="W75" s="40" t="inlineStr">
        <is>
          <t>кг</t>
        </is>
      </c>
      <c r="X75" s="689" t="n">
        <v>0</v>
      </c>
      <c r="Y75" s="690">
        <f>IFERROR(IF(X75="",0,CEILING((X75/$H75),1)*$H75),"")</f>
        <v/>
      </c>
      <c r="Z75" s="41">
        <f>IFERROR(IF(Y75=0,"",ROUNDUP(Y75/H75,0)*0.00902),"")</f>
        <v/>
      </c>
      <c r="AA75" s="68" t="inlineStr"/>
      <c r="AB75" s="69" t="inlineStr"/>
      <c r="AC75" s="134" t="inlineStr">
        <is>
          <t>ЕАЭС N RU Д-RU.РА06.В.04803/22, ЕАЭС N RU Д-RU.РА10.В.83544/24</t>
        </is>
      </c>
      <c r="AG75" s="78" t="n"/>
      <c r="AJ75" s="84" t="inlineStr"/>
      <c r="AK75" s="84" t="n">
        <v>0</v>
      </c>
      <c r="BB75" s="13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SU002734</t>
        </is>
      </c>
      <c r="B76" s="63" t="inlineStr">
        <is>
          <t>P003103</t>
        </is>
      </c>
      <c r="C76" s="36" t="n">
        <v>4301011415</v>
      </c>
      <c r="D76" s="401" t="n">
        <v>4680115880429</v>
      </c>
      <c r="E76" s="646" t="n"/>
      <c r="F76" s="685" t="n">
        <v>0.45</v>
      </c>
      <c r="G76" s="37" t="n">
        <v>10</v>
      </c>
      <c r="H76" s="685" t="n">
        <v>4.5</v>
      </c>
      <c r="I76" s="685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СК3</t>
        </is>
      </c>
      <c r="N76" s="38" t="n"/>
      <c r="O76" s="37" t="n">
        <v>50</v>
      </c>
      <c r="P76" s="71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76" s="687" t="n"/>
      <c r="R76" s="687" t="n"/>
      <c r="S76" s="687" t="n"/>
      <c r="T76" s="688" t="n"/>
      <c r="U76" s="39" t="inlineStr"/>
      <c r="V76" s="39" t="inlineStr"/>
      <c r="W76" s="40" t="inlineStr">
        <is>
          <t>кг</t>
        </is>
      </c>
      <c r="X76" s="689" t="n">
        <v>100</v>
      </c>
      <c r="Y76" s="690">
        <f>IFERROR(IF(X76="",0,CEILING((X76/$H76),1)*$H76),"")</f>
        <v/>
      </c>
      <c r="Z76" s="41">
        <f>IFERROR(IF(Y76=0,"",ROUNDUP(Y76/H76,0)*0.00902),"")</f>
        <v/>
      </c>
      <c r="AA76" s="68" t="inlineStr"/>
      <c r="AB76" s="69" t="inlineStr"/>
      <c r="AC76" s="136" t="inlineStr">
        <is>
          <t>ЕАЭС N RU Д-RU.РА06.В.04803/22, ЕАЭС N RU Д-RU.РА10.В.83544/24</t>
        </is>
      </c>
      <c r="AG76" s="78" t="n"/>
      <c r="AJ76" s="84" t="inlineStr"/>
      <c r="AK76" s="84" t="n">
        <v>0</v>
      </c>
      <c r="BB76" s="13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27" customHeight="1">
      <c r="A77" s="63" t="inlineStr">
        <is>
          <t>SU002827</t>
        </is>
      </c>
      <c r="B77" s="63" t="inlineStr">
        <is>
          <t>P003233</t>
        </is>
      </c>
      <c r="C77" s="36" t="n">
        <v>4301011462</v>
      </c>
      <c r="D77" s="401" t="n">
        <v>4680115881457</v>
      </c>
      <c r="E77" s="646" t="n"/>
      <c r="F77" s="685" t="n">
        <v>0.75</v>
      </c>
      <c r="G77" s="37" t="n">
        <v>6</v>
      </c>
      <c r="H77" s="685" t="n">
        <v>4.5</v>
      </c>
      <c r="I77" s="685" t="n">
        <v>4.71</v>
      </c>
      <c r="J77" s="37" t="n">
        <v>132</v>
      </c>
      <c r="K77" s="37" t="inlineStr">
        <is>
          <t>12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720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77" s="687" t="n"/>
      <c r="R77" s="687" t="n"/>
      <c r="S77" s="687" t="n"/>
      <c r="T77" s="688" t="n"/>
      <c r="U77" s="39" t="inlineStr"/>
      <c r="V77" s="39" t="inlineStr"/>
      <c r="W77" s="40" t="inlineStr">
        <is>
          <t>кг</t>
        </is>
      </c>
      <c r="X77" s="689" t="n">
        <v>0</v>
      </c>
      <c r="Y77" s="690">
        <f>IFERROR(IF(X77="",0,CEILING((X77/$H77),1)*$H77),"")</f>
        <v/>
      </c>
      <c r="Z77" s="41">
        <f>IFERROR(IF(Y77=0,"",ROUNDUP(Y77/H77,0)*0.00902),"")</f>
        <v/>
      </c>
      <c r="AA77" s="68" t="inlineStr"/>
      <c r="AB77" s="69" t="inlineStr"/>
      <c r="AC77" s="138" t="inlineStr">
        <is>
          <t>ЕАЭС N RU Д-RU.РА06.В.04803/22, ЕАЭС N RU Д-RU.РА10.В.83544/24</t>
        </is>
      </c>
      <c r="AG77" s="78" t="n"/>
      <c r="AJ77" s="84" t="inlineStr"/>
      <c r="AK77" s="84" t="n">
        <v>0</v>
      </c>
      <c r="BB77" s="13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>
      <c r="A78" s="410" t="n"/>
      <c r="B78" s="397" t="n"/>
      <c r="C78" s="397" t="n"/>
      <c r="D78" s="397" t="n"/>
      <c r="E78" s="397" t="n"/>
      <c r="F78" s="397" t="n"/>
      <c r="G78" s="397" t="n"/>
      <c r="H78" s="397" t="n"/>
      <c r="I78" s="397" t="n"/>
      <c r="J78" s="397" t="n"/>
      <c r="K78" s="397" t="n"/>
      <c r="L78" s="397" t="n"/>
      <c r="M78" s="397" t="n"/>
      <c r="N78" s="397" t="n"/>
      <c r="O78" s="692" t="n"/>
      <c r="P78" s="693" t="inlineStr">
        <is>
          <t>Итого</t>
        </is>
      </c>
      <c r="Q78" s="654" t="n"/>
      <c r="R78" s="654" t="n"/>
      <c r="S78" s="654" t="n"/>
      <c r="T78" s="654" t="n"/>
      <c r="U78" s="654" t="n"/>
      <c r="V78" s="655" t="n"/>
      <c r="W78" s="42" t="inlineStr">
        <is>
          <t>кор</t>
        </is>
      </c>
      <c r="X78" s="694">
        <f>IFERROR(X74/H74,"0")+IFERROR(X75/H75,"0")+IFERROR(X76/H76,"0")+IFERROR(X77/H77,"0")</f>
        <v/>
      </c>
      <c r="Y78" s="694">
        <f>IFERROR(Y74/H74,"0")+IFERROR(Y75/H75,"0")+IFERROR(Y76/H76,"0")+IFERROR(Y77/H77,"0")</f>
        <v/>
      </c>
      <c r="Z78" s="694">
        <f>IFERROR(IF(Z74="",0,Z74),"0")+IFERROR(IF(Z75="",0,Z75),"0")+IFERROR(IF(Z76="",0,Z76),"0")+IFERROR(IF(Z77="",0,Z77),"0")</f>
        <v/>
      </c>
      <c r="AA78" s="695" t="n"/>
      <c r="AB78" s="695" t="n"/>
      <c r="AC78" s="695" t="n"/>
    </row>
    <row r="79">
      <c r="A79" s="397" t="n"/>
      <c r="B79" s="397" t="n"/>
      <c r="C79" s="397" t="n"/>
      <c r="D79" s="397" t="n"/>
      <c r="E79" s="397" t="n"/>
      <c r="F79" s="397" t="n"/>
      <c r="G79" s="397" t="n"/>
      <c r="H79" s="397" t="n"/>
      <c r="I79" s="397" t="n"/>
      <c r="J79" s="397" t="n"/>
      <c r="K79" s="397" t="n"/>
      <c r="L79" s="397" t="n"/>
      <c r="M79" s="397" t="n"/>
      <c r="N79" s="397" t="n"/>
      <c r="O79" s="692" t="n"/>
      <c r="P79" s="693" t="inlineStr">
        <is>
          <t>Итого</t>
        </is>
      </c>
      <c r="Q79" s="654" t="n"/>
      <c r="R79" s="654" t="n"/>
      <c r="S79" s="654" t="n"/>
      <c r="T79" s="654" t="n"/>
      <c r="U79" s="654" t="n"/>
      <c r="V79" s="655" t="n"/>
      <c r="W79" s="42" t="inlineStr">
        <is>
          <t>кг</t>
        </is>
      </c>
      <c r="X79" s="694">
        <f>IFERROR(SUM(X74:X77),"0")</f>
        <v/>
      </c>
      <c r="Y79" s="694">
        <f>IFERROR(SUM(Y74:Y77),"0")</f>
        <v/>
      </c>
      <c r="Z79" s="42" t="n"/>
      <c r="AA79" s="695" t="n"/>
      <c r="AB79" s="695" t="n"/>
      <c r="AC79" s="695" t="n"/>
    </row>
    <row r="80" ht="14.25" customHeight="1">
      <c r="A80" s="400" t="inlineStr">
        <is>
          <t>Ветчины</t>
        </is>
      </c>
      <c r="B80" s="397" t="n"/>
      <c r="C80" s="397" t="n"/>
      <c r="D80" s="397" t="n"/>
      <c r="E80" s="397" t="n"/>
      <c r="F80" s="397" t="n"/>
      <c r="G80" s="397" t="n"/>
      <c r="H80" s="397" t="n"/>
      <c r="I80" s="397" t="n"/>
      <c r="J80" s="397" t="n"/>
      <c r="K80" s="397" t="n"/>
      <c r="L80" s="397" t="n"/>
      <c r="M80" s="397" t="n"/>
      <c r="N80" s="397" t="n"/>
      <c r="O80" s="397" t="n"/>
      <c r="P80" s="397" t="n"/>
      <c r="Q80" s="397" t="n"/>
      <c r="R80" s="397" t="n"/>
      <c r="S80" s="397" t="n"/>
      <c r="T80" s="397" t="n"/>
      <c r="U80" s="397" t="n"/>
      <c r="V80" s="397" t="n"/>
      <c r="W80" s="397" t="n"/>
      <c r="X80" s="397" t="n"/>
      <c r="Y80" s="397" t="n"/>
      <c r="Z80" s="397" t="n"/>
      <c r="AA80" s="400" t="n"/>
      <c r="AB80" s="400" t="n"/>
      <c r="AC80" s="400" t="n"/>
    </row>
    <row r="81" ht="16.5" customHeight="1">
      <c r="A81" s="63" t="inlineStr">
        <is>
          <t>SU002833</t>
        </is>
      </c>
      <c r="B81" s="63" t="inlineStr">
        <is>
          <t>P004607</t>
        </is>
      </c>
      <c r="C81" s="36" t="n">
        <v>4301020345</v>
      </c>
      <c r="D81" s="401" t="n">
        <v>4680115881488</v>
      </c>
      <c r="E81" s="646" t="n"/>
      <c r="F81" s="685" t="n">
        <v>1.35</v>
      </c>
      <c r="G81" s="37" t="n">
        <v>8</v>
      </c>
      <c r="H81" s="685" t="n">
        <v>10.8</v>
      </c>
      <c r="I81" s="685" t="n">
        <v>11.235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СК1</t>
        </is>
      </c>
      <c r="N81" s="38" t="n"/>
      <c r="O81" s="37" t="n">
        <v>55</v>
      </c>
      <c r="P81" s="721">
        <f>HYPERLINK("https://abi.ru/products/Охлажденные/Вязанка/Сливушка/Ветчины/P004607/","Ветчины «Сливушка с индейкой» вес п/а ТМ «Вязанка»")</f>
        <v/>
      </c>
      <c r="Q81" s="687" t="n"/>
      <c r="R81" s="687" t="n"/>
      <c r="S81" s="687" t="n"/>
      <c r="T81" s="688" t="n"/>
      <c r="U81" s="39" t="inlineStr"/>
      <c r="V81" s="39" t="inlineStr"/>
      <c r="W81" s="40" t="inlineStr">
        <is>
          <t>кг</t>
        </is>
      </c>
      <c r="X81" s="689" t="n">
        <v>0</v>
      </c>
      <c r="Y81" s="690">
        <f>IFERROR(IF(X81="",0,CEILING((X81/$H81),1)*$H81),"")</f>
        <v/>
      </c>
      <c r="Z81" s="41">
        <f>IFERROR(IF(Y81=0,"",ROUNDUP(Y81/H81,0)*0.01898),"")</f>
        <v/>
      </c>
      <c r="AA81" s="68" t="inlineStr"/>
      <c r="AB81" s="69" t="inlineStr"/>
      <c r="AC81" s="140" t="inlineStr">
        <is>
          <t>ЕАЭС N RU Д-RU.РА06.В.97082/24</t>
        </is>
      </c>
      <c r="AG81" s="78" t="n"/>
      <c r="AJ81" s="84" t="inlineStr"/>
      <c r="AK81" s="84" t="n">
        <v>0</v>
      </c>
      <c r="BB81" s="14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16.5" customHeight="1">
      <c r="A82" s="63" t="inlineStr">
        <is>
          <t>SU003037</t>
        </is>
      </c>
      <c r="B82" s="63" t="inlineStr">
        <is>
          <t>P004609</t>
        </is>
      </c>
      <c r="C82" s="36" t="n">
        <v>4301020346</v>
      </c>
      <c r="D82" s="401" t="n">
        <v>4680115882775</v>
      </c>
      <c r="E82" s="646" t="n"/>
      <c r="F82" s="685" t="n">
        <v>0.3</v>
      </c>
      <c r="G82" s="37" t="n">
        <v>8</v>
      </c>
      <c r="H82" s="685" t="n">
        <v>2.4</v>
      </c>
      <c r="I82" s="685" t="n">
        <v>2.5</v>
      </c>
      <c r="J82" s="37" t="n">
        <v>234</v>
      </c>
      <c r="K82" s="37" t="inlineStr">
        <is>
          <t>18</t>
        </is>
      </c>
      <c r="L82" s="37" t="inlineStr"/>
      <c r="M82" s="38" t="inlineStr">
        <is>
          <t>СК1</t>
        </is>
      </c>
      <c r="N82" s="38" t="n"/>
      <c r="O82" s="37" t="n">
        <v>55</v>
      </c>
      <c r="P82" s="722">
        <f>HYPERLINK("https://abi.ru/products/Охлажденные/Вязанка/Сливушка/Ветчины/P004609/","Ветчины «Сливушка с индейкой» Фикс.вес 0,3 П/а ТМ «Вязанка»")</f>
        <v/>
      </c>
      <c r="Q82" s="687" t="n"/>
      <c r="R82" s="687" t="n"/>
      <c r="S82" s="687" t="n"/>
      <c r="T82" s="688" t="n"/>
      <c r="U82" s="39" t="inlineStr"/>
      <c r="V82" s="39" t="inlineStr"/>
      <c r="W82" s="40" t="inlineStr">
        <is>
          <t>кг</t>
        </is>
      </c>
      <c r="X82" s="689" t="n">
        <v>0</v>
      </c>
      <c r="Y82" s="690">
        <f>IFERROR(IF(X82="",0,CEILING((X82/$H82),1)*$H82),"")</f>
        <v/>
      </c>
      <c r="Z82" s="41">
        <f>IFERROR(IF(Y82=0,"",ROUNDUP(Y82/H82,0)*0.00502),"")</f>
        <v/>
      </c>
      <c r="AA82" s="68" t="inlineStr"/>
      <c r="AB82" s="69" t="inlineStr"/>
      <c r="AC82" s="142" t="inlineStr">
        <is>
          <t>ЕАЭС N RU Д-RU.РА06.В.97082/24</t>
        </is>
      </c>
      <c r="AG82" s="78" t="n"/>
      <c r="AJ82" s="84" t="inlineStr"/>
      <c r="AK82" s="84" t="n">
        <v>0</v>
      </c>
      <c r="BB82" s="14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16.5" customHeight="1">
      <c r="A83" s="63" t="inlineStr">
        <is>
          <t>SU002735</t>
        </is>
      </c>
      <c r="B83" s="63" t="inlineStr">
        <is>
          <t>P004586</t>
        </is>
      </c>
      <c r="C83" s="36" t="n">
        <v>4301020344</v>
      </c>
      <c r="D83" s="401" t="n">
        <v>4680115880658</v>
      </c>
      <c r="E83" s="646" t="n"/>
      <c r="F83" s="685" t="n">
        <v>0.4</v>
      </c>
      <c r="G83" s="37" t="n">
        <v>6</v>
      </c>
      <c r="H83" s="685" t="n">
        <v>2.4</v>
      </c>
      <c r="I83" s="685" t="n">
        <v>2.58</v>
      </c>
      <c r="J83" s="37" t="n">
        <v>182</v>
      </c>
      <c r="K83" s="37" t="inlineStr">
        <is>
          <t>14</t>
        </is>
      </c>
      <c r="L83" s="37" t="inlineStr"/>
      <c r="M83" s="38" t="inlineStr">
        <is>
          <t>СК1</t>
        </is>
      </c>
      <c r="N83" s="38" t="n"/>
      <c r="O83" s="37" t="n">
        <v>55</v>
      </c>
      <c r="P83" s="723">
        <f>HYPERLINK("https://abi.ru/products/Охлажденные/Вязанка/Сливушка/Ветчины/P004586/","Ветчины «Сливушка с индейкой» Фикс.вес 0,4 П/а ТМ «Вязанка»")</f>
        <v/>
      </c>
      <c r="Q83" s="687" t="n"/>
      <c r="R83" s="687" t="n"/>
      <c r="S83" s="687" t="n"/>
      <c r="T83" s="688" t="n"/>
      <c r="U83" s="39" t="inlineStr"/>
      <c r="V83" s="39" t="inlineStr"/>
      <c r="W83" s="40" t="inlineStr">
        <is>
          <t>кг</t>
        </is>
      </c>
      <c r="X83" s="689" t="n">
        <v>0</v>
      </c>
      <c r="Y83" s="690">
        <f>IFERROR(IF(X83="",0,CEILING((X83/$H83),1)*$H83),"")</f>
        <v/>
      </c>
      <c r="Z83" s="41">
        <f>IFERROR(IF(Y83=0,"",ROUNDUP(Y83/H83,0)*0.00651),"")</f>
        <v/>
      </c>
      <c r="AA83" s="68" t="inlineStr"/>
      <c r="AB83" s="69" t="inlineStr"/>
      <c r="AC83" s="144" t="inlineStr">
        <is>
          <t>ЕАЭС N RU Д-RU.РА06.В.97082/24</t>
        </is>
      </c>
      <c r="AG83" s="78" t="n"/>
      <c r="AJ83" s="84" t="inlineStr"/>
      <c r="AK83" s="84" t="n">
        <v>0</v>
      </c>
      <c r="BB83" s="14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>
      <c r="A84" s="410" t="n"/>
      <c r="B84" s="397" t="n"/>
      <c r="C84" s="397" t="n"/>
      <c r="D84" s="397" t="n"/>
      <c r="E84" s="397" t="n"/>
      <c r="F84" s="397" t="n"/>
      <c r="G84" s="397" t="n"/>
      <c r="H84" s="397" t="n"/>
      <c r="I84" s="397" t="n"/>
      <c r="J84" s="397" t="n"/>
      <c r="K84" s="397" t="n"/>
      <c r="L84" s="397" t="n"/>
      <c r="M84" s="397" t="n"/>
      <c r="N84" s="397" t="n"/>
      <c r="O84" s="692" t="n"/>
      <c r="P84" s="693" t="inlineStr">
        <is>
          <t>Итого</t>
        </is>
      </c>
      <c r="Q84" s="654" t="n"/>
      <c r="R84" s="654" t="n"/>
      <c r="S84" s="654" t="n"/>
      <c r="T84" s="654" t="n"/>
      <c r="U84" s="654" t="n"/>
      <c r="V84" s="655" t="n"/>
      <c r="W84" s="42" t="inlineStr">
        <is>
          <t>кор</t>
        </is>
      </c>
      <c r="X84" s="694">
        <f>IFERROR(X81/H81,"0")+IFERROR(X82/H82,"0")+IFERROR(X83/H83,"0")</f>
        <v/>
      </c>
      <c r="Y84" s="694">
        <f>IFERROR(Y81/H81,"0")+IFERROR(Y82/H82,"0")+IFERROR(Y83/H83,"0")</f>
        <v/>
      </c>
      <c r="Z84" s="694">
        <f>IFERROR(IF(Z81="",0,Z81),"0")+IFERROR(IF(Z82="",0,Z82),"0")+IFERROR(IF(Z83="",0,Z83),"0")</f>
        <v/>
      </c>
      <c r="AA84" s="695" t="n"/>
      <c r="AB84" s="695" t="n"/>
      <c r="AC84" s="695" t="n"/>
    </row>
    <row r="85">
      <c r="A85" s="397" t="n"/>
      <c r="B85" s="397" t="n"/>
      <c r="C85" s="397" t="n"/>
      <c r="D85" s="397" t="n"/>
      <c r="E85" s="397" t="n"/>
      <c r="F85" s="397" t="n"/>
      <c r="G85" s="397" t="n"/>
      <c r="H85" s="397" t="n"/>
      <c r="I85" s="397" t="n"/>
      <c r="J85" s="397" t="n"/>
      <c r="K85" s="397" t="n"/>
      <c r="L85" s="397" t="n"/>
      <c r="M85" s="397" t="n"/>
      <c r="N85" s="397" t="n"/>
      <c r="O85" s="692" t="n"/>
      <c r="P85" s="693" t="inlineStr">
        <is>
          <t>Итого</t>
        </is>
      </c>
      <c r="Q85" s="654" t="n"/>
      <c r="R85" s="654" t="n"/>
      <c r="S85" s="654" t="n"/>
      <c r="T85" s="654" t="n"/>
      <c r="U85" s="654" t="n"/>
      <c r="V85" s="655" t="n"/>
      <c r="W85" s="42" t="inlineStr">
        <is>
          <t>кг</t>
        </is>
      </c>
      <c r="X85" s="694">
        <f>IFERROR(SUM(X81:X83),"0")</f>
        <v/>
      </c>
      <c r="Y85" s="694">
        <f>IFERROR(SUM(Y81:Y83),"0")</f>
        <v/>
      </c>
      <c r="Z85" s="42" t="n"/>
      <c r="AA85" s="695" t="n"/>
      <c r="AB85" s="695" t="n"/>
      <c r="AC85" s="695" t="n"/>
    </row>
    <row r="86" ht="14.25" customHeight="1">
      <c r="A86" s="400" t="inlineStr">
        <is>
          <t>Сосиски</t>
        </is>
      </c>
      <c r="B86" s="397" t="n"/>
      <c r="C86" s="397" t="n"/>
      <c r="D86" s="397" t="n"/>
      <c r="E86" s="397" t="n"/>
      <c r="F86" s="397" t="n"/>
      <c r="G86" s="397" t="n"/>
      <c r="H86" s="397" t="n"/>
      <c r="I86" s="397" t="n"/>
      <c r="J86" s="397" t="n"/>
      <c r="K86" s="397" t="n"/>
      <c r="L86" s="397" t="n"/>
      <c r="M86" s="397" t="n"/>
      <c r="N86" s="397" t="n"/>
      <c r="O86" s="397" t="n"/>
      <c r="P86" s="397" t="n"/>
      <c r="Q86" s="397" t="n"/>
      <c r="R86" s="397" t="n"/>
      <c r="S86" s="397" t="n"/>
      <c r="T86" s="397" t="n"/>
      <c r="U86" s="397" t="n"/>
      <c r="V86" s="397" t="n"/>
      <c r="W86" s="397" t="n"/>
      <c r="X86" s="397" t="n"/>
      <c r="Y86" s="397" t="n"/>
      <c r="Z86" s="397" t="n"/>
      <c r="AA86" s="400" t="n"/>
      <c r="AB86" s="400" t="n"/>
      <c r="AC86" s="400" t="n"/>
    </row>
    <row r="87" ht="16.5" customHeight="1">
      <c r="A87" s="63" t="inlineStr">
        <is>
          <t>SU001721</t>
        </is>
      </c>
      <c r="B87" s="63" t="inlineStr">
        <is>
          <t>P003988</t>
        </is>
      </c>
      <c r="C87" s="36" t="n">
        <v>4301051724</v>
      </c>
      <c r="D87" s="401" t="n">
        <v>4607091385168</v>
      </c>
      <c r="E87" s="646" t="n"/>
      <c r="F87" s="685" t="n">
        <v>1.35</v>
      </c>
      <c r="G87" s="37" t="n">
        <v>6</v>
      </c>
      <c r="H87" s="685" t="n">
        <v>8.1</v>
      </c>
      <c r="I87" s="685" t="n">
        <v>8.613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45</v>
      </c>
      <c r="P87" s="724">
        <f>HYPERLINK("https://abi.ru/products/Охлажденные/Вязанка/Сливушка/Сосиски/P003988/","Сосиски «Сливочные Вязанка» Весовой п/а мгс ТМ «Вязанка»")</f>
        <v/>
      </c>
      <c r="Q87" s="687" t="n"/>
      <c r="R87" s="687" t="n"/>
      <c r="S87" s="687" t="n"/>
      <c r="T87" s="688" t="n"/>
      <c r="U87" s="39" t="inlineStr"/>
      <c r="V87" s="39" t="inlineStr"/>
      <c r="W87" s="40" t="inlineStr">
        <is>
          <t>кг</t>
        </is>
      </c>
      <c r="X87" s="689" t="n">
        <v>600</v>
      </c>
      <c r="Y87" s="690">
        <f>IFERROR(IF(X87="",0,CEILING((X87/$H87),1)*$H87),"")</f>
        <v/>
      </c>
      <c r="Z87" s="41">
        <f>IFERROR(IF(Y87=0,"",ROUNDUP(Y87/H87,0)*0.01898),"")</f>
        <v/>
      </c>
      <c r="AA87" s="68" t="inlineStr"/>
      <c r="AB87" s="69" t="inlineStr"/>
      <c r="AC87" s="146" t="inlineStr">
        <is>
          <t>ЕАЭС N RU Д-RU.РА05.В.31074/23</t>
        </is>
      </c>
      <c r="AG87" s="78" t="n"/>
      <c r="AJ87" s="84" t="inlineStr"/>
      <c r="AK87" s="84" t="n">
        <v>0</v>
      </c>
      <c r="BB87" s="147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27" customHeight="1">
      <c r="A88" s="63" t="inlineStr">
        <is>
          <t>SU002139</t>
        </is>
      </c>
      <c r="B88" s="63" t="inlineStr">
        <is>
          <t>P003990</t>
        </is>
      </c>
      <c r="C88" s="36" t="n">
        <v>4301051730</v>
      </c>
      <c r="D88" s="401" t="n">
        <v>4607091383256</v>
      </c>
      <c r="E88" s="646" t="n"/>
      <c r="F88" s="685" t="n">
        <v>0.33</v>
      </c>
      <c r="G88" s="37" t="n">
        <v>6</v>
      </c>
      <c r="H88" s="685" t="n">
        <v>1.98</v>
      </c>
      <c r="I88" s="685" t="n">
        <v>2.226</v>
      </c>
      <c r="J88" s="37" t="n">
        <v>182</v>
      </c>
      <c r="K88" s="37" t="inlineStr">
        <is>
          <t>14</t>
        </is>
      </c>
      <c r="L88" s="37" t="inlineStr"/>
      <c r="M88" s="38" t="inlineStr">
        <is>
          <t>СК4</t>
        </is>
      </c>
      <c r="N88" s="38" t="n"/>
      <c r="O88" s="37" t="n">
        <v>45</v>
      </c>
      <c r="P88" s="725">
        <f>HYPERLINK("https://abi.ru/products/Охлажденные/Вязанка/Сливушка/Сосиски/P003990/","Сосиски «Сливочные» ф/в 0,33 п/а мгс ТМ «Вязанка»")</f>
        <v/>
      </c>
      <c r="Q88" s="687" t="n"/>
      <c r="R88" s="687" t="n"/>
      <c r="S88" s="687" t="n"/>
      <c r="T88" s="688" t="n"/>
      <c r="U88" s="39" t="inlineStr"/>
      <c r="V88" s="39" t="inlineStr"/>
      <c r="W88" s="40" t="inlineStr">
        <is>
          <t>кг</t>
        </is>
      </c>
      <c r="X88" s="689" t="n">
        <v>0</v>
      </c>
      <c r="Y88" s="690">
        <f>IFERROR(IF(X88="",0,CEILING((X88/$H88),1)*$H88),"")</f>
        <v/>
      </c>
      <c r="Z88" s="41">
        <f>IFERROR(IF(Y88=0,"",ROUNDUP(Y88/H88,0)*0.00651),"")</f>
        <v/>
      </c>
      <c r="AA88" s="68" t="inlineStr"/>
      <c r="AB88" s="69" t="inlineStr"/>
      <c r="AC88" s="148" t="inlineStr">
        <is>
          <t>ЕАЭС N RU Д-RU.РА05.В.31074/23</t>
        </is>
      </c>
      <c r="AG88" s="78" t="n"/>
      <c r="AJ88" s="84" t="inlineStr"/>
      <c r="AK88" s="84" t="n">
        <v>0</v>
      </c>
      <c r="BB88" s="149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SU001720</t>
        </is>
      </c>
      <c r="B89" s="63" t="inlineStr">
        <is>
          <t>P003989</t>
        </is>
      </c>
      <c r="C89" s="36" t="n">
        <v>4301051721</v>
      </c>
      <c r="D89" s="401" t="n">
        <v>4607091385748</v>
      </c>
      <c r="E89" s="646" t="n"/>
      <c r="F89" s="685" t="n">
        <v>0.45</v>
      </c>
      <c r="G89" s="37" t="n">
        <v>6</v>
      </c>
      <c r="H89" s="685" t="n">
        <v>2.7</v>
      </c>
      <c r="I89" s="685" t="n">
        <v>2.952</v>
      </c>
      <c r="J89" s="37" t="n">
        <v>182</v>
      </c>
      <c r="K89" s="37" t="inlineStr">
        <is>
          <t>14</t>
        </is>
      </c>
      <c r="L89" s="37" t="inlineStr"/>
      <c r="M89" s="38" t="inlineStr">
        <is>
          <t>СК4</t>
        </is>
      </c>
      <c r="N89" s="38" t="n"/>
      <c r="O89" s="37" t="n">
        <v>45</v>
      </c>
      <c r="P89" s="726">
        <f>HYPERLINK("https://abi.ru/products/Охлажденные/Вязанка/Сливушка/Сосиски/P003989/","Сосиски «Сливочные» ф/в 0,45 п/а мгс ТМ «Вязанка»")</f>
        <v/>
      </c>
      <c r="Q89" s="687" t="n"/>
      <c r="R89" s="687" t="n"/>
      <c r="S89" s="687" t="n"/>
      <c r="T89" s="688" t="n"/>
      <c r="U89" s="39" t="inlineStr"/>
      <c r="V89" s="39" t="inlineStr"/>
      <c r="W89" s="40" t="inlineStr">
        <is>
          <t>кг</t>
        </is>
      </c>
      <c r="X89" s="689" t="n">
        <v>100</v>
      </c>
      <c r="Y89" s="690">
        <f>IFERROR(IF(X89="",0,CEILING((X89/$H89),1)*$H89),"")</f>
        <v/>
      </c>
      <c r="Z89" s="41">
        <f>IFERROR(IF(Y89=0,"",ROUNDUP(Y89/H89,0)*0.00651),"")</f>
        <v/>
      </c>
      <c r="AA89" s="68" t="inlineStr"/>
      <c r="AB89" s="69" t="inlineStr"/>
      <c r="AC89" s="150" t="inlineStr">
        <is>
          <t>ЕАЭС N RU Д-RU.РА05.В.31074/23</t>
        </is>
      </c>
      <c r="AG89" s="78" t="n"/>
      <c r="AJ89" s="84" t="inlineStr"/>
      <c r="AK89" s="84" t="n">
        <v>0</v>
      </c>
      <c r="BB89" s="151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>
      <c r="A90" s="410" t="n"/>
      <c r="B90" s="397" t="n"/>
      <c r="C90" s="397" t="n"/>
      <c r="D90" s="397" t="n"/>
      <c r="E90" s="397" t="n"/>
      <c r="F90" s="397" t="n"/>
      <c r="G90" s="397" t="n"/>
      <c r="H90" s="397" t="n"/>
      <c r="I90" s="397" t="n"/>
      <c r="J90" s="397" t="n"/>
      <c r="K90" s="397" t="n"/>
      <c r="L90" s="397" t="n"/>
      <c r="M90" s="397" t="n"/>
      <c r="N90" s="397" t="n"/>
      <c r="O90" s="692" t="n"/>
      <c r="P90" s="693" t="inlineStr">
        <is>
          <t>Итого</t>
        </is>
      </c>
      <c r="Q90" s="654" t="n"/>
      <c r="R90" s="654" t="n"/>
      <c r="S90" s="654" t="n"/>
      <c r="T90" s="654" t="n"/>
      <c r="U90" s="654" t="n"/>
      <c r="V90" s="655" t="n"/>
      <c r="W90" s="42" t="inlineStr">
        <is>
          <t>кор</t>
        </is>
      </c>
      <c r="X90" s="694">
        <f>IFERROR(X87/H87,"0")+IFERROR(X88/H88,"0")+IFERROR(X89/H89,"0")</f>
        <v/>
      </c>
      <c r="Y90" s="694">
        <f>IFERROR(Y87/H87,"0")+IFERROR(Y88/H88,"0")+IFERROR(Y89/H89,"0")</f>
        <v/>
      </c>
      <c r="Z90" s="694">
        <f>IFERROR(IF(Z87="",0,Z87),"0")+IFERROR(IF(Z88="",0,Z88),"0")+IFERROR(IF(Z89="",0,Z89),"0")</f>
        <v/>
      </c>
      <c r="AA90" s="695" t="n"/>
      <c r="AB90" s="695" t="n"/>
      <c r="AC90" s="695" t="n"/>
    </row>
    <row r="91">
      <c r="A91" s="397" t="n"/>
      <c r="B91" s="397" t="n"/>
      <c r="C91" s="397" t="n"/>
      <c r="D91" s="397" t="n"/>
      <c r="E91" s="397" t="n"/>
      <c r="F91" s="397" t="n"/>
      <c r="G91" s="397" t="n"/>
      <c r="H91" s="397" t="n"/>
      <c r="I91" s="397" t="n"/>
      <c r="J91" s="397" t="n"/>
      <c r="K91" s="397" t="n"/>
      <c r="L91" s="397" t="n"/>
      <c r="M91" s="397" t="n"/>
      <c r="N91" s="397" t="n"/>
      <c r="O91" s="692" t="n"/>
      <c r="P91" s="693" t="inlineStr">
        <is>
          <t>Итого</t>
        </is>
      </c>
      <c r="Q91" s="654" t="n"/>
      <c r="R91" s="654" t="n"/>
      <c r="S91" s="654" t="n"/>
      <c r="T91" s="654" t="n"/>
      <c r="U91" s="654" t="n"/>
      <c r="V91" s="655" t="n"/>
      <c r="W91" s="42" t="inlineStr">
        <is>
          <t>кг</t>
        </is>
      </c>
      <c r="X91" s="694">
        <f>IFERROR(SUM(X87:X89),"0")</f>
        <v/>
      </c>
      <c r="Y91" s="694">
        <f>IFERROR(SUM(Y87:Y89),"0")</f>
        <v/>
      </c>
      <c r="Z91" s="42" t="n"/>
      <c r="AA91" s="695" t="n"/>
      <c r="AB91" s="695" t="n"/>
      <c r="AC91" s="695" t="n"/>
    </row>
    <row r="92" ht="14.25" customHeight="1">
      <c r="A92" s="400" t="inlineStr">
        <is>
          <t>Сардельки</t>
        </is>
      </c>
      <c r="B92" s="397" t="n"/>
      <c r="C92" s="397" t="n"/>
      <c r="D92" s="397" t="n"/>
      <c r="E92" s="397" t="n"/>
      <c r="F92" s="397" t="n"/>
      <c r="G92" s="397" t="n"/>
      <c r="H92" s="397" t="n"/>
      <c r="I92" s="397" t="n"/>
      <c r="J92" s="397" t="n"/>
      <c r="K92" s="397" t="n"/>
      <c r="L92" s="397" t="n"/>
      <c r="M92" s="397" t="n"/>
      <c r="N92" s="397" t="n"/>
      <c r="O92" s="397" t="n"/>
      <c r="P92" s="397" t="n"/>
      <c r="Q92" s="397" t="n"/>
      <c r="R92" s="397" t="n"/>
      <c r="S92" s="397" t="n"/>
      <c r="T92" s="397" t="n"/>
      <c r="U92" s="397" t="n"/>
      <c r="V92" s="397" t="n"/>
      <c r="W92" s="397" t="n"/>
      <c r="X92" s="397" t="n"/>
      <c r="Y92" s="397" t="n"/>
      <c r="Z92" s="397" t="n"/>
      <c r="AA92" s="400" t="n"/>
      <c r="AB92" s="400" t="n"/>
      <c r="AC92" s="400" t="n"/>
    </row>
    <row r="93" ht="16.5" customHeight="1">
      <c r="A93" s="63" t="inlineStr">
        <is>
          <t>SU002367</t>
        </is>
      </c>
      <c r="B93" s="63" t="inlineStr">
        <is>
          <t>P002644</t>
        </is>
      </c>
      <c r="C93" s="36" t="n">
        <v>4301060317</v>
      </c>
      <c r="D93" s="401" t="n">
        <v>4680115880238</v>
      </c>
      <c r="E93" s="646" t="n"/>
      <c r="F93" s="685" t="n">
        <v>0.33</v>
      </c>
      <c r="G93" s="37" t="n">
        <v>6</v>
      </c>
      <c r="H93" s="685" t="n">
        <v>1.98</v>
      </c>
      <c r="I93" s="685" t="n">
        <v>2.238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40</v>
      </c>
      <c r="P93" s="727">
        <f>HYPERLINK("https://abi.ru/products/Охлажденные/Вязанка/Сливушка/Сардельки/P002644/","Сардельки «Сливушки» фикс.вес 0,33 п/а мгс ТМ «Вязанка»")</f>
        <v/>
      </c>
      <c r="Q93" s="687" t="n"/>
      <c r="R93" s="687" t="n"/>
      <c r="S93" s="687" t="n"/>
      <c r="T93" s="688" t="n"/>
      <c r="U93" s="39" t="inlineStr"/>
      <c r="V93" s="39" t="inlineStr"/>
      <c r="W93" s="40" t="inlineStr">
        <is>
          <t>кг</t>
        </is>
      </c>
      <c r="X93" s="689" t="n">
        <v>0</v>
      </c>
      <c r="Y93" s="690">
        <f>IFERROR(IF(X93="",0,CEILING((X93/$H93),1)*$H93),"")</f>
        <v/>
      </c>
      <c r="Z93" s="41">
        <f>IFERROR(IF(Y93=0,"",ROUNDUP(Y93/H93,0)*0.00651),"")</f>
        <v/>
      </c>
      <c r="AA93" s="68" t="inlineStr"/>
      <c r="AB93" s="69" t="inlineStr"/>
      <c r="AC93" s="152" t="inlineStr">
        <is>
          <t>ЕАЭС N RU Д-RU.РА01.В.81742/25</t>
        </is>
      </c>
      <c r="AG93" s="78" t="n"/>
      <c r="AJ93" s="84" t="inlineStr"/>
      <c r="AK93" s="84" t="n">
        <v>0</v>
      </c>
      <c r="BB93" s="153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>
      <c r="A94" s="410" t="n"/>
      <c r="B94" s="397" t="n"/>
      <c r="C94" s="397" t="n"/>
      <c r="D94" s="397" t="n"/>
      <c r="E94" s="397" t="n"/>
      <c r="F94" s="397" t="n"/>
      <c r="G94" s="397" t="n"/>
      <c r="H94" s="397" t="n"/>
      <c r="I94" s="397" t="n"/>
      <c r="J94" s="397" t="n"/>
      <c r="K94" s="397" t="n"/>
      <c r="L94" s="397" t="n"/>
      <c r="M94" s="397" t="n"/>
      <c r="N94" s="397" t="n"/>
      <c r="O94" s="692" t="n"/>
      <c r="P94" s="693" t="inlineStr">
        <is>
          <t>Итого</t>
        </is>
      </c>
      <c r="Q94" s="654" t="n"/>
      <c r="R94" s="654" t="n"/>
      <c r="S94" s="654" t="n"/>
      <c r="T94" s="654" t="n"/>
      <c r="U94" s="654" t="n"/>
      <c r="V94" s="655" t="n"/>
      <c r="W94" s="42" t="inlineStr">
        <is>
          <t>кор</t>
        </is>
      </c>
      <c r="X94" s="694">
        <f>IFERROR(X93/H93,"0")</f>
        <v/>
      </c>
      <c r="Y94" s="694">
        <f>IFERROR(Y93/H93,"0")</f>
        <v/>
      </c>
      <c r="Z94" s="694">
        <f>IFERROR(IF(Z93="",0,Z93),"0")</f>
        <v/>
      </c>
      <c r="AA94" s="695" t="n"/>
      <c r="AB94" s="695" t="n"/>
      <c r="AC94" s="695" t="n"/>
    </row>
    <row r="95">
      <c r="A95" s="397" t="n"/>
      <c r="B95" s="397" t="n"/>
      <c r="C95" s="397" t="n"/>
      <c r="D95" s="397" t="n"/>
      <c r="E95" s="397" t="n"/>
      <c r="F95" s="397" t="n"/>
      <c r="G95" s="397" t="n"/>
      <c r="H95" s="397" t="n"/>
      <c r="I95" s="397" t="n"/>
      <c r="J95" s="397" t="n"/>
      <c r="K95" s="397" t="n"/>
      <c r="L95" s="397" t="n"/>
      <c r="M95" s="397" t="n"/>
      <c r="N95" s="397" t="n"/>
      <c r="O95" s="692" t="n"/>
      <c r="P95" s="693" t="inlineStr">
        <is>
          <t>Итого</t>
        </is>
      </c>
      <c r="Q95" s="654" t="n"/>
      <c r="R95" s="654" t="n"/>
      <c r="S95" s="654" t="n"/>
      <c r="T95" s="654" t="n"/>
      <c r="U95" s="654" t="n"/>
      <c r="V95" s="655" t="n"/>
      <c r="W95" s="42" t="inlineStr">
        <is>
          <t>кг</t>
        </is>
      </c>
      <c r="X95" s="694">
        <f>IFERROR(SUM(X93:X93),"0")</f>
        <v/>
      </c>
      <c r="Y95" s="694">
        <f>IFERROR(SUM(Y93:Y93),"0")</f>
        <v/>
      </c>
      <c r="Z95" s="42" t="n"/>
      <c r="AA95" s="695" t="n"/>
      <c r="AB95" s="695" t="n"/>
      <c r="AC95" s="695" t="n"/>
    </row>
    <row r="96" ht="16.5" customHeight="1">
      <c r="A96" s="430" t="inlineStr">
        <is>
          <t>Вязанка</t>
        </is>
      </c>
      <c r="B96" s="397" t="n"/>
      <c r="C96" s="397" t="n"/>
      <c r="D96" s="397" t="n"/>
      <c r="E96" s="397" t="n"/>
      <c r="F96" s="397" t="n"/>
      <c r="G96" s="397" t="n"/>
      <c r="H96" s="397" t="n"/>
      <c r="I96" s="397" t="n"/>
      <c r="J96" s="397" t="n"/>
      <c r="K96" s="397" t="n"/>
      <c r="L96" s="397" t="n"/>
      <c r="M96" s="397" t="n"/>
      <c r="N96" s="397" t="n"/>
      <c r="O96" s="397" t="n"/>
      <c r="P96" s="397" t="n"/>
      <c r="Q96" s="397" t="n"/>
      <c r="R96" s="397" t="n"/>
      <c r="S96" s="397" t="n"/>
      <c r="T96" s="397" t="n"/>
      <c r="U96" s="397" t="n"/>
      <c r="V96" s="397" t="n"/>
      <c r="W96" s="397" t="n"/>
      <c r="X96" s="397" t="n"/>
      <c r="Y96" s="397" t="n"/>
      <c r="Z96" s="397" t="n"/>
      <c r="AA96" s="430" t="n"/>
      <c r="AB96" s="430" t="n"/>
      <c r="AC96" s="430" t="n"/>
    </row>
    <row r="97" ht="14.25" customHeight="1">
      <c r="A97" s="400" t="inlineStr">
        <is>
          <t>Вареные колбасы</t>
        </is>
      </c>
      <c r="B97" s="397" t="n"/>
      <c r="C97" s="397" t="n"/>
      <c r="D97" s="397" t="n"/>
      <c r="E97" s="397" t="n"/>
      <c r="F97" s="397" t="n"/>
      <c r="G97" s="397" t="n"/>
      <c r="H97" s="397" t="n"/>
      <c r="I97" s="397" t="n"/>
      <c r="J97" s="397" t="n"/>
      <c r="K97" s="397" t="n"/>
      <c r="L97" s="397" t="n"/>
      <c r="M97" s="397" t="n"/>
      <c r="N97" s="397" t="n"/>
      <c r="O97" s="397" t="n"/>
      <c r="P97" s="397" t="n"/>
      <c r="Q97" s="397" t="n"/>
      <c r="R97" s="397" t="n"/>
      <c r="S97" s="397" t="n"/>
      <c r="T97" s="397" t="n"/>
      <c r="U97" s="397" t="n"/>
      <c r="V97" s="397" t="n"/>
      <c r="W97" s="397" t="n"/>
      <c r="X97" s="397" t="n"/>
      <c r="Y97" s="397" t="n"/>
      <c r="Z97" s="397" t="n"/>
      <c r="AA97" s="400" t="n"/>
      <c r="AB97" s="400" t="n"/>
      <c r="AC97" s="400" t="n"/>
    </row>
    <row r="98" ht="27" customHeight="1">
      <c r="A98" s="63" t="inlineStr">
        <is>
          <t>SU002312</t>
        </is>
      </c>
      <c r="B98" s="63" t="inlineStr">
        <is>
          <t>P003913</t>
        </is>
      </c>
      <c r="C98" s="36" t="n">
        <v>4301011705</v>
      </c>
      <c r="D98" s="401" t="n">
        <v>4607091384604</v>
      </c>
      <c r="E98" s="646" t="n"/>
      <c r="F98" s="685" t="n">
        <v>0.4</v>
      </c>
      <c r="G98" s="37" t="n">
        <v>10</v>
      </c>
      <c r="H98" s="685" t="n">
        <v>4</v>
      </c>
      <c r="I98" s="685" t="n">
        <v>4.21</v>
      </c>
      <c r="J98" s="37" t="n">
        <v>132</v>
      </c>
      <c r="K98" s="37" t="inlineStr">
        <is>
          <t>12</t>
        </is>
      </c>
      <c r="L98" s="37" t="inlineStr"/>
      <c r="M98" s="38" t="inlineStr">
        <is>
          <t>СК1</t>
        </is>
      </c>
      <c r="N98" s="38" t="n"/>
      <c r="O98" s="37" t="n">
        <v>50</v>
      </c>
      <c r="P98" s="72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98" s="687" t="n"/>
      <c r="R98" s="687" t="n"/>
      <c r="S98" s="687" t="n"/>
      <c r="T98" s="688" t="n"/>
      <c r="U98" s="39" t="inlineStr"/>
      <c r="V98" s="39" t="inlineStr"/>
      <c r="W98" s="40" t="inlineStr">
        <is>
          <t>кг</t>
        </is>
      </c>
      <c r="X98" s="689" t="n">
        <v>0</v>
      </c>
      <c r="Y98" s="690">
        <f>IFERROR(IF(X98="",0,CEILING((X98/$H98),1)*$H98),"")</f>
        <v/>
      </c>
      <c r="Z98" s="41">
        <f>IFERROR(IF(Y98=0,"",ROUNDUP(Y98/H98,0)*0.00902),"")</f>
        <v/>
      </c>
      <c r="AA98" s="68" t="inlineStr"/>
      <c r="AB98" s="69" t="inlineStr"/>
      <c r="AC98" s="154" t="inlineStr">
        <is>
          <t>ЕАЭС N RU Д-RU.РА09.В.81376/23</t>
        </is>
      </c>
      <c r="AG98" s="78" t="n"/>
      <c r="AJ98" s="84" t="inlineStr"/>
      <c r="AK98" s="84" t="n">
        <v>0</v>
      </c>
      <c r="BB98" s="15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>
      <c r="A99" s="410" t="n"/>
      <c r="B99" s="397" t="n"/>
      <c r="C99" s="397" t="n"/>
      <c r="D99" s="397" t="n"/>
      <c r="E99" s="397" t="n"/>
      <c r="F99" s="397" t="n"/>
      <c r="G99" s="397" t="n"/>
      <c r="H99" s="397" t="n"/>
      <c r="I99" s="397" t="n"/>
      <c r="J99" s="397" t="n"/>
      <c r="K99" s="397" t="n"/>
      <c r="L99" s="397" t="n"/>
      <c r="M99" s="397" t="n"/>
      <c r="N99" s="397" t="n"/>
      <c r="O99" s="692" t="n"/>
      <c r="P99" s="693" t="inlineStr">
        <is>
          <t>Итого</t>
        </is>
      </c>
      <c r="Q99" s="654" t="n"/>
      <c r="R99" s="654" t="n"/>
      <c r="S99" s="654" t="n"/>
      <c r="T99" s="654" t="n"/>
      <c r="U99" s="654" t="n"/>
      <c r="V99" s="655" t="n"/>
      <c r="W99" s="42" t="inlineStr">
        <is>
          <t>кор</t>
        </is>
      </c>
      <c r="X99" s="694">
        <f>IFERROR(X98/H98,"0")</f>
        <v/>
      </c>
      <c r="Y99" s="694">
        <f>IFERROR(Y98/H98,"0")</f>
        <v/>
      </c>
      <c r="Z99" s="694">
        <f>IFERROR(IF(Z98="",0,Z98),"0")</f>
        <v/>
      </c>
      <c r="AA99" s="695" t="n"/>
      <c r="AB99" s="695" t="n"/>
      <c r="AC99" s="695" t="n"/>
    </row>
    <row r="100">
      <c r="A100" s="397" t="n"/>
      <c r="B100" s="397" t="n"/>
      <c r="C100" s="397" t="n"/>
      <c r="D100" s="397" t="n"/>
      <c r="E100" s="397" t="n"/>
      <c r="F100" s="397" t="n"/>
      <c r="G100" s="397" t="n"/>
      <c r="H100" s="397" t="n"/>
      <c r="I100" s="397" t="n"/>
      <c r="J100" s="397" t="n"/>
      <c r="K100" s="397" t="n"/>
      <c r="L100" s="397" t="n"/>
      <c r="M100" s="397" t="n"/>
      <c r="N100" s="397" t="n"/>
      <c r="O100" s="692" t="n"/>
      <c r="P100" s="693" t="inlineStr">
        <is>
          <t>Итого</t>
        </is>
      </c>
      <c r="Q100" s="654" t="n"/>
      <c r="R100" s="654" t="n"/>
      <c r="S100" s="654" t="n"/>
      <c r="T100" s="654" t="n"/>
      <c r="U100" s="654" t="n"/>
      <c r="V100" s="655" t="n"/>
      <c r="W100" s="42" t="inlineStr">
        <is>
          <t>кг</t>
        </is>
      </c>
      <c r="X100" s="694">
        <f>IFERROR(SUM(X98:X98),"0")</f>
        <v/>
      </c>
      <c r="Y100" s="694">
        <f>IFERROR(SUM(Y98:Y98),"0")</f>
        <v/>
      </c>
      <c r="Z100" s="42" t="n"/>
      <c r="AA100" s="695" t="n"/>
      <c r="AB100" s="695" t="n"/>
      <c r="AC100" s="695" t="n"/>
    </row>
    <row r="101" ht="14.25" customHeight="1">
      <c r="A101" s="400" t="inlineStr">
        <is>
          <t>Копченые колбасы</t>
        </is>
      </c>
      <c r="B101" s="397" t="n"/>
      <c r="C101" s="397" t="n"/>
      <c r="D101" s="397" t="n"/>
      <c r="E101" s="397" t="n"/>
      <c r="F101" s="397" t="n"/>
      <c r="G101" s="397" t="n"/>
      <c r="H101" s="397" t="n"/>
      <c r="I101" s="397" t="n"/>
      <c r="J101" s="397" t="n"/>
      <c r="K101" s="397" t="n"/>
      <c r="L101" s="397" t="n"/>
      <c r="M101" s="397" t="n"/>
      <c r="N101" s="397" t="n"/>
      <c r="O101" s="397" t="n"/>
      <c r="P101" s="397" t="n"/>
      <c r="Q101" s="397" t="n"/>
      <c r="R101" s="397" t="n"/>
      <c r="S101" s="397" t="n"/>
      <c r="T101" s="397" t="n"/>
      <c r="U101" s="397" t="n"/>
      <c r="V101" s="397" t="n"/>
      <c r="W101" s="397" t="n"/>
      <c r="X101" s="397" t="n"/>
      <c r="Y101" s="397" t="n"/>
      <c r="Z101" s="397" t="n"/>
      <c r="AA101" s="400" t="n"/>
      <c r="AB101" s="400" t="n"/>
      <c r="AC101" s="400" t="n"/>
    </row>
    <row r="102" ht="16.5" customHeight="1">
      <c r="A102" s="63" t="inlineStr">
        <is>
          <t>SU000064</t>
        </is>
      </c>
      <c r="B102" s="63" t="inlineStr">
        <is>
          <t>P001841</t>
        </is>
      </c>
      <c r="C102" s="36" t="n">
        <v>4301030895</v>
      </c>
      <c r="D102" s="401" t="n">
        <v>4607091387667</v>
      </c>
      <c r="E102" s="646" t="n"/>
      <c r="F102" s="685" t="n">
        <v>0.9</v>
      </c>
      <c r="G102" s="37" t="n">
        <v>10</v>
      </c>
      <c r="H102" s="685" t="n">
        <v>9</v>
      </c>
      <c r="I102" s="685" t="n">
        <v>9.585000000000001</v>
      </c>
      <c r="J102" s="37" t="n">
        <v>64</v>
      </c>
      <c r="K102" s="37" t="inlineStr">
        <is>
          <t>8</t>
        </is>
      </c>
      <c r="L102" s="37" t="inlineStr"/>
      <c r="M102" s="38" t="inlineStr">
        <is>
          <t>СК1</t>
        </is>
      </c>
      <c r="N102" s="38" t="n"/>
      <c r="O102" s="37" t="n">
        <v>40</v>
      </c>
      <c r="P102" s="72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02" s="687" t="n"/>
      <c r="R102" s="687" t="n"/>
      <c r="S102" s="687" t="n"/>
      <c r="T102" s="688" t="n"/>
      <c r="U102" s="39" t="inlineStr"/>
      <c r="V102" s="39" t="inlineStr"/>
      <c r="W102" s="40" t="inlineStr">
        <is>
          <t>кг</t>
        </is>
      </c>
      <c r="X102" s="689" t="n">
        <v>0</v>
      </c>
      <c r="Y102" s="690">
        <f>IFERROR(IF(X102="",0,CEILING((X102/$H102),1)*$H102),"")</f>
        <v/>
      </c>
      <c r="Z102" s="41">
        <f>IFERROR(IF(Y102=0,"",ROUNDUP(Y102/H102,0)*0.01898),"")</f>
        <v/>
      </c>
      <c r="AA102" s="68" t="inlineStr"/>
      <c r="AB102" s="69" t="inlineStr"/>
      <c r="AC102" s="156" t="inlineStr">
        <is>
          <t>ЕАЭС N RU Д-RU.АБ75.В.01119</t>
        </is>
      </c>
      <c r="AG102" s="78" t="n"/>
      <c r="AJ102" s="84" t="inlineStr"/>
      <c r="AK102" s="84" t="n">
        <v>0</v>
      </c>
      <c r="BB102" s="157" t="inlineStr">
        <is>
          <t>КИ</t>
        </is>
      </c>
      <c r="BM102" s="78">
        <f>IFERROR(X102*I102/H102,"0")</f>
        <v/>
      </c>
      <c r="BN102" s="78">
        <f>IFERROR(Y102*I102/H102,"0")</f>
        <v/>
      </c>
      <c r="BO102" s="78">
        <f>IFERROR(1/J102*(X102/H102),"0")</f>
        <v/>
      </c>
      <c r="BP102" s="78">
        <f>IFERROR(1/J102*(Y102/H102),"0")</f>
        <v/>
      </c>
    </row>
    <row r="103" ht="16.5" customHeight="1">
      <c r="A103" s="63" t="inlineStr">
        <is>
          <t>SU000664</t>
        </is>
      </c>
      <c r="B103" s="63" t="inlineStr">
        <is>
          <t>P002177</t>
        </is>
      </c>
      <c r="C103" s="36" t="n">
        <v>4301030961</v>
      </c>
      <c r="D103" s="401" t="n">
        <v>4607091387636</v>
      </c>
      <c r="E103" s="646" t="n"/>
      <c r="F103" s="685" t="n">
        <v>0.7</v>
      </c>
      <c r="G103" s="37" t="n">
        <v>6</v>
      </c>
      <c r="H103" s="685" t="n">
        <v>4.2</v>
      </c>
      <c r="I103" s="685" t="n">
        <v>4.47</v>
      </c>
      <c r="J103" s="37" t="n">
        <v>182</v>
      </c>
      <c r="K103" s="37" t="inlineStr">
        <is>
          <t>14</t>
        </is>
      </c>
      <c r="L103" s="37" t="inlineStr"/>
      <c r="M103" s="38" t="inlineStr">
        <is>
          <t>СК2</t>
        </is>
      </c>
      <c r="N103" s="38" t="n"/>
      <c r="O103" s="37" t="n">
        <v>40</v>
      </c>
      <c r="P103" s="73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03" s="687" t="n"/>
      <c r="R103" s="687" t="n"/>
      <c r="S103" s="687" t="n"/>
      <c r="T103" s="688" t="n"/>
      <c r="U103" s="39" t="inlineStr"/>
      <c r="V103" s="39" t="inlineStr"/>
      <c r="W103" s="40" t="inlineStr">
        <is>
          <t>кг</t>
        </is>
      </c>
      <c r="X103" s="689" t="n">
        <v>0</v>
      </c>
      <c r="Y103" s="690">
        <f>IFERROR(IF(X103="",0,CEILING((X103/$H103),1)*$H103),"")</f>
        <v/>
      </c>
      <c r="Z103" s="41">
        <f>IFERROR(IF(Y103=0,"",ROUNDUP(Y103/H103,0)*0.00651),"")</f>
        <v/>
      </c>
      <c r="AA103" s="68" t="inlineStr"/>
      <c r="AB103" s="69" t="inlineStr"/>
      <c r="AC103" s="158" t="inlineStr">
        <is>
          <t>ЕАЭС N RU Д-RU.РА02.В.95533/25</t>
        </is>
      </c>
      <c r="AG103" s="78" t="n"/>
      <c r="AJ103" s="84" t="inlineStr"/>
      <c r="AK103" s="84" t="n">
        <v>0</v>
      </c>
      <c r="BB103" s="159" t="inlineStr">
        <is>
          <t>КИ</t>
        </is>
      </c>
      <c r="BM103" s="78">
        <f>IFERROR(X103*I103/H103,"0")</f>
        <v/>
      </c>
      <c r="BN103" s="78">
        <f>IFERROR(Y103*I103/H103,"0")</f>
        <v/>
      </c>
      <c r="BO103" s="78">
        <f>IFERROR(1/J103*(X103/H103),"0")</f>
        <v/>
      </c>
      <c r="BP103" s="78">
        <f>IFERROR(1/J103*(Y103/H103),"0")</f>
        <v/>
      </c>
    </row>
    <row r="104" ht="27" customHeight="1">
      <c r="A104" s="63" t="inlineStr">
        <is>
          <t>SU000097</t>
        </is>
      </c>
      <c r="B104" s="63" t="inlineStr">
        <is>
          <t>P002179</t>
        </is>
      </c>
      <c r="C104" s="36" t="n">
        <v>4301030963</v>
      </c>
      <c r="D104" s="401" t="n">
        <v>4607091382426</v>
      </c>
      <c r="E104" s="646" t="n"/>
      <c r="F104" s="685" t="n">
        <v>0.9</v>
      </c>
      <c r="G104" s="37" t="n">
        <v>10</v>
      </c>
      <c r="H104" s="685" t="n">
        <v>9</v>
      </c>
      <c r="I104" s="685" t="n">
        <v>9.585000000000001</v>
      </c>
      <c r="J104" s="37" t="n">
        <v>64</v>
      </c>
      <c r="K104" s="37" t="inlineStr">
        <is>
          <t>8</t>
        </is>
      </c>
      <c r="L104" s="37" t="inlineStr"/>
      <c r="M104" s="38" t="inlineStr">
        <is>
          <t>СК2</t>
        </is>
      </c>
      <c r="N104" s="38" t="n"/>
      <c r="O104" s="37" t="n">
        <v>40</v>
      </c>
      <c r="P104" s="73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04" s="687" t="n"/>
      <c r="R104" s="687" t="n"/>
      <c r="S104" s="687" t="n"/>
      <c r="T104" s="688" t="n"/>
      <c r="U104" s="39" t="inlineStr"/>
      <c r="V104" s="39" t="inlineStr"/>
      <c r="W104" s="40" t="inlineStr">
        <is>
          <t>кг</t>
        </is>
      </c>
      <c r="X104" s="689" t="n">
        <v>0</v>
      </c>
      <c r="Y104" s="690">
        <f>IFERROR(IF(X104="",0,CEILING((X104/$H104),1)*$H104),"")</f>
        <v/>
      </c>
      <c r="Z104" s="41">
        <f>IFERROR(IF(Y104=0,"",ROUNDUP(Y104/H104,0)*0.01898),"")</f>
        <v/>
      </c>
      <c r="AA104" s="68" t="inlineStr"/>
      <c r="AB104" s="69" t="inlineStr"/>
      <c r="AC104" s="160" t="inlineStr">
        <is>
          <t>ЕАЭС N RU Д-RU.РА01.В.20824/25</t>
        </is>
      </c>
      <c r="AG104" s="78" t="n"/>
      <c r="AJ104" s="84" t="inlineStr"/>
      <c r="AK104" s="84" t="n">
        <v>0</v>
      </c>
      <c r="BB104" s="161" t="inlineStr">
        <is>
          <t>КИ</t>
        </is>
      </c>
      <c r="BM104" s="78">
        <f>IFERROR(X104*I104/H104,"0")</f>
        <v/>
      </c>
      <c r="BN104" s="78">
        <f>IFERROR(Y104*I104/H104,"0")</f>
        <v/>
      </c>
      <c r="BO104" s="78">
        <f>IFERROR(1/J104*(X104/H104),"0")</f>
        <v/>
      </c>
      <c r="BP104" s="78">
        <f>IFERROR(1/J104*(Y104/H104),"0")</f>
        <v/>
      </c>
    </row>
    <row r="105">
      <c r="A105" s="410" t="n"/>
      <c r="B105" s="397" t="n"/>
      <c r="C105" s="397" t="n"/>
      <c r="D105" s="397" t="n"/>
      <c r="E105" s="397" t="n"/>
      <c r="F105" s="397" t="n"/>
      <c r="G105" s="397" t="n"/>
      <c r="H105" s="397" t="n"/>
      <c r="I105" s="397" t="n"/>
      <c r="J105" s="397" t="n"/>
      <c r="K105" s="397" t="n"/>
      <c r="L105" s="397" t="n"/>
      <c r="M105" s="397" t="n"/>
      <c r="N105" s="397" t="n"/>
      <c r="O105" s="692" t="n"/>
      <c r="P105" s="693" t="inlineStr">
        <is>
          <t>Итого</t>
        </is>
      </c>
      <c r="Q105" s="654" t="n"/>
      <c r="R105" s="654" t="n"/>
      <c r="S105" s="654" t="n"/>
      <c r="T105" s="654" t="n"/>
      <c r="U105" s="654" t="n"/>
      <c r="V105" s="655" t="n"/>
      <c r="W105" s="42" t="inlineStr">
        <is>
          <t>кор</t>
        </is>
      </c>
      <c r="X105" s="694">
        <f>IFERROR(X102/H102,"0")+IFERROR(X103/H103,"0")+IFERROR(X104/H104,"0")</f>
        <v/>
      </c>
      <c r="Y105" s="694">
        <f>IFERROR(Y102/H102,"0")+IFERROR(Y103/H103,"0")+IFERROR(Y104/H104,"0")</f>
        <v/>
      </c>
      <c r="Z105" s="694">
        <f>IFERROR(IF(Z102="",0,Z102),"0")+IFERROR(IF(Z103="",0,Z103),"0")+IFERROR(IF(Z104="",0,Z104),"0")</f>
        <v/>
      </c>
      <c r="AA105" s="695" t="n"/>
      <c r="AB105" s="695" t="n"/>
      <c r="AC105" s="695" t="n"/>
    </row>
    <row r="106">
      <c r="A106" s="397" t="n"/>
      <c r="B106" s="397" t="n"/>
      <c r="C106" s="397" t="n"/>
      <c r="D106" s="397" t="n"/>
      <c r="E106" s="397" t="n"/>
      <c r="F106" s="397" t="n"/>
      <c r="G106" s="397" t="n"/>
      <c r="H106" s="397" t="n"/>
      <c r="I106" s="397" t="n"/>
      <c r="J106" s="397" t="n"/>
      <c r="K106" s="397" t="n"/>
      <c r="L106" s="397" t="n"/>
      <c r="M106" s="397" t="n"/>
      <c r="N106" s="397" t="n"/>
      <c r="O106" s="692" t="n"/>
      <c r="P106" s="693" t="inlineStr">
        <is>
          <t>Итого</t>
        </is>
      </c>
      <c r="Q106" s="654" t="n"/>
      <c r="R106" s="654" t="n"/>
      <c r="S106" s="654" t="n"/>
      <c r="T106" s="654" t="n"/>
      <c r="U106" s="654" t="n"/>
      <c r="V106" s="655" t="n"/>
      <c r="W106" s="42" t="inlineStr">
        <is>
          <t>кг</t>
        </is>
      </c>
      <c r="X106" s="694">
        <f>IFERROR(SUM(X102:X104),"0")</f>
        <v/>
      </c>
      <c r="Y106" s="694">
        <f>IFERROR(SUM(Y102:Y104),"0")</f>
        <v/>
      </c>
      <c r="Z106" s="42" t="n"/>
      <c r="AA106" s="695" t="n"/>
      <c r="AB106" s="695" t="n"/>
      <c r="AC106" s="695" t="n"/>
    </row>
    <row r="107" ht="27.75" customHeight="1">
      <c r="A107" s="429" t="inlineStr">
        <is>
          <t>Стародворье</t>
        </is>
      </c>
      <c r="B107" s="684" t="n"/>
      <c r="C107" s="684" t="n"/>
      <c r="D107" s="684" t="n"/>
      <c r="E107" s="684" t="n"/>
      <c r="F107" s="684" t="n"/>
      <c r="G107" s="684" t="n"/>
      <c r="H107" s="684" t="n"/>
      <c r="I107" s="684" t="n"/>
      <c r="J107" s="684" t="n"/>
      <c r="K107" s="684" t="n"/>
      <c r="L107" s="684" t="n"/>
      <c r="M107" s="684" t="n"/>
      <c r="N107" s="684" t="n"/>
      <c r="O107" s="684" t="n"/>
      <c r="P107" s="684" t="n"/>
      <c r="Q107" s="684" t="n"/>
      <c r="R107" s="684" t="n"/>
      <c r="S107" s="684" t="n"/>
      <c r="T107" s="684" t="n"/>
      <c r="U107" s="684" t="n"/>
      <c r="V107" s="684" t="n"/>
      <c r="W107" s="684" t="n"/>
      <c r="X107" s="684" t="n"/>
      <c r="Y107" s="684" t="n"/>
      <c r="Z107" s="684" t="n"/>
      <c r="AA107" s="54" t="n"/>
      <c r="AB107" s="54" t="n"/>
      <c r="AC107" s="54" t="n"/>
    </row>
    <row r="108" ht="16.5" customHeight="1">
      <c r="A108" s="430" t="inlineStr">
        <is>
          <t>Мясорубская</t>
        </is>
      </c>
      <c r="B108" s="397" t="n"/>
      <c r="C108" s="397" t="n"/>
      <c r="D108" s="397" t="n"/>
      <c r="E108" s="397" t="n"/>
      <c r="F108" s="397" t="n"/>
      <c r="G108" s="397" t="n"/>
      <c r="H108" s="397" t="n"/>
      <c r="I108" s="397" t="n"/>
      <c r="J108" s="397" t="n"/>
      <c r="K108" s="397" t="n"/>
      <c r="L108" s="397" t="n"/>
      <c r="M108" s="397" t="n"/>
      <c r="N108" s="397" t="n"/>
      <c r="O108" s="397" t="n"/>
      <c r="P108" s="397" t="n"/>
      <c r="Q108" s="397" t="n"/>
      <c r="R108" s="397" t="n"/>
      <c r="S108" s="397" t="n"/>
      <c r="T108" s="397" t="n"/>
      <c r="U108" s="397" t="n"/>
      <c r="V108" s="397" t="n"/>
      <c r="W108" s="397" t="n"/>
      <c r="X108" s="397" t="n"/>
      <c r="Y108" s="397" t="n"/>
      <c r="Z108" s="397" t="n"/>
      <c r="AA108" s="430" t="n"/>
      <c r="AB108" s="430" t="n"/>
      <c r="AC108" s="430" t="n"/>
    </row>
    <row r="109" ht="14.25" customHeight="1">
      <c r="A109" s="400" t="inlineStr">
        <is>
          <t>Копченые колбасы</t>
        </is>
      </c>
      <c r="B109" s="397" t="n"/>
      <c r="C109" s="397" t="n"/>
      <c r="D109" s="397" t="n"/>
      <c r="E109" s="397" t="n"/>
      <c r="F109" s="397" t="n"/>
      <c r="G109" s="397" t="n"/>
      <c r="H109" s="397" t="n"/>
      <c r="I109" s="397" t="n"/>
      <c r="J109" s="397" t="n"/>
      <c r="K109" s="397" t="n"/>
      <c r="L109" s="397" t="n"/>
      <c r="M109" s="397" t="n"/>
      <c r="N109" s="397" t="n"/>
      <c r="O109" s="397" t="n"/>
      <c r="P109" s="397" t="n"/>
      <c r="Q109" s="397" t="n"/>
      <c r="R109" s="397" t="n"/>
      <c r="S109" s="397" t="n"/>
      <c r="T109" s="397" t="n"/>
      <c r="U109" s="397" t="n"/>
      <c r="V109" s="397" t="n"/>
      <c r="W109" s="397" t="n"/>
      <c r="X109" s="397" t="n"/>
      <c r="Y109" s="397" t="n"/>
      <c r="Z109" s="397" t="n"/>
      <c r="AA109" s="400" t="n"/>
      <c r="AB109" s="400" t="n"/>
      <c r="AC109" s="400" t="n"/>
    </row>
    <row r="110" ht="27" customHeight="1">
      <c r="A110" s="63" t="inlineStr">
        <is>
          <t>SU002756</t>
        </is>
      </c>
      <c r="B110" s="63" t="inlineStr">
        <is>
          <t>P003179</t>
        </is>
      </c>
      <c r="C110" s="36" t="n">
        <v>4301031191</v>
      </c>
      <c r="D110" s="401" t="n">
        <v>4680115880993</v>
      </c>
      <c r="E110" s="646" t="n"/>
      <c r="F110" s="685" t="n">
        <v>0.7</v>
      </c>
      <c r="G110" s="37" t="n">
        <v>6</v>
      </c>
      <c r="H110" s="685" t="n">
        <v>4.2</v>
      </c>
      <c r="I110" s="685" t="n">
        <v>4.47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СК2</t>
        </is>
      </c>
      <c r="N110" s="38" t="n"/>
      <c r="O110" s="37" t="n">
        <v>40</v>
      </c>
      <c r="P110" s="73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10" s="687" t="n"/>
      <c r="R110" s="687" t="n"/>
      <c r="S110" s="687" t="n"/>
      <c r="T110" s="688" t="n"/>
      <c r="U110" s="39" t="inlineStr"/>
      <c r="V110" s="39" t="inlineStr"/>
      <c r="W110" s="40" t="inlineStr">
        <is>
          <t>кг</t>
        </is>
      </c>
      <c r="X110" s="689" t="n">
        <v>0</v>
      </c>
      <c r="Y110" s="690">
        <f>IFERROR(IF(X110="",0,CEILING((X110/$H110),1)*$H110),"")</f>
        <v/>
      </c>
      <c r="Z110" s="41">
        <f>IFERROR(IF(Y110=0,"",ROUNDUP(Y110/H110,0)*0.00902),"")</f>
        <v/>
      </c>
      <c r="AA110" s="68" t="inlineStr"/>
      <c r="AB110" s="69" t="inlineStr"/>
      <c r="AC110" s="162" t="inlineStr">
        <is>
          <t>ЕАЭС N RU Д-RU.РА03.В.04933/25</t>
        </is>
      </c>
      <c r="AG110" s="78" t="n"/>
      <c r="AJ110" s="84" t="inlineStr"/>
      <c r="AK110" s="84" t="n">
        <v>0</v>
      </c>
      <c r="BB110" s="163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 ht="27" customHeight="1">
      <c r="A111" s="63" t="inlineStr">
        <is>
          <t>SU002876</t>
        </is>
      </c>
      <c r="B111" s="63" t="inlineStr">
        <is>
          <t>P003276</t>
        </is>
      </c>
      <c r="C111" s="36" t="n">
        <v>4301031204</v>
      </c>
      <c r="D111" s="401" t="n">
        <v>4680115881761</v>
      </c>
      <c r="E111" s="646" t="n"/>
      <c r="F111" s="685" t="n">
        <v>0.7</v>
      </c>
      <c r="G111" s="37" t="n">
        <v>6</v>
      </c>
      <c r="H111" s="685" t="n">
        <v>4.2</v>
      </c>
      <c r="I111" s="685" t="n">
        <v>4.47</v>
      </c>
      <c r="J111" s="37" t="n">
        <v>132</v>
      </c>
      <c r="K111" s="37" t="inlineStr">
        <is>
          <t>12</t>
        </is>
      </c>
      <c r="L111" s="37" t="inlineStr"/>
      <c r="M111" s="38" t="inlineStr">
        <is>
          <t>СК2</t>
        </is>
      </c>
      <c r="N111" s="38" t="n"/>
      <c r="O111" s="37" t="n">
        <v>40</v>
      </c>
      <c r="P111" s="73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11" s="687" t="n"/>
      <c r="R111" s="687" t="n"/>
      <c r="S111" s="687" t="n"/>
      <c r="T111" s="688" t="n"/>
      <c r="U111" s="39" t="inlineStr"/>
      <c r="V111" s="39" t="inlineStr"/>
      <c r="W111" s="40" t="inlineStr">
        <is>
          <t>кг</t>
        </is>
      </c>
      <c r="X111" s="689" t="n">
        <v>100</v>
      </c>
      <c r="Y111" s="690">
        <f>IFERROR(IF(X111="",0,CEILING((X111/$H111),1)*$H111),"")</f>
        <v/>
      </c>
      <c r="Z111" s="41">
        <f>IFERROR(IF(Y111=0,"",ROUNDUP(Y111/H111,0)*0.00902),"")</f>
        <v/>
      </c>
      <c r="AA111" s="68" t="inlineStr"/>
      <c r="AB111" s="69" t="inlineStr"/>
      <c r="AC111" s="164" t="inlineStr">
        <is>
          <t>ЕАЭС N RU Д-RU.РА01.В.98713/23</t>
        </is>
      </c>
      <c r="AG111" s="78" t="n"/>
      <c r="AJ111" s="84" t="inlineStr"/>
      <c r="AK111" s="84" t="n">
        <v>0</v>
      </c>
      <c r="BB111" s="165" t="inlineStr">
        <is>
          <t>КИ</t>
        </is>
      </c>
      <c r="BM111" s="78">
        <f>IFERROR(X111*I111/H111,"0")</f>
        <v/>
      </c>
      <c r="BN111" s="78">
        <f>IFERROR(Y111*I111/H111,"0")</f>
        <v/>
      </c>
      <c r="BO111" s="78">
        <f>IFERROR(1/J111*(X111/H111),"0")</f>
        <v/>
      </c>
      <c r="BP111" s="78">
        <f>IFERROR(1/J111*(Y111/H111),"0")</f>
        <v/>
      </c>
    </row>
    <row r="112" ht="27" customHeight="1">
      <c r="A112" s="63" t="inlineStr">
        <is>
          <t>SU002847</t>
        </is>
      </c>
      <c r="B112" s="63" t="inlineStr">
        <is>
          <t>P003259</t>
        </is>
      </c>
      <c r="C112" s="36" t="n">
        <v>4301031201</v>
      </c>
      <c r="D112" s="401" t="n">
        <v>4680115881563</v>
      </c>
      <c r="E112" s="646" t="n"/>
      <c r="F112" s="685" t="n">
        <v>0.7</v>
      </c>
      <c r="G112" s="37" t="n">
        <v>6</v>
      </c>
      <c r="H112" s="685" t="n">
        <v>4.2</v>
      </c>
      <c r="I112" s="685" t="n">
        <v>4.41</v>
      </c>
      <c r="J112" s="37" t="n">
        <v>132</v>
      </c>
      <c r="K112" s="37" t="inlineStr">
        <is>
          <t>12</t>
        </is>
      </c>
      <c r="L112" s="37" t="inlineStr"/>
      <c r="M112" s="38" t="inlineStr">
        <is>
          <t>СК2</t>
        </is>
      </c>
      <c r="N112" s="38" t="n"/>
      <c r="O112" s="37" t="n">
        <v>40</v>
      </c>
      <c r="P112" s="73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12" s="687" t="n"/>
      <c r="R112" s="687" t="n"/>
      <c r="S112" s="687" t="n"/>
      <c r="T112" s="688" t="n"/>
      <c r="U112" s="39" t="inlineStr"/>
      <c r="V112" s="39" t="inlineStr"/>
      <c r="W112" s="40" t="inlineStr">
        <is>
          <t>кг</t>
        </is>
      </c>
      <c r="X112" s="689" t="n">
        <v>100</v>
      </c>
      <c r="Y112" s="690">
        <f>IFERROR(IF(X112="",0,CEILING((X112/$H112),1)*$H112),"")</f>
        <v/>
      </c>
      <c r="Z112" s="41">
        <f>IFERROR(IF(Y112=0,"",ROUNDUP(Y112/H112,0)*0.00902),"")</f>
        <v/>
      </c>
      <c r="AA112" s="68" t="inlineStr"/>
      <c r="AB112" s="69" t="inlineStr"/>
      <c r="AC112" s="166" t="inlineStr">
        <is>
          <t>ЕАЭС N RU Д-RU.РА09.В.37545/22</t>
        </is>
      </c>
      <c r="AG112" s="78" t="n"/>
      <c r="AJ112" s="84" t="inlineStr"/>
      <c r="AK112" s="84" t="n">
        <v>0</v>
      </c>
      <c r="BB112" s="167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27" customHeight="1">
      <c r="A113" s="63" t="inlineStr">
        <is>
          <t>SU002660</t>
        </is>
      </c>
      <c r="B113" s="63" t="inlineStr">
        <is>
          <t>P003256</t>
        </is>
      </c>
      <c r="C113" s="36" t="n">
        <v>4301031199</v>
      </c>
      <c r="D113" s="401" t="n">
        <v>4680115880986</v>
      </c>
      <c r="E113" s="646" t="n"/>
      <c r="F113" s="685" t="n">
        <v>0.35</v>
      </c>
      <c r="G113" s="37" t="n">
        <v>6</v>
      </c>
      <c r="H113" s="685" t="n">
        <v>2.1</v>
      </c>
      <c r="I113" s="685" t="n">
        <v>2.23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СК2</t>
        </is>
      </c>
      <c r="N113" s="38" t="n"/>
      <c r="O113" s="37" t="n">
        <v>40</v>
      </c>
      <c r="P113" s="73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13" s="687" t="n"/>
      <c r="R113" s="687" t="n"/>
      <c r="S113" s="687" t="n"/>
      <c r="T113" s="688" t="n"/>
      <c r="U113" s="39" t="inlineStr"/>
      <c r="V113" s="39" t="inlineStr"/>
      <c r="W113" s="40" t="inlineStr">
        <is>
          <t>кг</t>
        </is>
      </c>
      <c r="X113" s="689" t="n">
        <v>0</v>
      </c>
      <c r="Y113" s="690">
        <f>IFERROR(IF(X113="",0,CEILING((X113/$H113),1)*$H113),"")</f>
        <v/>
      </c>
      <c r="Z113" s="41">
        <f>IFERROR(IF(Y113=0,"",ROUNDUP(Y113/H113,0)*0.00502),"")</f>
        <v/>
      </c>
      <c r="AA113" s="68" t="inlineStr"/>
      <c r="AB113" s="69" t="inlineStr"/>
      <c r="AC113" s="168" t="inlineStr">
        <is>
          <t>ЕАЭС N RU Д-RU.РА03.В.04933/25</t>
        </is>
      </c>
      <c r="AG113" s="78" t="n"/>
      <c r="AJ113" s="84" t="inlineStr"/>
      <c r="AK113" s="84" t="n">
        <v>0</v>
      </c>
      <c r="BB113" s="169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27" customHeight="1">
      <c r="A114" s="63" t="inlineStr">
        <is>
          <t>SU002877</t>
        </is>
      </c>
      <c r="B114" s="63" t="inlineStr">
        <is>
          <t>P003277</t>
        </is>
      </c>
      <c r="C114" s="36" t="n">
        <v>4301031205</v>
      </c>
      <c r="D114" s="401" t="n">
        <v>4680115881785</v>
      </c>
      <c r="E114" s="646" t="n"/>
      <c r="F114" s="685" t="n">
        <v>0.35</v>
      </c>
      <c r="G114" s="37" t="n">
        <v>6</v>
      </c>
      <c r="H114" s="685" t="n">
        <v>2.1</v>
      </c>
      <c r="I114" s="685" t="n">
        <v>2.23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СК2</t>
        </is>
      </c>
      <c r="N114" s="38" t="n"/>
      <c r="O114" s="37" t="n">
        <v>40</v>
      </c>
      <c r="P114" s="73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14" s="687" t="n"/>
      <c r="R114" s="687" t="n"/>
      <c r="S114" s="687" t="n"/>
      <c r="T114" s="688" t="n"/>
      <c r="U114" s="39" t="inlineStr"/>
      <c r="V114" s="39" t="inlineStr"/>
      <c r="W114" s="40" t="inlineStr">
        <is>
          <t>кг</t>
        </is>
      </c>
      <c r="X114" s="689" t="n">
        <v>100</v>
      </c>
      <c r="Y114" s="690">
        <f>IFERROR(IF(X114="",0,CEILING((X114/$H114),1)*$H114),"")</f>
        <v/>
      </c>
      <c r="Z114" s="41">
        <f>IFERROR(IF(Y114=0,"",ROUNDUP(Y114/H114,0)*0.00502),"")</f>
        <v/>
      </c>
      <c r="AA114" s="68" t="inlineStr"/>
      <c r="AB114" s="69" t="inlineStr"/>
      <c r="AC114" s="170" t="inlineStr">
        <is>
          <t>ЕАЭС N RU Д-RU.РА01.В.98713/23</t>
        </is>
      </c>
      <c r="AG114" s="78" t="n"/>
      <c r="AJ114" s="84" t="inlineStr"/>
      <c r="AK114" s="84" t="n">
        <v>0</v>
      </c>
      <c r="BB114" s="17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37.5" customHeight="1">
      <c r="A115" s="63" t="inlineStr">
        <is>
          <t>SU002848</t>
        </is>
      </c>
      <c r="B115" s="63" t="inlineStr">
        <is>
          <t>P003260</t>
        </is>
      </c>
      <c r="C115" s="36" t="n">
        <v>4301031202</v>
      </c>
      <c r="D115" s="401" t="n">
        <v>4680115881679</v>
      </c>
      <c r="E115" s="646" t="n"/>
      <c r="F115" s="685" t="n">
        <v>0.35</v>
      </c>
      <c r="G115" s="37" t="n">
        <v>6</v>
      </c>
      <c r="H115" s="685" t="n">
        <v>2.1</v>
      </c>
      <c r="I115" s="685" t="n">
        <v>2.2</v>
      </c>
      <c r="J115" s="37" t="n">
        <v>234</v>
      </c>
      <c r="K115" s="37" t="inlineStr">
        <is>
          <t>18</t>
        </is>
      </c>
      <c r="L115" s="37" t="inlineStr"/>
      <c r="M115" s="38" t="inlineStr">
        <is>
          <t>СК2</t>
        </is>
      </c>
      <c r="N115" s="38" t="n"/>
      <c r="O115" s="37" t="n">
        <v>40</v>
      </c>
      <c r="P115" s="73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15" s="687" t="n"/>
      <c r="R115" s="687" t="n"/>
      <c r="S115" s="687" t="n"/>
      <c r="T115" s="688" t="n"/>
      <c r="U115" s="39" t="inlineStr"/>
      <c r="V115" s="39" t="inlineStr"/>
      <c r="W115" s="40" t="inlineStr">
        <is>
          <t>кг</t>
        </is>
      </c>
      <c r="X115" s="689" t="n">
        <v>100</v>
      </c>
      <c r="Y115" s="690">
        <f>IFERROR(IF(X115="",0,CEILING((X115/$H115),1)*$H115),"")</f>
        <v/>
      </c>
      <c r="Z115" s="41">
        <f>IFERROR(IF(Y115=0,"",ROUNDUP(Y115/H115,0)*0.00502),"")</f>
        <v/>
      </c>
      <c r="AA115" s="68" t="inlineStr"/>
      <c r="AB115" s="69" t="inlineStr"/>
      <c r="AC115" s="172" t="inlineStr">
        <is>
          <t>ЕАЭС N RU Д-RU.РА09.В.37545/22</t>
        </is>
      </c>
      <c r="AG115" s="78" t="n"/>
      <c r="AJ115" s="84" t="inlineStr"/>
      <c r="AK115" s="84" t="n">
        <v>0</v>
      </c>
      <c r="BB115" s="17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27" customHeight="1">
      <c r="A116" s="63" t="inlineStr">
        <is>
          <t>SU002659</t>
        </is>
      </c>
      <c r="B116" s="63" t="inlineStr">
        <is>
          <t>P003034</t>
        </is>
      </c>
      <c r="C116" s="36" t="n">
        <v>4301031158</v>
      </c>
      <c r="D116" s="401" t="n">
        <v>4680115880191</v>
      </c>
      <c r="E116" s="646" t="n"/>
      <c r="F116" s="685" t="n">
        <v>0.4</v>
      </c>
      <c r="G116" s="37" t="n">
        <v>6</v>
      </c>
      <c r="H116" s="685" t="n">
        <v>2.4</v>
      </c>
      <c r="I116" s="685" t="n">
        <v>2.58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СК2</t>
        </is>
      </c>
      <c r="N116" s="38" t="n"/>
      <c r="O116" s="37" t="n">
        <v>40</v>
      </c>
      <c r="P116" s="73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16" s="687" t="n"/>
      <c r="R116" s="687" t="n"/>
      <c r="S116" s="687" t="n"/>
      <c r="T116" s="688" t="n"/>
      <c r="U116" s="39" t="inlineStr"/>
      <c r="V116" s="39" t="inlineStr"/>
      <c r="W116" s="40" t="inlineStr">
        <is>
          <t>кг</t>
        </is>
      </c>
      <c r="X116" s="689" t="n">
        <v>0</v>
      </c>
      <c r="Y116" s="690">
        <f>IFERROR(IF(X116="",0,CEILING((X116/$H116),1)*$H116),"")</f>
        <v/>
      </c>
      <c r="Z116" s="41">
        <f>IFERROR(IF(Y116=0,"",ROUNDUP(Y116/H116,0)*0.00651),"")</f>
        <v/>
      </c>
      <c r="AA116" s="68" t="inlineStr"/>
      <c r="AB116" s="69" t="inlineStr"/>
      <c r="AC116" s="174" t="inlineStr">
        <is>
          <t>ЕАЭС N RU Д-RU.РА09.В.37545/22</t>
        </is>
      </c>
      <c r="AG116" s="78" t="n"/>
      <c r="AJ116" s="84" t="inlineStr"/>
      <c r="AK116" s="84" t="n">
        <v>0</v>
      </c>
      <c r="BB116" s="17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SU003046</t>
        </is>
      </c>
      <c r="B117" s="63" t="inlineStr">
        <is>
          <t>P003598</t>
        </is>
      </c>
      <c r="C117" s="36" t="n">
        <v>4301031245</v>
      </c>
      <c r="D117" s="401" t="n">
        <v>4680115883963</v>
      </c>
      <c r="E117" s="646" t="n"/>
      <c r="F117" s="685" t="n">
        <v>0.28</v>
      </c>
      <c r="G117" s="37" t="n">
        <v>6</v>
      </c>
      <c r="H117" s="685" t="n">
        <v>1.68</v>
      </c>
      <c r="I117" s="685" t="n">
        <v>1.78</v>
      </c>
      <c r="J117" s="37" t="n">
        <v>234</v>
      </c>
      <c r="K117" s="37" t="inlineStr">
        <is>
          <t>18</t>
        </is>
      </c>
      <c r="L117" s="37" t="inlineStr"/>
      <c r="M117" s="38" t="inlineStr">
        <is>
          <t>СК2</t>
        </is>
      </c>
      <c r="N117" s="38" t="n"/>
      <c r="O117" s="37" t="n">
        <v>40</v>
      </c>
      <c r="P117" s="73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17" s="687" t="n"/>
      <c r="R117" s="687" t="n"/>
      <c r="S117" s="687" t="n"/>
      <c r="T117" s="688" t="n"/>
      <c r="U117" s="39" t="inlineStr"/>
      <c r="V117" s="39" t="inlineStr"/>
      <c r="W117" s="40" t="inlineStr">
        <is>
          <t>кг</t>
        </is>
      </c>
      <c r="X117" s="689" t="n">
        <v>0</v>
      </c>
      <c r="Y117" s="690">
        <f>IFERROR(IF(X117="",0,CEILING((X117/$H117),1)*$H117),"")</f>
        <v/>
      </c>
      <c r="Z117" s="41">
        <f>IFERROR(IF(Y117=0,"",ROUNDUP(Y117/H117,0)*0.00502),"")</f>
        <v/>
      </c>
      <c r="AA117" s="68" t="inlineStr"/>
      <c r="AB117" s="69" t="inlineStr"/>
      <c r="AC117" s="176" t="inlineStr">
        <is>
          <t>ЕАЭС N RU Д-RU.РА06.В.75139/23</t>
        </is>
      </c>
      <c r="AG117" s="78" t="n"/>
      <c r="AJ117" s="84" t="inlineStr"/>
      <c r="AK117" s="84" t="n">
        <v>0</v>
      </c>
      <c r="BB117" s="17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>
      <c r="A118" s="410" t="n"/>
      <c r="B118" s="397" t="n"/>
      <c r="C118" s="397" t="n"/>
      <c r="D118" s="397" t="n"/>
      <c r="E118" s="397" t="n"/>
      <c r="F118" s="397" t="n"/>
      <c r="G118" s="397" t="n"/>
      <c r="H118" s="397" t="n"/>
      <c r="I118" s="397" t="n"/>
      <c r="J118" s="397" t="n"/>
      <c r="K118" s="397" t="n"/>
      <c r="L118" s="397" t="n"/>
      <c r="M118" s="397" t="n"/>
      <c r="N118" s="397" t="n"/>
      <c r="O118" s="692" t="n"/>
      <c r="P118" s="693" t="inlineStr">
        <is>
          <t>Итого</t>
        </is>
      </c>
      <c r="Q118" s="654" t="n"/>
      <c r="R118" s="654" t="n"/>
      <c r="S118" s="654" t="n"/>
      <c r="T118" s="654" t="n"/>
      <c r="U118" s="654" t="n"/>
      <c r="V118" s="655" t="n"/>
      <c r="W118" s="42" t="inlineStr">
        <is>
          <t>кор</t>
        </is>
      </c>
      <c r="X118" s="694">
        <f>IFERROR(X110/H110,"0")+IFERROR(X111/H111,"0")+IFERROR(X112/H112,"0")+IFERROR(X113/H113,"0")+IFERROR(X114/H114,"0")+IFERROR(X115/H115,"0")+IFERROR(X116/H116,"0")+IFERROR(X117/H117,"0")</f>
        <v/>
      </c>
      <c r="Y118" s="694">
        <f>IFERROR(Y110/H110,"0")+IFERROR(Y111/H111,"0")+IFERROR(Y112/H112,"0")+IFERROR(Y113/H113,"0")+IFERROR(Y114/H114,"0")+IFERROR(Y115/H115,"0")+IFERROR(Y116/H116,"0")+IFERROR(Y117/H117,"0")</f>
        <v/>
      </c>
      <c r="Z118" s="694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/>
      </c>
      <c r="AA118" s="695" t="n"/>
      <c r="AB118" s="695" t="n"/>
      <c r="AC118" s="695" t="n"/>
    </row>
    <row r="119">
      <c r="A119" s="397" t="n"/>
      <c r="B119" s="397" t="n"/>
      <c r="C119" s="397" t="n"/>
      <c r="D119" s="397" t="n"/>
      <c r="E119" s="397" t="n"/>
      <c r="F119" s="397" t="n"/>
      <c r="G119" s="397" t="n"/>
      <c r="H119" s="397" t="n"/>
      <c r="I119" s="397" t="n"/>
      <c r="J119" s="397" t="n"/>
      <c r="K119" s="397" t="n"/>
      <c r="L119" s="397" t="n"/>
      <c r="M119" s="397" t="n"/>
      <c r="N119" s="397" t="n"/>
      <c r="O119" s="692" t="n"/>
      <c r="P119" s="693" t="inlineStr">
        <is>
          <t>Итого</t>
        </is>
      </c>
      <c r="Q119" s="654" t="n"/>
      <c r="R119" s="654" t="n"/>
      <c r="S119" s="654" t="n"/>
      <c r="T119" s="654" t="n"/>
      <c r="U119" s="654" t="n"/>
      <c r="V119" s="655" t="n"/>
      <c r="W119" s="42" t="inlineStr">
        <is>
          <t>кг</t>
        </is>
      </c>
      <c r="X119" s="694">
        <f>IFERROR(SUM(X110:X117),"0")</f>
        <v/>
      </c>
      <c r="Y119" s="694">
        <f>IFERROR(SUM(Y110:Y117),"0")</f>
        <v/>
      </c>
      <c r="Z119" s="42" t="n"/>
      <c r="AA119" s="695" t="n"/>
      <c r="AB119" s="695" t="n"/>
      <c r="AC119" s="695" t="n"/>
    </row>
    <row r="120" ht="14.25" customHeight="1">
      <c r="A120" s="400" t="inlineStr">
        <is>
          <t>Сырокопченые колбасы</t>
        </is>
      </c>
      <c r="B120" s="397" t="n"/>
      <c r="C120" s="397" t="n"/>
      <c r="D120" s="397" t="n"/>
      <c r="E120" s="397" t="n"/>
      <c r="F120" s="397" t="n"/>
      <c r="G120" s="397" t="n"/>
      <c r="H120" s="397" t="n"/>
      <c r="I120" s="397" t="n"/>
      <c r="J120" s="397" t="n"/>
      <c r="K120" s="397" t="n"/>
      <c r="L120" s="397" t="n"/>
      <c r="M120" s="397" t="n"/>
      <c r="N120" s="397" t="n"/>
      <c r="O120" s="397" t="n"/>
      <c r="P120" s="397" t="n"/>
      <c r="Q120" s="397" t="n"/>
      <c r="R120" s="397" t="n"/>
      <c r="S120" s="397" t="n"/>
      <c r="T120" s="397" t="n"/>
      <c r="U120" s="397" t="n"/>
      <c r="V120" s="397" t="n"/>
      <c r="W120" s="397" t="n"/>
      <c r="X120" s="397" t="n"/>
      <c r="Y120" s="397" t="n"/>
      <c r="Z120" s="397" t="n"/>
      <c r="AA120" s="400" t="n"/>
      <c r="AB120" s="400" t="n"/>
      <c r="AC120" s="400" t="n"/>
    </row>
    <row r="121" ht="27" customHeight="1">
      <c r="A121" s="63" t="inlineStr">
        <is>
          <t>SU003895</t>
        </is>
      </c>
      <c r="B121" s="63" t="inlineStr">
        <is>
          <t>P004981</t>
        </is>
      </c>
      <c r="C121" s="36" t="n">
        <v>4301032053</v>
      </c>
      <c r="D121" s="401" t="n">
        <v>4680115886780</v>
      </c>
      <c r="E121" s="646" t="n"/>
      <c r="F121" s="685" t="n">
        <v>0.07000000000000001</v>
      </c>
      <c r="G121" s="37" t="n">
        <v>18</v>
      </c>
      <c r="H121" s="685" t="n">
        <v>1.26</v>
      </c>
      <c r="I121" s="685" t="n">
        <v>1.45</v>
      </c>
      <c r="J121" s="37" t="n">
        <v>216</v>
      </c>
      <c r="K121" s="37" t="inlineStr">
        <is>
          <t>27</t>
        </is>
      </c>
      <c r="L121" s="37" t="inlineStr"/>
      <c r="M121" s="38" t="inlineStr">
        <is>
          <t>МЗР</t>
        </is>
      </c>
      <c r="N121" s="38" t="n"/>
      <c r="O121" s="37" t="n">
        <v>60</v>
      </c>
      <c r="P121" s="740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21" s="687" t="n"/>
      <c r="R121" s="687" t="n"/>
      <c r="S121" s="687" t="n"/>
      <c r="T121" s="688" t="n"/>
      <c r="U121" s="39" t="inlineStr"/>
      <c r="V121" s="39" t="inlineStr"/>
      <c r="W121" s="40" t="inlineStr">
        <is>
          <t>кг</t>
        </is>
      </c>
      <c r="X121" s="689" t="n">
        <v>0</v>
      </c>
      <c r="Y121" s="690">
        <f>IFERROR(IF(X121="",0,CEILING((X121/$H121),1)*$H121),"")</f>
        <v/>
      </c>
      <c r="Z121" s="41">
        <f>IFERROR(IF(Y121=0,"",ROUNDUP(Y121/H121,0)*0.0059),"")</f>
        <v/>
      </c>
      <c r="AA121" s="68" t="inlineStr"/>
      <c r="AB121" s="69" t="inlineStr"/>
      <c r="AC121" s="178" t="inlineStr">
        <is>
          <t>ЕАЭС N RU Д-RU.РА03.В.06444/25</t>
        </is>
      </c>
      <c r="AG121" s="78" t="n"/>
      <c r="AJ121" s="84" t="inlineStr"/>
      <c r="AK121" s="84" t="n">
        <v>0</v>
      </c>
      <c r="BB121" s="179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27" customHeight="1">
      <c r="A122" s="63" t="inlineStr">
        <is>
          <t>SU003893</t>
        </is>
      </c>
      <c r="B122" s="63" t="inlineStr">
        <is>
          <t>P004978</t>
        </is>
      </c>
      <c r="C122" s="36" t="n">
        <v>4301032051</v>
      </c>
      <c r="D122" s="401" t="n">
        <v>4680115886742</v>
      </c>
      <c r="E122" s="646" t="n"/>
      <c r="F122" s="685" t="n">
        <v>0.07000000000000001</v>
      </c>
      <c r="G122" s="37" t="n">
        <v>18</v>
      </c>
      <c r="H122" s="685" t="n">
        <v>1.26</v>
      </c>
      <c r="I122" s="685" t="n">
        <v>1.45</v>
      </c>
      <c r="J122" s="37" t="n">
        <v>216</v>
      </c>
      <c r="K122" s="37" t="inlineStr">
        <is>
          <t>27</t>
        </is>
      </c>
      <c r="L122" s="37" t="inlineStr"/>
      <c r="M122" s="38" t="inlineStr">
        <is>
          <t>МЗР</t>
        </is>
      </c>
      <c r="N122" s="38" t="n"/>
      <c r="O122" s="37" t="n">
        <v>90</v>
      </c>
      <c r="P122" s="741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22" s="687" t="n"/>
      <c r="R122" s="687" t="n"/>
      <c r="S122" s="687" t="n"/>
      <c r="T122" s="688" t="n"/>
      <c r="U122" s="39" t="inlineStr"/>
      <c r="V122" s="39" t="inlineStr"/>
      <c r="W122" s="40" t="inlineStr">
        <is>
          <t>кг</t>
        </is>
      </c>
      <c r="X122" s="689" t="n">
        <v>0</v>
      </c>
      <c r="Y122" s="690">
        <f>IFERROR(IF(X122="",0,CEILING((X122/$H122),1)*$H122),"")</f>
        <v/>
      </c>
      <c r="Z122" s="41">
        <f>IFERROR(IF(Y122=0,"",ROUNDUP(Y122/H122,0)*0.0059),"")</f>
        <v/>
      </c>
      <c r="AA122" s="68" t="inlineStr"/>
      <c r="AB122" s="69" t="inlineStr"/>
      <c r="AC122" s="180" t="inlineStr">
        <is>
          <t>ЕАЭС N RU Д-RU.РА03.В.02441/25</t>
        </is>
      </c>
      <c r="AG122" s="78" t="n"/>
      <c r="AJ122" s="84" t="inlineStr"/>
      <c r="AK122" s="84" t="n">
        <v>0</v>
      </c>
      <c r="BB122" s="181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SU003894</t>
        </is>
      </c>
      <c r="B123" s="63" t="inlineStr">
        <is>
          <t>P004979</t>
        </is>
      </c>
      <c r="C123" s="36" t="n">
        <v>4301032052</v>
      </c>
      <c r="D123" s="401" t="n">
        <v>4680115886766</v>
      </c>
      <c r="E123" s="646" t="n"/>
      <c r="F123" s="685" t="n">
        <v>0.07000000000000001</v>
      </c>
      <c r="G123" s="37" t="n">
        <v>18</v>
      </c>
      <c r="H123" s="685" t="n">
        <v>1.26</v>
      </c>
      <c r="I123" s="685" t="n">
        <v>1.45</v>
      </c>
      <c r="J123" s="37" t="n">
        <v>216</v>
      </c>
      <c r="K123" s="37" t="inlineStr">
        <is>
          <t>27</t>
        </is>
      </c>
      <c r="L123" s="37" t="inlineStr"/>
      <c r="M123" s="38" t="inlineStr">
        <is>
          <t>МЗР</t>
        </is>
      </c>
      <c r="N123" s="38" t="n"/>
      <c r="O123" s="37" t="n">
        <v>90</v>
      </c>
      <c r="P123" s="742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23" s="687" t="n"/>
      <c r="R123" s="687" t="n"/>
      <c r="S123" s="687" t="n"/>
      <c r="T123" s="688" t="n"/>
      <c r="U123" s="39" t="inlineStr"/>
      <c r="V123" s="39" t="inlineStr"/>
      <c r="W123" s="40" t="inlineStr">
        <is>
          <t>кг</t>
        </is>
      </c>
      <c r="X123" s="689" t="n">
        <v>0</v>
      </c>
      <c r="Y123" s="690">
        <f>IFERROR(IF(X123="",0,CEILING((X123/$H123),1)*$H123),"")</f>
        <v/>
      </c>
      <c r="Z123" s="41">
        <f>IFERROR(IF(Y123=0,"",ROUNDUP(Y123/H123,0)*0.0059),"")</f>
        <v/>
      </c>
      <c r="AA123" s="68" t="inlineStr"/>
      <c r="AB123" s="69" t="inlineStr"/>
      <c r="AC123" s="182" t="inlineStr">
        <is>
          <t>ЕАЭС N RU Д-RU.РА03.В.02441/25</t>
        </is>
      </c>
      <c r="AG123" s="78" t="n"/>
      <c r="AJ123" s="84" t="inlineStr"/>
      <c r="AK123" s="84" t="n">
        <v>0</v>
      </c>
      <c r="BB123" s="183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>
      <c r="A124" s="410" t="n"/>
      <c r="B124" s="397" t="n"/>
      <c r="C124" s="397" t="n"/>
      <c r="D124" s="397" t="n"/>
      <c r="E124" s="397" t="n"/>
      <c r="F124" s="397" t="n"/>
      <c r="G124" s="397" t="n"/>
      <c r="H124" s="397" t="n"/>
      <c r="I124" s="397" t="n"/>
      <c r="J124" s="397" t="n"/>
      <c r="K124" s="397" t="n"/>
      <c r="L124" s="397" t="n"/>
      <c r="M124" s="397" t="n"/>
      <c r="N124" s="397" t="n"/>
      <c r="O124" s="692" t="n"/>
      <c r="P124" s="693" t="inlineStr">
        <is>
          <t>Итого</t>
        </is>
      </c>
      <c r="Q124" s="654" t="n"/>
      <c r="R124" s="654" t="n"/>
      <c r="S124" s="654" t="n"/>
      <c r="T124" s="654" t="n"/>
      <c r="U124" s="654" t="n"/>
      <c r="V124" s="655" t="n"/>
      <c r="W124" s="42" t="inlineStr">
        <is>
          <t>кор</t>
        </is>
      </c>
      <c r="X124" s="694">
        <f>IFERROR(X121/H121,"0")+IFERROR(X122/H122,"0")+IFERROR(X123/H123,"0")</f>
        <v/>
      </c>
      <c r="Y124" s="694">
        <f>IFERROR(Y121/H121,"0")+IFERROR(Y122/H122,"0")+IFERROR(Y123/H123,"0")</f>
        <v/>
      </c>
      <c r="Z124" s="694">
        <f>IFERROR(IF(Z121="",0,Z121),"0")+IFERROR(IF(Z122="",0,Z122),"0")+IFERROR(IF(Z123="",0,Z123),"0")</f>
        <v/>
      </c>
      <c r="AA124" s="695" t="n"/>
      <c r="AB124" s="695" t="n"/>
      <c r="AC124" s="695" t="n"/>
    </row>
    <row r="125">
      <c r="A125" s="397" t="n"/>
      <c r="B125" s="397" t="n"/>
      <c r="C125" s="397" t="n"/>
      <c r="D125" s="397" t="n"/>
      <c r="E125" s="397" t="n"/>
      <c r="F125" s="397" t="n"/>
      <c r="G125" s="397" t="n"/>
      <c r="H125" s="397" t="n"/>
      <c r="I125" s="397" t="n"/>
      <c r="J125" s="397" t="n"/>
      <c r="K125" s="397" t="n"/>
      <c r="L125" s="397" t="n"/>
      <c r="M125" s="397" t="n"/>
      <c r="N125" s="397" t="n"/>
      <c r="O125" s="692" t="n"/>
      <c r="P125" s="693" t="inlineStr">
        <is>
          <t>Итого</t>
        </is>
      </c>
      <c r="Q125" s="654" t="n"/>
      <c r="R125" s="654" t="n"/>
      <c r="S125" s="654" t="n"/>
      <c r="T125" s="654" t="n"/>
      <c r="U125" s="654" t="n"/>
      <c r="V125" s="655" t="n"/>
      <c r="W125" s="42" t="inlineStr">
        <is>
          <t>кг</t>
        </is>
      </c>
      <c r="X125" s="694">
        <f>IFERROR(SUM(X121:X123),"0")</f>
        <v/>
      </c>
      <c r="Y125" s="694">
        <f>IFERROR(SUM(Y121:Y123),"0")</f>
        <v/>
      </c>
      <c r="Z125" s="42" t="n"/>
      <c r="AA125" s="695" t="n"/>
      <c r="AB125" s="695" t="n"/>
      <c r="AC125" s="695" t="n"/>
    </row>
    <row r="126" ht="14.25" customHeight="1">
      <c r="A126" s="400" t="inlineStr">
        <is>
          <t>Сыровяленые колбасы</t>
        </is>
      </c>
      <c r="B126" s="397" t="n"/>
      <c r="C126" s="397" t="n"/>
      <c r="D126" s="397" t="n"/>
      <c r="E126" s="397" t="n"/>
      <c r="F126" s="397" t="n"/>
      <c r="G126" s="397" t="n"/>
      <c r="H126" s="397" t="n"/>
      <c r="I126" s="397" t="n"/>
      <c r="J126" s="397" t="n"/>
      <c r="K126" s="397" t="n"/>
      <c r="L126" s="397" t="n"/>
      <c r="M126" s="397" t="n"/>
      <c r="N126" s="397" t="n"/>
      <c r="O126" s="397" t="n"/>
      <c r="P126" s="397" t="n"/>
      <c r="Q126" s="397" t="n"/>
      <c r="R126" s="397" t="n"/>
      <c r="S126" s="397" t="n"/>
      <c r="T126" s="397" t="n"/>
      <c r="U126" s="397" t="n"/>
      <c r="V126" s="397" t="n"/>
      <c r="W126" s="397" t="n"/>
      <c r="X126" s="397" t="n"/>
      <c r="Y126" s="397" t="n"/>
      <c r="Z126" s="397" t="n"/>
      <c r="AA126" s="400" t="n"/>
      <c r="AB126" s="400" t="n"/>
      <c r="AC126" s="400" t="n"/>
    </row>
    <row r="127" ht="27" customHeight="1">
      <c r="A127" s="63" t="inlineStr">
        <is>
          <t>SU003896</t>
        </is>
      </c>
      <c r="B127" s="63" t="inlineStr">
        <is>
          <t>P004982</t>
        </is>
      </c>
      <c r="C127" s="36" t="n">
        <v>4301170013</v>
      </c>
      <c r="D127" s="401" t="n">
        <v>4680115886797</v>
      </c>
      <c r="E127" s="646" t="n"/>
      <c r="F127" s="685" t="n">
        <v>0.07000000000000001</v>
      </c>
      <c r="G127" s="37" t="n">
        <v>18</v>
      </c>
      <c r="H127" s="685" t="n">
        <v>1.26</v>
      </c>
      <c r="I127" s="685" t="n">
        <v>1.45</v>
      </c>
      <c r="J127" s="37" t="n">
        <v>216</v>
      </c>
      <c r="K127" s="37" t="inlineStr">
        <is>
          <t>27</t>
        </is>
      </c>
      <c r="L127" s="37" t="inlineStr"/>
      <c r="M127" s="38" t="inlineStr">
        <is>
          <t>МЗР</t>
        </is>
      </c>
      <c r="N127" s="38" t="n"/>
      <c r="O127" s="37" t="n">
        <v>90</v>
      </c>
      <c r="P127" s="743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27" s="687" t="n"/>
      <c r="R127" s="687" t="n"/>
      <c r="S127" s="687" t="n"/>
      <c r="T127" s="688" t="n"/>
      <c r="U127" s="39" t="inlineStr"/>
      <c r="V127" s="39" t="inlineStr"/>
      <c r="W127" s="40" t="inlineStr">
        <is>
          <t>кг</t>
        </is>
      </c>
      <c r="X127" s="689" t="n">
        <v>0</v>
      </c>
      <c r="Y127" s="690">
        <f>IFERROR(IF(X127="",0,CEILING((X127/$H127),1)*$H127),"")</f>
        <v/>
      </c>
      <c r="Z127" s="41">
        <f>IFERROR(IF(Y127=0,"",ROUNDUP(Y127/H127,0)*0.0059),"")</f>
        <v/>
      </c>
      <c r="AA127" s="68" t="inlineStr"/>
      <c r="AB127" s="69" t="inlineStr"/>
      <c r="AC127" s="184" t="inlineStr">
        <is>
          <t>ЕАЭС N RU Д-RU.РА03.В.02441/25</t>
        </is>
      </c>
      <c r="AG127" s="78" t="n"/>
      <c r="AJ127" s="84" t="inlineStr"/>
      <c r="AK127" s="84" t="n">
        <v>0</v>
      </c>
      <c r="BB127" s="185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410" t="n"/>
      <c r="B128" s="397" t="n"/>
      <c r="C128" s="397" t="n"/>
      <c r="D128" s="397" t="n"/>
      <c r="E128" s="397" t="n"/>
      <c r="F128" s="397" t="n"/>
      <c r="G128" s="397" t="n"/>
      <c r="H128" s="397" t="n"/>
      <c r="I128" s="397" t="n"/>
      <c r="J128" s="397" t="n"/>
      <c r="K128" s="397" t="n"/>
      <c r="L128" s="397" t="n"/>
      <c r="M128" s="397" t="n"/>
      <c r="N128" s="397" t="n"/>
      <c r="O128" s="692" t="n"/>
      <c r="P128" s="693" t="inlineStr">
        <is>
          <t>Итого</t>
        </is>
      </c>
      <c r="Q128" s="654" t="n"/>
      <c r="R128" s="654" t="n"/>
      <c r="S128" s="654" t="n"/>
      <c r="T128" s="654" t="n"/>
      <c r="U128" s="654" t="n"/>
      <c r="V128" s="655" t="n"/>
      <c r="W128" s="42" t="inlineStr">
        <is>
          <t>кор</t>
        </is>
      </c>
      <c r="X128" s="694">
        <f>IFERROR(X127/H127,"0")</f>
        <v/>
      </c>
      <c r="Y128" s="694">
        <f>IFERROR(Y127/H127,"0")</f>
        <v/>
      </c>
      <c r="Z128" s="694">
        <f>IFERROR(IF(Z127="",0,Z127),"0")</f>
        <v/>
      </c>
      <c r="AA128" s="695" t="n"/>
      <c r="AB128" s="695" t="n"/>
      <c r="AC128" s="695" t="n"/>
    </row>
    <row r="129">
      <c r="A129" s="397" t="n"/>
      <c r="B129" s="397" t="n"/>
      <c r="C129" s="397" t="n"/>
      <c r="D129" s="397" t="n"/>
      <c r="E129" s="397" t="n"/>
      <c r="F129" s="397" t="n"/>
      <c r="G129" s="397" t="n"/>
      <c r="H129" s="397" t="n"/>
      <c r="I129" s="397" t="n"/>
      <c r="J129" s="397" t="n"/>
      <c r="K129" s="397" t="n"/>
      <c r="L129" s="397" t="n"/>
      <c r="M129" s="397" t="n"/>
      <c r="N129" s="397" t="n"/>
      <c r="O129" s="692" t="n"/>
      <c r="P129" s="693" t="inlineStr">
        <is>
          <t>Итого</t>
        </is>
      </c>
      <c r="Q129" s="654" t="n"/>
      <c r="R129" s="654" t="n"/>
      <c r="S129" s="654" t="n"/>
      <c r="T129" s="654" t="n"/>
      <c r="U129" s="654" t="n"/>
      <c r="V129" s="655" t="n"/>
      <c r="W129" s="42" t="inlineStr">
        <is>
          <t>кг</t>
        </is>
      </c>
      <c r="X129" s="694">
        <f>IFERROR(SUM(X127:X127),"0")</f>
        <v/>
      </c>
      <c r="Y129" s="694">
        <f>IFERROR(SUM(Y127:Y127),"0")</f>
        <v/>
      </c>
      <c r="Z129" s="42" t="n"/>
      <c r="AA129" s="695" t="n"/>
      <c r="AB129" s="695" t="n"/>
      <c r="AC129" s="695" t="n"/>
    </row>
    <row r="130" ht="16.5" customHeight="1">
      <c r="A130" s="430" t="inlineStr">
        <is>
          <t>Сочинка</t>
        </is>
      </c>
      <c r="B130" s="397" t="n"/>
      <c r="C130" s="397" t="n"/>
      <c r="D130" s="397" t="n"/>
      <c r="E130" s="397" t="n"/>
      <c r="F130" s="397" t="n"/>
      <c r="G130" s="397" t="n"/>
      <c r="H130" s="397" t="n"/>
      <c r="I130" s="397" t="n"/>
      <c r="J130" s="397" t="n"/>
      <c r="K130" s="397" t="n"/>
      <c r="L130" s="397" t="n"/>
      <c r="M130" s="397" t="n"/>
      <c r="N130" s="397" t="n"/>
      <c r="O130" s="397" t="n"/>
      <c r="P130" s="397" t="n"/>
      <c r="Q130" s="397" t="n"/>
      <c r="R130" s="397" t="n"/>
      <c r="S130" s="397" t="n"/>
      <c r="T130" s="397" t="n"/>
      <c r="U130" s="397" t="n"/>
      <c r="V130" s="397" t="n"/>
      <c r="W130" s="397" t="n"/>
      <c r="X130" s="397" t="n"/>
      <c r="Y130" s="397" t="n"/>
      <c r="Z130" s="397" t="n"/>
      <c r="AA130" s="430" t="n"/>
      <c r="AB130" s="430" t="n"/>
      <c r="AC130" s="430" t="n"/>
    </row>
    <row r="131" ht="14.25" customHeight="1">
      <c r="A131" s="400" t="inlineStr">
        <is>
          <t>Вареные колбасы</t>
        </is>
      </c>
      <c r="B131" s="397" t="n"/>
      <c r="C131" s="397" t="n"/>
      <c r="D131" s="397" t="n"/>
      <c r="E131" s="397" t="n"/>
      <c r="F131" s="397" t="n"/>
      <c r="G131" s="397" t="n"/>
      <c r="H131" s="397" t="n"/>
      <c r="I131" s="397" t="n"/>
      <c r="J131" s="397" t="n"/>
      <c r="K131" s="397" t="n"/>
      <c r="L131" s="397" t="n"/>
      <c r="M131" s="397" t="n"/>
      <c r="N131" s="397" t="n"/>
      <c r="O131" s="397" t="n"/>
      <c r="P131" s="397" t="n"/>
      <c r="Q131" s="397" t="n"/>
      <c r="R131" s="397" t="n"/>
      <c r="S131" s="397" t="n"/>
      <c r="T131" s="397" t="n"/>
      <c r="U131" s="397" t="n"/>
      <c r="V131" s="397" t="n"/>
      <c r="W131" s="397" t="n"/>
      <c r="X131" s="397" t="n"/>
      <c r="Y131" s="397" t="n"/>
      <c r="Z131" s="397" t="n"/>
      <c r="AA131" s="400" t="n"/>
      <c r="AB131" s="400" t="n"/>
      <c r="AC131" s="400" t="n"/>
    </row>
    <row r="132" ht="16.5" customHeight="1">
      <c r="A132" s="63" t="inlineStr">
        <is>
          <t>SU002824</t>
        </is>
      </c>
      <c r="B132" s="63" t="inlineStr">
        <is>
          <t>P003231</t>
        </is>
      </c>
      <c r="C132" s="36" t="n">
        <v>4301011450</v>
      </c>
      <c r="D132" s="401" t="n">
        <v>4680115881402</v>
      </c>
      <c r="E132" s="646" t="n"/>
      <c r="F132" s="685" t="n">
        <v>1.35</v>
      </c>
      <c r="G132" s="37" t="n">
        <v>8</v>
      </c>
      <c r="H132" s="685" t="n">
        <v>10.8</v>
      </c>
      <c r="I132" s="685" t="n">
        <v>11.235</v>
      </c>
      <c r="J132" s="37" t="n">
        <v>64</v>
      </c>
      <c r="K132" s="37" t="inlineStr">
        <is>
          <t>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74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32" s="687" t="n"/>
      <c r="R132" s="687" t="n"/>
      <c r="S132" s="687" t="n"/>
      <c r="T132" s="688" t="n"/>
      <c r="U132" s="39" t="inlineStr"/>
      <c r="V132" s="39" t="inlineStr"/>
      <c r="W132" s="40" t="inlineStr">
        <is>
          <t>кг</t>
        </is>
      </c>
      <c r="X132" s="689" t="n">
        <v>0</v>
      </c>
      <c r="Y132" s="690">
        <f>IFERROR(IF(X132="",0,CEILING((X132/$H132),1)*$H132),"")</f>
        <v/>
      </c>
      <c r="Z132" s="41">
        <f>IFERROR(IF(Y132=0,"",ROUNDUP(Y132/H132,0)*0.01898),"")</f>
        <v/>
      </c>
      <c r="AA132" s="68" t="inlineStr"/>
      <c r="AB132" s="69" t="inlineStr"/>
      <c r="AC132" s="186" t="inlineStr">
        <is>
          <t>ЕАЭС N RU Д-RU.РА09.В.00972/22</t>
        </is>
      </c>
      <c r="AG132" s="78" t="n"/>
      <c r="AJ132" s="84" t="inlineStr"/>
      <c r="AK132" s="84" t="n">
        <v>0</v>
      </c>
      <c r="BB132" s="187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27" customHeight="1">
      <c r="A133" s="63" t="inlineStr">
        <is>
          <t>SU002823</t>
        </is>
      </c>
      <c r="B133" s="63" t="inlineStr">
        <is>
          <t>P003230</t>
        </is>
      </c>
      <c r="C133" s="36" t="n">
        <v>4301011768</v>
      </c>
      <c r="D133" s="401" t="n">
        <v>4680115881396</v>
      </c>
      <c r="E133" s="646" t="n"/>
      <c r="F133" s="685" t="n">
        <v>0.45</v>
      </c>
      <c r="G133" s="37" t="n">
        <v>6</v>
      </c>
      <c r="H133" s="685" t="n">
        <v>2.7</v>
      </c>
      <c r="I133" s="685" t="n">
        <v>2.88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СК1</t>
        </is>
      </c>
      <c r="N133" s="38" t="n"/>
      <c r="O133" s="37" t="n">
        <v>55</v>
      </c>
      <c r="P133" s="74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33" s="687" t="n"/>
      <c r="R133" s="687" t="n"/>
      <c r="S133" s="687" t="n"/>
      <c r="T133" s="688" t="n"/>
      <c r="U133" s="39" t="inlineStr"/>
      <c r="V133" s="39" t="inlineStr"/>
      <c r="W133" s="40" t="inlineStr">
        <is>
          <t>кг</t>
        </is>
      </c>
      <c r="X133" s="689" t="n">
        <v>0</v>
      </c>
      <c r="Y133" s="690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188" t="inlineStr">
        <is>
          <t>ЕАЭС N RU Д-RU.РА09.В.00972/22</t>
        </is>
      </c>
      <c r="AG133" s="78" t="n"/>
      <c r="AJ133" s="84" t="inlineStr"/>
      <c r="AK133" s="84" t="n">
        <v>0</v>
      </c>
      <c r="BB133" s="189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410" t="n"/>
      <c r="B134" s="397" t="n"/>
      <c r="C134" s="397" t="n"/>
      <c r="D134" s="397" t="n"/>
      <c r="E134" s="397" t="n"/>
      <c r="F134" s="397" t="n"/>
      <c r="G134" s="397" t="n"/>
      <c r="H134" s="397" t="n"/>
      <c r="I134" s="397" t="n"/>
      <c r="J134" s="397" t="n"/>
      <c r="K134" s="397" t="n"/>
      <c r="L134" s="397" t="n"/>
      <c r="M134" s="397" t="n"/>
      <c r="N134" s="397" t="n"/>
      <c r="O134" s="692" t="n"/>
      <c r="P134" s="693" t="inlineStr">
        <is>
          <t>Итого</t>
        </is>
      </c>
      <c r="Q134" s="654" t="n"/>
      <c r="R134" s="654" t="n"/>
      <c r="S134" s="654" t="n"/>
      <c r="T134" s="654" t="n"/>
      <c r="U134" s="654" t="n"/>
      <c r="V134" s="655" t="n"/>
      <c r="W134" s="42" t="inlineStr">
        <is>
          <t>кор</t>
        </is>
      </c>
      <c r="X134" s="694">
        <f>IFERROR(X132/H132,"0")+IFERROR(X133/H133,"0")</f>
        <v/>
      </c>
      <c r="Y134" s="694">
        <f>IFERROR(Y132/H132,"0")+IFERROR(Y133/H133,"0")</f>
        <v/>
      </c>
      <c r="Z134" s="694">
        <f>IFERROR(IF(Z132="",0,Z132),"0")+IFERROR(IF(Z133="",0,Z133),"0")</f>
        <v/>
      </c>
      <c r="AA134" s="695" t="n"/>
      <c r="AB134" s="695" t="n"/>
      <c r="AC134" s="695" t="n"/>
    </row>
    <row r="135">
      <c r="A135" s="397" t="n"/>
      <c r="B135" s="397" t="n"/>
      <c r="C135" s="397" t="n"/>
      <c r="D135" s="397" t="n"/>
      <c r="E135" s="397" t="n"/>
      <c r="F135" s="397" t="n"/>
      <c r="G135" s="397" t="n"/>
      <c r="H135" s="397" t="n"/>
      <c r="I135" s="397" t="n"/>
      <c r="J135" s="397" t="n"/>
      <c r="K135" s="397" t="n"/>
      <c r="L135" s="397" t="n"/>
      <c r="M135" s="397" t="n"/>
      <c r="N135" s="397" t="n"/>
      <c r="O135" s="692" t="n"/>
      <c r="P135" s="693" t="inlineStr">
        <is>
          <t>Итого</t>
        </is>
      </c>
      <c r="Q135" s="654" t="n"/>
      <c r="R135" s="654" t="n"/>
      <c r="S135" s="654" t="n"/>
      <c r="T135" s="654" t="n"/>
      <c r="U135" s="654" t="n"/>
      <c r="V135" s="655" t="n"/>
      <c r="W135" s="42" t="inlineStr">
        <is>
          <t>кг</t>
        </is>
      </c>
      <c r="X135" s="694">
        <f>IFERROR(SUM(X132:X133),"0")</f>
        <v/>
      </c>
      <c r="Y135" s="694">
        <f>IFERROR(SUM(Y132:Y133),"0")</f>
        <v/>
      </c>
      <c r="Z135" s="42" t="n"/>
      <c r="AA135" s="695" t="n"/>
      <c r="AB135" s="695" t="n"/>
      <c r="AC135" s="695" t="n"/>
    </row>
    <row r="136" ht="14.25" customHeight="1">
      <c r="A136" s="400" t="inlineStr">
        <is>
          <t>Ветчины</t>
        </is>
      </c>
      <c r="B136" s="397" t="n"/>
      <c r="C136" s="397" t="n"/>
      <c r="D136" s="397" t="n"/>
      <c r="E136" s="397" t="n"/>
      <c r="F136" s="397" t="n"/>
      <c r="G136" s="397" t="n"/>
      <c r="H136" s="397" t="n"/>
      <c r="I136" s="397" t="n"/>
      <c r="J136" s="397" t="n"/>
      <c r="K136" s="397" t="n"/>
      <c r="L136" s="397" t="n"/>
      <c r="M136" s="397" t="n"/>
      <c r="N136" s="397" t="n"/>
      <c r="O136" s="397" t="n"/>
      <c r="P136" s="397" t="n"/>
      <c r="Q136" s="397" t="n"/>
      <c r="R136" s="397" t="n"/>
      <c r="S136" s="397" t="n"/>
      <c r="T136" s="397" t="n"/>
      <c r="U136" s="397" t="n"/>
      <c r="V136" s="397" t="n"/>
      <c r="W136" s="397" t="n"/>
      <c r="X136" s="397" t="n"/>
      <c r="Y136" s="397" t="n"/>
      <c r="Z136" s="397" t="n"/>
      <c r="AA136" s="400" t="n"/>
      <c r="AB136" s="400" t="n"/>
      <c r="AC136" s="400" t="n"/>
    </row>
    <row r="137" ht="16.5" customHeight="1">
      <c r="A137" s="63" t="inlineStr">
        <is>
          <t>SU003068</t>
        </is>
      </c>
      <c r="B137" s="63" t="inlineStr">
        <is>
          <t>P003611</t>
        </is>
      </c>
      <c r="C137" s="36" t="n">
        <v>4301020262</v>
      </c>
      <c r="D137" s="401" t="n">
        <v>4680115882935</v>
      </c>
      <c r="E137" s="646" t="n"/>
      <c r="F137" s="685" t="n">
        <v>1.35</v>
      </c>
      <c r="G137" s="37" t="n">
        <v>8</v>
      </c>
      <c r="H137" s="685" t="n">
        <v>10.8</v>
      </c>
      <c r="I137" s="685" t="n">
        <v>11.235</v>
      </c>
      <c r="J137" s="37" t="n">
        <v>64</v>
      </c>
      <c r="K137" s="37" t="inlineStr">
        <is>
          <t>8</t>
        </is>
      </c>
      <c r="L137" s="37" t="inlineStr"/>
      <c r="M137" s="38" t="inlineStr">
        <is>
          <t>СК3</t>
        </is>
      </c>
      <c r="N137" s="38" t="n"/>
      <c r="O137" s="37" t="n">
        <v>50</v>
      </c>
      <c r="P137" s="746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37" s="687" t="n"/>
      <c r="R137" s="687" t="n"/>
      <c r="S137" s="687" t="n"/>
      <c r="T137" s="688" t="n"/>
      <c r="U137" s="39" t="inlineStr"/>
      <c r="V137" s="39" t="inlineStr"/>
      <c r="W137" s="40" t="inlineStr">
        <is>
          <t>кг</t>
        </is>
      </c>
      <c r="X137" s="689" t="n">
        <v>0</v>
      </c>
      <c r="Y137" s="690">
        <f>IFERROR(IF(X137="",0,CEILING((X137/$H137),1)*$H137),"")</f>
        <v/>
      </c>
      <c r="Z137" s="41">
        <f>IFERROR(IF(Y137=0,"",ROUNDUP(Y137/H137,0)*0.01898),"")</f>
        <v/>
      </c>
      <c r="AA137" s="68" t="inlineStr"/>
      <c r="AB137" s="69" t="inlineStr"/>
      <c r="AC137" s="190" t="inlineStr">
        <is>
          <t>ЕАЭС N RU Д-RU.РА06.В.80141/22</t>
        </is>
      </c>
      <c r="AG137" s="78" t="n"/>
      <c r="AJ137" s="84" t="inlineStr"/>
      <c r="AK137" s="84" t="n">
        <v>0</v>
      </c>
      <c r="BB137" s="191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16.5" customHeight="1">
      <c r="A138" s="63" t="inlineStr">
        <is>
          <t>SU002757</t>
        </is>
      </c>
      <c r="B138" s="63" t="inlineStr">
        <is>
          <t>P003128</t>
        </is>
      </c>
      <c r="C138" s="36" t="n">
        <v>4301020220</v>
      </c>
      <c r="D138" s="401" t="n">
        <v>4680115880764</v>
      </c>
      <c r="E138" s="646" t="n"/>
      <c r="F138" s="685" t="n">
        <v>0.35</v>
      </c>
      <c r="G138" s="37" t="n">
        <v>6</v>
      </c>
      <c r="H138" s="685" t="n">
        <v>2.1</v>
      </c>
      <c r="I138" s="685" t="n">
        <v>2.28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СК1</t>
        </is>
      </c>
      <c r="N138" s="38" t="n"/>
      <c r="O138" s="37" t="n">
        <v>50</v>
      </c>
      <c r="P138" s="74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38" s="687" t="n"/>
      <c r="R138" s="687" t="n"/>
      <c r="S138" s="687" t="n"/>
      <c r="T138" s="688" t="n"/>
      <c r="U138" s="39" t="inlineStr"/>
      <c r="V138" s="39" t="inlineStr"/>
      <c r="W138" s="40" t="inlineStr">
        <is>
          <t>кг</t>
        </is>
      </c>
      <c r="X138" s="689" t="n">
        <v>0</v>
      </c>
      <c r="Y138" s="690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192" t="inlineStr">
        <is>
          <t>ЕАЭС N RU Д-RU.РА06.В.80141/22</t>
        </is>
      </c>
      <c r="AG138" s="78" t="n"/>
      <c r="AJ138" s="84" t="inlineStr"/>
      <c r="AK138" s="84" t="n">
        <v>0</v>
      </c>
      <c r="BB138" s="193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410" t="n"/>
      <c r="B139" s="397" t="n"/>
      <c r="C139" s="397" t="n"/>
      <c r="D139" s="397" t="n"/>
      <c r="E139" s="397" t="n"/>
      <c r="F139" s="397" t="n"/>
      <c r="G139" s="397" t="n"/>
      <c r="H139" s="397" t="n"/>
      <c r="I139" s="397" t="n"/>
      <c r="J139" s="397" t="n"/>
      <c r="K139" s="397" t="n"/>
      <c r="L139" s="397" t="n"/>
      <c r="M139" s="397" t="n"/>
      <c r="N139" s="397" t="n"/>
      <c r="O139" s="692" t="n"/>
      <c r="P139" s="693" t="inlineStr">
        <is>
          <t>Итого</t>
        </is>
      </c>
      <c r="Q139" s="654" t="n"/>
      <c r="R139" s="654" t="n"/>
      <c r="S139" s="654" t="n"/>
      <c r="T139" s="654" t="n"/>
      <c r="U139" s="654" t="n"/>
      <c r="V139" s="655" t="n"/>
      <c r="W139" s="42" t="inlineStr">
        <is>
          <t>кор</t>
        </is>
      </c>
      <c r="X139" s="694">
        <f>IFERROR(X137/H137,"0")+IFERROR(X138/H138,"0")</f>
        <v/>
      </c>
      <c r="Y139" s="694">
        <f>IFERROR(Y137/H137,"0")+IFERROR(Y138/H138,"0")</f>
        <v/>
      </c>
      <c r="Z139" s="694">
        <f>IFERROR(IF(Z137="",0,Z137),"0")+IFERROR(IF(Z138="",0,Z138),"0")</f>
        <v/>
      </c>
      <c r="AA139" s="695" t="n"/>
      <c r="AB139" s="695" t="n"/>
      <c r="AC139" s="695" t="n"/>
    </row>
    <row r="140">
      <c r="A140" s="397" t="n"/>
      <c r="B140" s="397" t="n"/>
      <c r="C140" s="397" t="n"/>
      <c r="D140" s="397" t="n"/>
      <c r="E140" s="397" t="n"/>
      <c r="F140" s="397" t="n"/>
      <c r="G140" s="397" t="n"/>
      <c r="H140" s="397" t="n"/>
      <c r="I140" s="397" t="n"/>
      <c r="J140" s="397" t="n"/>
      <c r="K140" s="397" t="n"/>
      <c r="L140" s="397" t="n"/>
      <c r="M140" s="397" t="n"/>
      <c r="N140" s="397" t="n"/>
      <c r="O140" s="692" t="n"/>
      <c r="P140" s="693" t="inlineStr">
        <is>
          <t>Итого</t>
        </is>
      </c>
      <c r="Q140" s="654" t="n"/>
      <c r="R140" s="654" t="n"/>
      <c r="S140" s="654" t="n"/>
      <c r="T140" s="654" t="n"/>
      <c r="U140" s="654" t="n"/>
      <c r="V140" s="655" t="n"/>
      <c r="W140" s="42" t="inlineStr">
        <is>
          <t>кг</t>
        </is>
      </c>
      <c r="X140" s="694">
        <f>IFERROR(SUM(X137:X138),"0")</f>
        <v/>
      </c>
      <c r="Y140" s="694">
        <f>IFERROR(SUM(Y137:Y138),"0")</f>
        <v/>
      </c>
      <c r="Z140" s="42" t="n"/>
      <c r="AA140" s="695" t="n"/>
      <c r="AB140" s="695" t="n"/>
      <c r="AC140" s="695" t="n"/>
    </row>
    <row r="141" ht="14.25" customHeight="1">
      <c r="A141" s="400" t="inlineStr">
        <is>
          <t>Копченые колбасы</t>
        </is>
      </c>
      <c r="B141" s="397" t="n"/>
      <c r="C141" s="397" t="n"/>
      <c r="D141" s="397" t="n"/>
      <c r="E141" s="397" t="n"/>
      <c r="F141" s="397" t="n"/>
      <c r="G141" s="397" t="n"/>
      <c r="H141" s="397" t="n"/>
      <c r="I141" s="397" t="n"/>
      <c r="J141" s="397" t="n"/>
      <c r="K141" s="397" t="n"/>
      <c r="L141" s="397" t="n"/>
      <c r="M141" s="397" t="n"/>
      <c r="N141" s="397" t="n"/>
      <c r="O141" s="397" t="n"/>
      <c r="P141" s="397" t="n"/>
      <c r="Q141" s="397" t="n"/>
      <c r="R141" s="397" t="n"/>
      <c r="S141" s="397" t="n"/>
      <c r="T141" s="397" t="n"/>
      <c r="U141" s="397" t="n"/>
      <c r="V141" s="397" t="n"/>
      <c r="W141" s="397" t="n"/>
      <c r="X141" s="397" t="n"/>
      <c r="Y141" s="397" t="n"/>
      <c r="Z141" s="397" t="n"/>
      <c r="AA141" s="400" t="n"/>
      <c r="AB141" s="400" t="n"/>
      <c r="AC141" s="400" t="n"/>
    </row>
    <row r="142" ht="27" customHeight="1">
      <c r="A142" s="63" t="inlineStr">
        <is>
          <t>SU002941</t>
        </is>
      </c>
      <c r="B142" s="63" t="inlineStr">
        <is>
          <t>P003387</t>
        </is>
      </c>
      <c r="C142" s="36" t="n">
        <v>4301031224</v>
      </c>
      <c r="D142" s="401" t="n">
        <v>4680115882683</v>
      </c>
      <c r="E142" s="646" t="n"/>
      <c r="F142" s="685" t="n">
        <v>0.9</v>
      </c>
      <c r="G142" s="37" t="n">
        <v>6</v>
      </c>
      <c r="H142" s="685" t="n">
        <v>5.4</v>
      </c>
      <c r="I142" s="685" t="n">
        <v>5.61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СК2</t>
        </is>
      </c>
      <c r="N142" s="38" t="n"/>
      <c r="O142" s="37" t="n">
        <v>40</v>
      </c>
      <c r="P142" s="74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42" s="687" t="n"/>
      <c r="R142" s="687" t="n"/>
      <c r="S142" s="687" t="n"/>
      <c r="T142" s="688" t="n"/>
      <c r="U142" s="39" t="inlineStr"/>
      <c r="V142" s="39" t="inlineStr"/>
      <c r="W142" s="40" t="inlineStr">
        <is>
          <t>кг</t>
        </is>
      </c>
      <c r="X142" s="689" t="n">
        <v>0</v>
      </c>
      <c r="Y142" s="690">
        <f>IFERROR(IF(X142="",0,CEILING((X142/$H142),1)*$H142),"")</f>
        <v/>
      </c>
      <c r="Z142" s="41">
        <f>IFERROR(IF(Y142=0,"",ROUNDUP(Y142/H142,0)*0.00902),"")</f>
        <v/>
      </c>
      <c r="AA142" s="68" t="inlineStr"/>
      <c r="AB142" s="69" t="inlineStr"/>
      <c r="AC142" s="194" t="inlineStr">
        <is>
          <t>ЕАЭС N RU Д-RU.РА04.В.74420/23</t>
        </is>
      </c>
      <c r="AG142" s="78" t="n"/>
      <c r="AJ142" s="84" t="inlineStr"/>
      <c r="AK142" s="84" t="n">
        <v>0</v>
      </c>
      <c r="BB142" s="195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27" customHeight="1">
      <c r="A143" s="63" t="inlineStr">
        <is>
          <t>SU002943</t>
        </is>
      </c>
      <c r="B143" s="63" t="inlineStr">
        <is>
          <t>P003401</t>
        </is>
      </c>
      <c r="C143" s="36" t="n">
        <v>4301031230</v>
      </c>
      <c r="D143" s="401" t="n">
        <v>4680115882690</v>
      </c>
      <c r="E143" s="646" t="n"/>
      <c r="F143" s="685" t="n">
        <v>0.9</v>
      </c>
      <c r="G143" s="37" t="n">
        <v>6</v>
      </c>
      <c r="H143" s="685" t="n">
        <v>5.4</v>
      </c>
      <c r="I143" s="685" t="n">
        <v>5.61</v>
      </c>
      <c r="J143" s="37" t="n">
        <v>132</v>
      </c>
      <c r="K143" s="37" t="inlineStr">
        <is>
          <t>12</t>
        </is>
      </c>
      <c r="L143" s="37" t="inlineStr"/>
      <c r="M143" s="38" t="inlineStr">
        <is>
          <t>СК2</t>
        </is>
      </c>
      <c r="N143" s="38" t="n"/>
      <c r="O143" s="37" t="n">
        <v>40</v>
      </c>
      <c r="P143" s="74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43" s="687" t="n"/>
      <c r="R143" s="687" t="n"/>
      <c r="S143" s="687" t="n"/>
      <c r="T143" s="688" t="n"/>
      <c r="U143" s="39" t="inlineStr"/>
      <c r="V143" s="39" t="inlineStr"/>
      <c r="W143" s="40" t="inlineStr">
        <is>
          <t>кг</t>
        </is>
      </c>
      <c r="X143" s="689" t="n">
        <v>0</v>
      </c>
      <c r="Y143" s="690">
        <f>IFERROR(IF(X143="",0,CEILING((X143/$H143),1)*$H143),"")</f>
        <v/>
      </c>
      <c r="Z143" s="41">
        <f>IFERROR(IF(Y143=0,"",ROUNDUP(Y143/H143,0)*0.00902),"")</f>
        <v/>
      </c>
      <c r="AA143" s="68" t="inlineStr"/>
      <c r="AB143" s="69" t="inlineStr"/>
      <c r="AC143" s="196" t="inlineStr">
        <is>
          <t>ЕАЭС N RU Д-RU.РА04.В.74256/23</t>
        </is>
      </c>
      <c r="AG143" s="78" t="n"/>
      <c r="AJ143" s="84" t="inlineStr"/>
      <c r="AK143" s="84" t="n">
        <v>0</v>
      </c>
      <c r="BB143" s="197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27" customHeight="1">
      <c r="A144" s="63" t="inlineStr">
        <is>
          <t>SU002945</t>
        </is>
      </c>
      <c r="B144" s="63" t="inlineStr">
        <is>
          <t>P003383</t>
        </is>
      </c>
      <c r="C144" s="36" t="n">
        <v>4301031220</v>
      </c>
      <c r="D144" s="401" t="n">
        <v>4680115882669</v>
      </c>
      <c r="E144" s="646" t="n"/>
      <c r="F144" s="685" t="n">
        <v>0.9</v>
      </c>
      <c r="G144" s="37" t="n">
        <v>6</v>
      </c>
      <c r="H144" s="685" t="n">
        <v>5.4</v>
      </c>
      <c r="I144" s="685" t="n">
        <v>5.61</v>
      </c>
      <c r="J144" s="37" t="n">
        <v>132</v>
      </c>
      <c r="K144" s="37" t="inlineStr">
        <is>
          <t>12</t>
        </is>
      </c>
      <c r="L144" s="37" t="inlineStr"/>
      <c r="M144" s="38" t="inlineStr">
        <is>
          <t>СК2</t>
        </is>
      </c>
      <c r="N144" s="38" t="n"/>
      <c r="O144" s="37" t="n">
        <v>40</v>
      </c>
      <c r="P144" s="75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44" s="687" t="n"/>
      <c r="R144" s="687" t="n"/>
      <c r="S144" s="687" t="n"/>
      <c r="T144" s="688" t="n"/>
      <c r="U144" s="39" t="inlineStr"/>
      <c r="V144" s="39" t="inlineStr"/>
      <c r="W144" s="40" t="inlineStr">
        <is>
          <t>кг</t>
        </is>
      </c>
      <c r="X144" s="689" t="n">
        <v>0</v>
      </c>
      <c r="Y144" s="690">
        <f>IFERROR(IF(X144="",0,CEILING((X144/$H144),1)*$H144),"")</f>
        <v/>
      </c>
      <c r="Z144" s="41">
        <f>IFERROR(IF(Y144=0,"",ROUNDUP(Y144/H144,0)*0.00902),"")</f>
        <v/>
      </c>
      <c r="AA144" s="68" t="inlineStr"/>
      <c r="AB144" s="69" t="inlineStr"/>
      <c r="AC144" s="198" t="inlineStr">
        <is>
          <t>ЕАЭС N RU Д-RU.РА04.В.93220/23</t>
        </is>
      </c>
      <c r="AG144" s="78" t="n"/>
      <c r="AJ144" s="84" t="inlineStr"/>
      <c r="AK144" s="84" t="n">
        <v>0</v>
      </c>
      <c r="BB144" s="199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 ht="27" customHeight="1">
      <c r="A145" s="63" t="inlineStr">
        <is>
          <t>SU002947</t>
        </is>
      </c>
      <c r="B145" s="63" t="inlineStr">
        <is>
          <t>P003384</t>
        </is>
      </c>
      <c r="C145" s="36" t="n">
        <v>4301031221</v>
      </c>
      <c r="D145" s="401" t="n">
        <v>4680115882676</v>
      </c>
      <c r="E145" s="646" t="n"/>
      <c r="F145" s="685" t="n">
        <v>0.9</v>
      </c>
      <c r="G145" s="37" t="n">
        <v>6</v>
      </c>
      <c r="H145" s="685" t="n">
        <v>5.4</v>
      </c>
      <c r="I145" s="685" t="n">
        <v>5.61</v>
      </c>
      <c r="J145" s="37" t="n">
        <v>132</v>
      </c>
      <c r="K145" s="37" t="inlineStr">
        <is>
          <t>12</t>
        </is>
      </c>
      <c r="L145" s="37" t="inlineStr"/>
      <c r="M145" s="38" t="inlineStr">
        <is>
          <t>СК2</t>
        </is>
      </c>
      <c r="N145" s="38" t="n"/>
      <c r="O145" s="37" t="n">
        <v>40</v>
      </c>
      <c r="P145" s="75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145" s="687" t="n"/>
      <c r="R145" s="687" t="n"/>
      <c r="S145" s="687" t="n"/>
      <c r="T145" s="688" t="n"/>
      <c r="U145" s="39" t="inlineStr"/>
      <c r="V145" s="39" t="inlineStr"/>
      <c r="W145" s="40" t="inlineStr">
        <is>
          <t>кг</t>
        </is>
      </c>
      <c r="X145" s="689" t="n">
        <v>0</v>
      </c>
      <c r="Y145" s="690">
        <f>IFERROR(IF(X145="",0,CEILING((X145/$H145),1)*$H145),"")</f>
        <v/>
      </c>
      <c r="Z145" s="41">
        <f>IFERROR(IF(Y145=0,"",ROUNDUP(Y145/H145,0)*0.00902),"")</f>
        <v/>
      </c>
      <c r="AA145" s="68" t="inlineStr"/>
      <c r="AB145" s="69" t="inlineStr"/>
      <c r="AC145" s="200" t="inlineStr">
        <is>
          <t>ЕАЭС N RU Д-RU.РА04.В.93161/23</t>
        </is>
      </c>
      <c r="AG145" s="78" t="n"/>
      <c r="AJ145" s="84" t="inlineStr"/>
      <c r="AK145" s="84" t="n">
        <v>0</v>
      </c>
      <c r="BB145" s="201" t="inlineStr">
        <is>
          <t>КИ</t>
        </is>
      </c>
      <c r="BM145" s="78">
        <f>IFERROR(X145*I145/H145,"0")</f>
        <v/>
      </c>
      <c r="BN145" s="78">
        <f>IFERROR(Y145*I145/H145,"0")</f>
        <v/>
      </c>
      <c r="BO145" s="78">
        <f>IFERROR(1/J145*(X145/H145),"0")</f>
        <v/>
      </c>
      <c r="BP145" s="78">
        <f>IFERROR(1/J145*(Y145/H145),"0")</f>
        <v/>
      </c>
    </row>
    <row r="146">
      <c r="A146" s="410" t="n"/>
      <c r="B146" s="397" t="n"/>
      <c r="C146" s="397" t="n"/>
      <c r="D146" s="397" t="n"/>
      <c r="E146" s="397" t="n"/>
      <c r="F146" s="397" t="n"/>
      <c r="G146" s="397" t="n"/>
      <c r="H146" s="397" t="n"/>
      <c r="I146" s="397" t="n"/>
      <c r="J146" s="397" t="n"/>
      <c r="K146" s="397" t="n"/>
      <c r="L146" s="397" t="n"/>
      <c r="M146" s="397" t="n"/>
      <c r="N146" s="397" t="n"/>
      <c r="O146" s="692" t="n"/>
      <c r="P146" s="693" t="inlineStr">
        <is>
          <t>Итого</t>
        </is>
      </c>
      <c r="Q146" s="654" t="n"/>
      <c r="R146" s="654" t="n"/>
      <c r="S146" s="654" t="n"/>
      <c r="T146" s="654" t="n"/>
      <c r="U146" s="654" t="n"/>
      <c r="V146" s="655" t="n"/>
      <c r="W146" s="42" t="inlineStr">
        <is>
          <t>кор</t>
        </is>
      </c>
      <c r="X146" s="694">
        <f>IFERROR(X142/H142,"0")+IFERROR(X143/H143,"0")+IFERROR(X144/H144,"0")+IFERROR(X145/H145,"0")</f>
        <v/>
      </c>
      <c r="Y146" s="694">
        <f>IFERROR(Y142/H142,"0")+IFERROR(Y143/H143,"0")+IFERROR(Y144/H144,"0")+IFERROR(Y145/H145,"0")</f>
        <v/>
      </c>
      <c r="Z146" s="694">
        <f>IFERROR(IF(Z142="",0,Z142),"0")+IFERROR(IF(Z143="",0,Z143),"0")+IFERROR(IF(Z144="",0,Z144),"0")+IFERROR(IF(Z145="",0,Z145),"0")</f>
        <v/>
      </c>
      <c r="AA146" s="695" t="n"/>
      <c r="AB146" s="695" t="n"/>
      <c r="AC146" s="695" t="n"/>
    </row>
    <row r="147">
      <c r="A147" s="397" t="n"/>
      <c r="B147" s="397" t="n"/>
      <c r="C147" s="397" t="n"/>
      <c r="D147" s="397" t="n"/>
      <c r="E147" s="397" t="n"/>
      <c r="F147" s="397" t="n"/>
      <c r="G147" s="397" t="n"/>
      <c r="H147" s="397" t="n"/>
      <c r="I147" s="397" t="n"/>
      <c r="J147" s="397" t="n"/>
      <c r="K147" s="397" t="n"/>
      <c r="L147" s="397" t="n"/>
      <c r="M147" s="397" t="n"/>
      <c r="N147" s="397" t="n"/>
      <c r="O147" s="692" t="n"/>
      <c r="P147" s="693" t="inlineStr">
        <is>
          <t>Итого</t>
        </is>
      </c>
      <c r="Q147" s="654" t="n"/>
      <c r="R147" s="654" t="n"/>
      <c r="S147" s="654" t="n"/>
      <c r="T147" s="654" t="n"/>
      <c r="U147" s="654" t="n"/>
      <c r="V147" s="655" t="n"/>
      <c r="W147" s="42" t="inlineStr">
        <is>
          <t>кг</t>
        </is>
      </c>
      <c r="X147" s="694">
        <f>IFERROR(SUM(X142:X145),"0")</f>
        <v/>
      </c>
      <c r="Y147" s="694">
        <f>IFERROR(SUM(Y142:Y145),"0")</f>
        <v/>
      </c>
      <c r="Z147" s="42" t="n"/>
      <c r="AA147" s="695" t="n"/>
      <c r="AB147" s="695" t="n"/>
      <c r="AC147" s="695" t="n"/>
    </row>
    <row r="148" ht="14.25" customHeight="1">
      <c r="A148" s="400" t="inlineStr">
        <is>
          <t>Сосиски</t>
        </is>
      </c>
      <c r="B148" s="397" t="n"/>
      <c r="C148" s="397" t="n"/>
      <c r="D148" s="397" t="n"/>
      <c r="E148" s="397" t="n"/>
      <c r="F148" s="397" t="n"/>
      <c r="G148" s="397" t="n"/>
      <c r="H148" s="397" t="n"/>
      <c r="I148" s="397" t="n"/>
      <c r="J148" s="397" t="n"/>
      <c r="K148" s="397" t="n"/>
      <c r="L148" s="397" t="n"/>
      <c r="M148" s="397" t="n"/>
      <c r="N148" s="397" t="n"/>
      <c r="O148" s="397" t="n"/>
      <c r="P148" s="397" t="n"/>
      <c r="Q148" s="397" t="n"/>
      <c r="R148" s="397" t="n"/>
      <c r="S148" s="397" t="n"/>
      <c r="T148" s="397" t="n"/>
      <c r="U148" s="397" t="n"/>
      <c r="V148" s="397" t="n"/>
      <c r="W148" s="397" t="n"/>
      <c r="X148" s="397" t="n"/>
      <c r="Y148" s="397" t="n"/>
      <c r="Z148" s="397" t="n"/>
      <c r="AA148" s="400" t="n"/>
      <c r="AB148" s="400" t="n"/>
      <c r="AC148" s="400" t="n"/>
    </row>
    <row r="149" ht="27" customHeight="1">
      <c r="A149" s="63" t="inlineStr">
        <is>
          <t>SU002843</t>
        </is>
      </c>
      <c r="B149" s="63" t="inlineStr">
        <is>
          <t>P003263</t>
        </is>
      </c>
      <c r="C149" s="36" t="n">
        <v>4301051408</v>
      </c>
      <c r="D149" s="401" t="n">
        <v>4680115881594</v>
      </c>
      <c r="E149" s="646" t="n"/>
      <c r="F149" s="685" t="n">
        <v>1.35</v>
      </c>
      <c r="G149" s="37" t="n">
        <v>6</v>
      </c>
      <c r="H149" s="685" t="n">
        <v>8.1</v>
      </c>
      <c r="I149" s="685" t="n">
        <v>8.619</v>
      </c>
      <c r="J149" s="37" t="n">
        <v>64</v>
      </c>
      <c r="K149" s="37" t="inlineStr">
        <is>
          <t>8</t>
        </is>
      </c>
      <c r="L149" s="37" t="inlineStr"/>
      <c r="M149" s="38" t="inlineStr">
        <is>
          <t>СК3</t>
        </is>
      </c>
      <c r="N149" s="38" t="n"/>
      <c r="O149" s="37" t="n">
        <v>40</v>
      </c>
      <c r="P149" s="75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149" s="687" t="n"/>
      <c r="R149" s="687" t="n"/>
      <c r="S149" s="687" t="n"/>
      <c r="T149" s="688" t="n"/>
      <c r="U149" s="39" t="inlineStr"/>
      <c r="V149" s="39" t="inlineStr"/>
      <c r="W149" s="40" t="inlineStr">
        <is>
          <t>кг</t>
        </is>
      </c>
      <c r="X149" s="689" t="n">
        <v>0</v>
      </c>
      <c r="Y149" s="690">
        <f>IFERROR(IF(X149="",0,CEILING((X149/$H149),1)*$H149),"")</f>
        <v/>
      </c>
      <c r="Z149" s="41">
        <f>IFERROR(IF(Y149=0,"",ROUNDUP(Y149/H149,0)*0.01898),"")</f>
        <v/>
      </c>
      <c r="AA149" s="68" t="inlineStr"/>
      <c r="AB149" s="69" t="inlineStr"/>
      <c r="AC149" s="202" t="inlineStr">
        <is>
          <t>ЕАЭС N RU Д-RU.РА01.В.99284/23, ЕАЭС N RU Д-RU.РА01.В.99309/23</t>
        </is>
      </c>
      <c r="AG149" s="78" t="n"/>
      <c r="AJ149" s="84" t="inlineStr"/>
      <c r="AK149" s="84" t="n">
        <v>0</v>
      </c>
      <c r="BB149" s="203" t="inlineStr">
        <is>
          <t>КИ</t>
        </is>
      </c>
      <c r="BM149" s="78">
        <f>IFERROR(X149*I149/H149,"0")</f>
        <v/>
      </c>
      <c r="BN149" s="78">
        <f>IFERROR(Y149*I149/H149,"0")</f>
        <v/>
      </c>
      <c r="BO149" s="78">
        <f>IFERROR(1/J149*(X149/H149),"0")</f>
        <v/>
      </c>
      <c r="BP149" s="78">
        <f>IFERROR(1/J149*(Y149/H149),"0")</f>
        <v/>
      </c>
    </row>
    <row r="150" ht="27" customHeight="1">
      <c r="A150" s="63" t="inlineStr">
        <is>
          <t>SU002845</t>
        </is>
      </c>
      <c r="B150" s="63" t="inlineStr">
        <is>
          <t>P003266</t>
        </is>
      </c>
      <c r="C150" s="36" t="n">
        <v>4301051411</v>
      </c>
      <c r="D150" s="401" t="n">
        <v>4680115881617</v>
      </c>
      <c r="E150" s="646" t="n"/>
      <c r="F150" s="685" t="n">
        <v>1.35</v>
      </c>
      <c r="G150" s="37" t="n">
        <v>6</v>
      </c>
      <c r="H150" s="685" t="n">
        <v>8.1</v>
      </c>
      <c r="I150" s="685" t="n">
        <v>8.601000000000001</v>
      </c>
      <c r="J150" s="37" t="n">
        <v>64</v>
      </c>
      <c r="K150" s="37" t="inlineStr">
        <is>
          <t>8</t>
        </is>
      </c>
      <c r="L150" s="37" t="inlineStr"/>
      <c r="M150" s="38" t="inlineStr">
        <is>
          <t>СК3</t>
        </is>
      </c>
      <c r="N150" s="38" t="n"/>
      <c r="O150" s="37" t="n">
        <v>40</v>
      </c>
      <c r="P150" s="75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150" s="687" t="n"/>
      <c r="R150" s="687" t="n"/>
      <c r="S150" s="687" t="n"/>
      <c r="T150" s="688" t="n"/>
      <c r="U150" s="39" t="inlineStr"/>
      <c r="V150" s="39" t="inlineStr"/>
      <c r="W150" s="40" t="inlineStr">
        <is>
          <t>кг</t>
        </is>
      </c>
      <c r="X150" s="689" t="n">
        <v>0</v>
      </c>
      <c r="Y150" s="690">
        <f>IFERROR(IF(X150="",0,CEILING((X150/$H150),1)*$H150),"")</f>
        <v/>
      </c>
      <c r="Z150" s="41">
        <f>IFERROR(IF(Y150=0,"",ROUNDUP(Y150/H150,0)*0.01898),"")</f>
        <v/>
      </c>
      <c r="AA150" s="68" t="inlineStr"/>
      <c r="AB150" s="69" t="inlineStr"/>
      <c r="AC150" s="204" t="inlineStr">
        <is>
          <t>ЕАЭС N RU Д-RU.РА01.В.99153/23, ЕАЭС N RU Д-RU.РА01.В.99184/23</t>
        </is>
      </c>
      <c r="AG150" s="78" t="n"/>
      <c r="AJ150" s="84" t="inlineStr"/>
      <c r="AK150" s="84" t="n">
        <v>0</v>
      </c>
      <c r="BB150" s="205" t="inlineStr">
        <is>
          <t>КИ</t>
        </is>
      </c>
      <c r="BM150" s="78">
        <f>IFERROR(X150*I150/H150,"0")</f>
        <v/>
      </c>
      <c r="BN150" s="78">
        <f>IFERROR(Y150*I150/H150,"0")</f>
        <v/>
      </c>
      <c r="BO150" s="78">
        <f>IFERROR(1/J150*(X150/H150),"0")</f>
        <v/>
      </c>
      <c r="BP150" s="78">
        <f>IFERROR(1/J150*(Y150/H150),"0")</f>
        <v/>
      </c>
    </row>
    <row r="151" ht="16.5" customHeight="1">
      <c r="A151" s="63" t="inlineStr">
        <is>
          <t>SU002725</t>
        </is>
      </c>
      <c r="B151" s="63" t="inlineStr">
        <is>
          <t>P003959</t>
        </is>
      </c>
      <c r="C151" s="36" t="n">
        <v>4301051656</v>
      </c>
      <c r="D151" s="401" t="n">
        <v>4680115880573</v>
      </c>
      <c r="E151" s="646" t="n"/>
      <c r="F151" s="685" t="n">
        <v>1.45</v>
      </c>
      <c r="G151" s="37" t="n">
        <v>6</v>
      </c>
      <c r="H151" s="685" t="n">
        <v>8.699999999999999</v>
      </c>
      <c r="I151" s="685" t="n">
        <v>9.218999999999999</v>
      </c>
      <c r="J151" s="37" t="n">
        <v>64</v>
      </c>
      <c r="K151" s="37" t="inlineStr">
        <is>
          <t>8</t>
        </is>
      </c>
      <c r="L151" s="37" t="inlineStr"/>
      <c r="M151" s="38" t="inlineStr">
        <is>
          <t>СК3</t>
        </is>
      </c>
      <c r="N151" s="38" t="n"/>
      <c r="O151" s="37" t="n">
        <v>45</v>
      </c>
      <c r="P151" s="754">
        <f>HYPERLINK("https://abi.ru/products/Охлажденные/Стародворье/Сочинка/Сосиски/P003959/","Сосиски «Сочинки» Весовой п/а ТМ «Стародворье»")</f>
        <v/>
      </c>
      <c r="Q151" s="687" t="n"/>
      <c r="R151" s="687" t="n"/>
      <c r="S151" s="687" t="n"/>
      <c r="T151" s="688" t="n"/>
      <c r="U151" s="39" t="inlineStr"/>
      <c r="V151" s="39" t="inlineStr"/>
      <c r="W151" s="40" t="inlineStr">
        <is>
          <t>кг</t>
        </is>
      </c>
      <c r="X151" s="689" t="n">
        <v>0</v>
      </c>
      <c r="Y151" s="690">
        <f>IFERROR(IF(X151="",0,CEILING((X151/$H151),1)*$H151),"")</f>
        <v/>
      </c>
      <c r="Z151" s="41">
        <f>IFERROR(IF(Y151=0,"",ROUNDUP(Y151/H151,0)*0.01898),"")</f>
        <v/>
      </c>
      <c r="AA151" s="68" t="inlineStr"/>
      <c r="AB151" s="69" t="inlineStr"/>
      <c r="AC151" s="206" t="inlineStr">
        <is>
          <t>ЕАЭС N RU Д-RU.РА01.В.93966/24</t>
        </is>
      </c>
      <c r="AG151" s="78" t="n"/>
      <c r="AJ151" s="84" t="inlineStr"/>
      <c r="AK151" s="84" t="n">
        <v>0</v>
      </c>
      <c r="BB151" s="207" t="inlineStr">
        <is>
          <t>КИ</t>
        </is>
      </c>
      <c r="BM151" s="78">
        <f>IFERROR(X151*I151/H151,"0")</f>
        <v/>
      </c>
      <c r="BN151" s="78">
        <f>IFERROR(Y151*I151/H151,"0")</f>
        <v/>
      </c>
      <c r="BO151" s="78">
        <f>IFERROR(1/J151*(X151/H151),"0")</f>
        <v/>
      </c>
      <c r="BP151" s="78">
        <f>IFERROR(1/J151*(Y151/H151),"0")</f>
        <v/>
      </c>
    </row>
    <row r="152" ht="27" customHeight="1">
      <c r="A152" s="63" t="inlineStr">
        <is>
          <t>SU002842</t>
        </is>
      </c>
      <c r="B152" s="63" t="inlineStr">
        <is>
          <t>P003262</t>
        </is>
      </c>
      <c r="C152" s="36" t="n">
        <v>4301051407</v>
      </c>
      <c r="D152" s="401" t="n">
        <v>4680115882195</v>
      </c>
      <c r="E152" s="646" t="n"/>
      <c r="F152" s="685" t="n">
        <v>0.4</v>
      </c>
      <c r="G152" s="37" t="n">
        <v>6</v>
      </c>
      <c r="H152" s="685" t="n">
        <v>2.4</v>
      </c>
      <c r="I152" s="685" t="n">
        <v>2.67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СК3</t>
        </is>
      </c>
      <c r="N152" s="38" t="n"/>
      <c r="O152" s="37" t="n">
        <v>40</v>
      </c>
      <c r="P152" s="75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152" s="687" t="n"/>
      <c r="R152" s="687" t="n"/>
      <c r="S152" s="687" t="n"/>
      <c r="T152" s="688" t="n"/>
      <c r="U152" s="39" t="inlineStr"/>
      <c r="V152" s="39" t="inlineStr"/>
      <c r="W152" s="40" t="inlineStr">
        <is>
          <t>кг</t>
        </is>
      </c>
      <c r="X152" s="689" t="n">
        <v>0</v>
      </c>
      <c r="Y152" s="690">
        <f>IFERROR(IF(X152="",0,CEILING((X152/$H152),1)*$H152),"")</f>
        <v/>
      </c>
      <c r="Z152" s="41">
        <f>IFERROR(IF(Y152=0,"",ROUNDUP(Y152/H152,0)*0.00651),"")</f>
        <v/>
      </c>
      <c r="AA152" s="68" t="inlineStr"/>
      <c r="AB152" s="69" t="inlineStr"/>
      <c r="AC152" s="208" t="inlineStr">
        <is>
          <t>ЕАЭС N RU Д-RU.РА01.В.99284/23, ЕАЭС N RU Д-RU.РА01.В.99309/23</t>
        </is>
      </c>
      <c r="AG152" s="78" t="n"/>
      <c r="AJ152" s="84" t="inlineStr"/>
      <c r="AK152" s="84" t="n">
        <v>0</v>
      </c>
      <c r="BB152" s="209" t="inlineStr">
        <is>
          <t>КИ</t>
        </is>
      </c>
      <c r="BM152" s="78">
        <f>IFERROR(X152*I152/H152,"0")</f>
        <v/>
      </c>
      <c r="BN152" s="78">
        <f>IFERROR(Y152*I152/H152,"0")</f>
        <v/>
      </c>
      <c r="BO152" s="78">
        <f>IFERROR(1/J152*(X152/H152),"0")</f>
        <v/>
      </c>
      <c r="BP152" s="78">
        <f>IFERROR(1/J152*(Y152/H152),"0")</f>
        <v/>
      </c>
    </row>
    <row r="153" ht="27" customHeight="1">
      <c r="A153" s="63" t="inlineStr">
        <is>
          <t>SU002992</t>
        </is>
      </c>
      <c r="B153" s="63" t="inlineStr">
        <is>
          <t>P004147</t>
        </is>
      </c>
      <c r="C153" s="36" t="n">
        <v>4301051752</v>
      </c>
      <c r="D153" s="401" t="n">
        <v>4680115882607</v>
      </c>
      <c r="E153" s="646" t="n"/>
      <c r="F153" s="685" t="n">
        <v>0.3</v>
      </c>
      <c r="G153" s="37" t="n">
        <v>6</v>
      </c>
      <c r="H153" s="685" t="n">
        <v>1.8</v>
      </c>
      <c r="I153" s="685" t="n">
        <v>2.052</v>
      </c>
      <c r="J153" s="37" t="n">
        <v>182</v>
      </c>
      <c r="K153" s="37" t="inlineStr">
        <is>
          <t>14</t>
        </is>
      </c>
      <c r="L153" s="37" t="inlineStr"/>
      <c r="M153" s="38" t="inlineStr">
        <is>
          <t>СК4</t>
        </is>
      </c>
      <c r="N153" s="38" t="n"/>
      <c r="O153" s="37" t="n">
        <v>45</v>
      </c>
      <c r="P153" s="756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153" s="687" t="n"/>
      <c r="R153" s="687" t="n"/>
      <c r="S153" s="687" t="n"/>
      <c r="T153" s="688" t="n"/>
      <c r="U153" s="39" t="inlineStr"/>
      <c r="V153" s="39" t="inlineStr"/>
      <c r="W153" s="40" t="inlineStr">
        <is>
          <t>кг</t>
        </is>
      </c>
      <c r="X153" s="689" t="n">
        <v>0</v>
      </c>
      <c r="Y153" s="690">
        <f>IFERROR(IF(X153="",0,CEILING((X153/$H153),1)*$H153),"")</f>
        <v/>
      </c>
      <c r="Z153" s="41">
        <f>IFERROR(IF(Y153=0,"",ROUNDUP(Y153/H153,0)*0.00651),"")</f>
        <v/>
      </c>
      <c r="AA153" s="68" t="inlineStr"/>
      <c r="AB153" s="69" t="inlineStr"/>
      <c r="AC153" s="210" t="inlineStr">
        <is>
          <t>ЕАЭС N RU Д-RU.РА01.В.93966/24, ЕАЭС N RU Д-RU.РА08.В.57431/22</t>
        </is>
      </c>
      <c r="AG153" s="78" t="n"/>
      <c r="AJ153" s="84" t="inlineStr"/>
      <c r="AK153" s="84" t="n">
        <v>0</v>
      </c>
      <c r="BB153" s="211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 ht="27" customHeight="1">
      <c r="A154" s="63" t="inlineStr">
        <is>
          <t>SU002618</t>
        </is>
      </c>
      <c r="B154" s="63" t="inlineStr">
        <is>
          <t>P003957</t>
        </is>
      </c>
      <c r="C154" s="36" t="n">
        <v>4301051666</v>
      </c>
      <c r="D154" s="401" t="n">
        <v>4680115880092</v>
      </c>
      <c r="E154" s="646" t="n"/>
      <c r="F154" s="685" t="n">
        <v>0.4</v>
      </c>
      <c r="G154" s="37" t="n">
        <v>6</v>
      </c>
      <c r="H154" s="685" t="n">
        <v>2.4</v>
      </c>
      <c r="I154" s="685" t="n">
        <v>2.652</v>
      </c>
      <c r="J154" s="37" t="n">
        <v>182</v>
      </c>
      <c r="K154" s="37" t="inlineStr">
        <is>
          <t>14</t>
        </is>
      </c>
      <c r="L154" s="37" t="inlineStr"/>
      <c r="M154" s="38" t="inlineStr">
        <is>
          <t>СК3</t>
        </is>
      </c>
      <c r="N154" s="38" t="n"/>
      <c r="O154" s="37" t="n">
        <v>45</v>
      </c>
      <c r="P154" s="75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154" s="687" t="n"/>
      <c r="R154" s="687" t="n"/>
      <c r="S154" s="687" t="n"/>
      <c r="T154" s="688" t="n"/>
      <c r="U154" s="39" t="inlineStr"/>
      <c r="V154" s="39" t="inlineStr"/>
      <c r="W154" s="40" t="inlineStr">
        <is>
          <t>кг</t>
        </is>
      </c>
      <c r="X154" s="689" t="n">
        <v>100</v>
      </c>
      <c r="Y154" s="690">
        <f>IFERROR(IF(X154="",0,CEILING((X154/$H154),1)*$H154),"")</f>
        <v/>
      </c>
      <c r="Z154" s="41">
        <f>IFERROR(IF(Y154=0,"",ROUNDUP(Y154/H154,0)*0.00651),"")</f>
        <v/>
      </c>
      <c r="AA154" s="68" t="inlineStr"/>
      <c r="AB154" s="69" t="inlineStr"/>
      <c r="AC154" s="212" t="inlineStr">
        <is>
          <t>ЕАЭС N RU Д-RU.РА01.В.93966/24</t>
        </is>
      </c>
      <c r="AG154" s="78" t="n"/>
      <c r="AJ154" s="84" t="inlineStr"/>
      <c r="AK154" s="84" t="n">
        <v>0</v>
      </c>
      <c r="BB154" s="213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 ht="27" customHeight="1">
      <c r="A155" s="63" t="inlineStr">
        <is>
          <t>SU002621</t>
        </is>
      </c>
      <c r="B155" s="63" t="inlineStr">
        <is>
          <t>P003958</t>
        </is>
      </c>
      <c r="C155" s="36" t="n">
        <v>4301051668</v>
      </c>
      <c r="D155" s="401" t="n">
        <v>4680115880221</v>
      </c>
      <c r="E155" s="646" t="n"/>
      <c r="F155" s="685" t="n">
        <v>0.4</v>
      </c>
      <c r="G155" s="37" t="n">
        <v>6</v>
      </c>
      <c r="H155" s="685" t="n">
        <v>2.4</v>
      </c>
      <c r="I155" s="685" t="n">
        <v>2.652</v>
      </c>
      <c r="J155" s="37" t="n">
        <v>182</v>
      </c>
      <c r="K155" s="37" t="inlineStr">
        <is>
          <t>14</t>
        </is>
      </c>
      <c r="L155" s="37" t="inlineStr"/>
      <c r="M155" s="38" t="inlineStr">
        <is>
          <t>СК3</t>
        </is>
      </c>
      <c r="N155" s="38" t="n"/>
      <c r="O155" s="37" t="n">
        <v>45</v>
      </c>
      <c r="P155" s="758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155" s="687" t="n"/>
      <c r="R155" s="687" t="n"/>
      <c r="S155" s="687" t="n"/>
      <c r="T155" s="688" t="n"/>
      <c r="U155" s="39" t="inlineStr"/>
      <c r="V155" s="39" t="inlineStr"/>
      <c r="W155" s="40" t="inlineStr">
        <is>
          <t>кг</t>
        </is>
      </c>
      <c r="X155" s="689" t="n">
        <v>100</v>
      </c>
      <c r="Y155" s="690">
        <f>IFERROR(IF(X155="",0,CEILING((X155/$H155),1)*$H155),"")</f>
        <v/>
      </c>
      <c r="Z155" s="41">
        <f>IFERROR(IF(Y155=0,"",ROUNDUP(Y155/H155,0)*0.00651),"")</f>
        <v/>
      </c>
      <c r="AA155" s="68" t="inlineStr"/>
      <c r="AB155" s="69" t="inlineStr"/>
      <c r="AC155" s="214" t="inlineStr">
        <is>
          <t>ЕАЭС N RU Д-RU.РА01.В.93966/24</t>
        </is>
      </c>
      <c r="AG155" s="78" t="n"/>
      <c r="AJ155" s="84" t="inlineStr"/>
      <c r="AK155" s="84" t="n">
        <v>0</v>
      </c>
      <c r="BB155" s="215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 ht="27" customHeight="1">
      <c r="A156" s="63" t="inlineStr">
        <is>
          <t>SU002844</t>
        </is>
      </c>
      <c r="B156" s="63" t="inlineStr">
        <is>
          <t>P003265</t>
        </is>
      </c>
      <c r="C156" s="36" t="n">
        <v>4301051410</v>
      </c>
      <c r="D156" s="401" t="n">
        <v>4680115882164</v>
      </c>
      <c r="E156" s="646" t="n"/>
      <c r="F156" s="685" t="n">
        <v>0.4</v>
      </c>
      <c r="G156" s="37" t="n">
        <v>6</v>
      </c>
      <c r="H156" s="685" t="n">
        <v>2.4</v>
      </c>
      <c r="I156" s="685" t="n">
        <v>2.658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СК3</t>
        </is>
      </c>
      <c r="N156" s="38" t="n"/>
      <c r="O156" s="37" t="n">
        <v>40</v>
      </c>
      <c r="P156" s="75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156" s="687" t="n"/>
      <c r="R156" s="687" t="n"/>
      <c r="S156" s="687" t="n"/>
      <c r="T156" s="688" t="n"/>
      <c r="U156" s="39" t="inlineStr"/>
      <c r="V156" s="39" t="inlineStr"/>
      <c r="W156" s="40" t="inlineStr">
        <is>
          <t>кг</t>
        </is>
      </c>
      <c r="X156" s="689" t="n">
        <v>0</v>
      </c>
      <c r="Y156" s="690">
        <f>IFERROR(IF(X156="",0,CEILING((X156/$H156),1)*$H156),"")</f>
        <v/>
      </c>
      <c r="Z156" s="41">
        <f>IFERROR(IF(Y156=0,"",ROUNDUP(Y156/H156,0)*0.00651),"")</f>
        <v/>
      </c>
      <c r="AA156" s="68" t="inlineStr"/>
      <c r="AB156" s="69" t="inlineStr"/>
      <c r="AC156" s="216" t="inlineStr">
        <is>
          <t>ЕАЭС N RU Д-RU.РА01.В.99153/23, ЕАЭС N RU Д-RU.РА01.В.99184/23</t>
        </is>
      </c>
      <c r="AG156" s="78" t="n"/>
      <c r="AJ156" s="84" t="inlineStr"/>
      <c r="AK156" s="84" t="n">
        <v>0</v>
      </c>
      <c r="BB156" s="217" t="inlineStr">
        <is>
          <t>КИ</t>
        </is>
      </c>
      <c r="BM156" s="78">
        <f>IFERROR(X156*I156/H156,"0")</f>
        <v/>
      </c>
      <c r="BN156" s="78">
        <f>IFERROR(Y156*I156/H156,"0")</f>
        <v/>
      </c>
      <c r="BO156" s="78">
        <f>IFERROR(1/J156*(X156/H156),"0")</f>
        <v/>
      </c>
      <c r="BP156" s="78">
        <f>IFERROR(1/J156*(Y156/H156),"0")</f>
        <v/>
      </c>
    </row>
    <row r="157">
      <c r="A157" s="410" t="n"/>
      <c r="B157" s="397" t="n"/>
      <c r="C157" s="397" t="n"/>
      <c r="D157" s="397" t="n"/>
      <c r="E157" s="397" t="n"/>
      <c r="F157" s="397" t="n"/>
      <c r="G157" s="397" t="n"/>
      <c r="H157" s="397" t="n"/>
      <c r="I157" s="397" t="n"/>
      <c r="J157" s="397" t="n"/>
      <c r="K157" s="397" t="n"/>
      <c r="L157" s="397" t="n"/>
      <c r="M157" s="397" t="n"/>
      <c r="N157" s="397" t="n"/>
      <c r="O157" s="692" t="n"/>
      <c r="P157" s="693" t="inlineStr">
        <is>
          <t>Итого</t>
        </is>
      </c>
      <c r="Q157" s="654" t="n"/>
      <c r="R157" s="654" t="n"/>
      <c r="S157" s="654" t="n"/>
      <c r="T157" s="654" t="n"/>
      <c r="U157" s="654" t="n"/>
      <c r="V157" s="655" t="n"/>
      <c r="W157" s="42" t="inlineStr">
        <is>
          <t>кор</t>
        </is>
      </c>
      <c r="X157" s="694">
        <f>IFERROR(X149/H149,"0")+IFERROR(X150/H150,"0")+IFERROR(X151/H151,"0")+IFERROR(X152/H152,"0")+IFERROR(X153/H153,"0")+IFERROR(X154/H154,"0")+IFERROR(X155/H155,"0")+IFERROR(X156/H156,"0")</f>
        <v/>
      </c>
      <c r="Y157" s="694">
        <f>IFERROR(Y149/H149,"0")+IFERROR(Y150/H150,"0")+IFERROR(Y151/H151,"0")+IFERROR(Y152/H152,"0")+IFERROR(Y153/H153,"0")+IFERROR(Y154/H154,"0")+IFERROR(Y155/H155,"0")+IFERROR(Y156/H156,"0")</f>
        <v/>
      </c>
      <c r="Z157" s="694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/>
      </c>
      <c r="AA157" s="695" t="n"/>
      <c r="AB157" s="695" t="n"/>
      <c r="AC157" s="695" t="n"/>
    </row>
    <row r="158">
      <c r="A158" s="397" t="n"/>
      <c r="B158" s="397" t="n"/>
      <c r="C158" s="397" t="n"/>
      <c r="D158" s="397" t="n"/>
      <c r="E158" s="397" t="n"/>
      <c r="F158" s="397" t="n"/>
      <c r="G158" s="397" t="n"/>
      <c r="H158" s="397" t="n"/>
      <c r="I158" s="397" t="n"/>
      <c r="J158" s="397" t="n"/>
      <c r="K158" s="397" t="n"/>
      <c r="L158" s="397" t="n"/>
      <c r="M158" s="397" t="n"/>
      <c r="N158" s="397" t="n"/>
      <c r="O158" s="692" t="n"/>
      <c r="P158" s="693" t="inlineStr">
        <is>
          <t>Итого</t>
        </is>
      </c>
      <c r="Q158" s="654" t="n"/>
      <c r="R158" s="654" t="n"/>
      <c r="S158" s="654" t="n"/>
      <c r="T158" s="654" t="n"/>
      <c r="U158" s="654" t="n"/>
      <c r="V158" s="655" t="n"/>
      <c r="W158" s="42" t="inlineStr">
        <is>
          <t>кг</t>
        </is>
      </c>
      <c r="X158" s="694">
        <f>IFERROR(SUM(X149:X156),"0")</f>
        <v/>
      </c>
      <c r="Y158" s="694">
        <f>IFERROR(SUM(Y149:Y156),"0")</f>
        <v/>
      </c>
      <c r="Z158" s="42" t="n"/>
      <c r="AA158" s="695" t="n"/>
      <c r="AB158" s="695" t="n"/>
      <c r="AC158" s="695" t="n"/>
    </row>
    <row r="159" ht="14.25" customHeight="1">
      <c r="A159" s="400" t="inlineStr">
        <is>
          <t>Сардельки</t>
        </is>
      </c>
      <c r="B159" s="397" t="n"/>
      <c r="C159" s="397" t="n"/>
      <c r="D159" s="397" t="n"/>
      <c r="E159" s="397" t="n"/>
      <c r="F159" s="397" t="n"/>
      <c r="G159" s="397" t="n"/>
      <c r="H159" s="397" t="n"/>
      <c r="I159" s="397" t="n"/>
      <c r="J159" s="397" t="n"/>
      <c r="K159" s="397" t="n"/>
      <c r="L159" s="397" t="n"/>
      <c r="M159" s="397" t="n"/>
      <c r="N159" s="397" t="n"/>
      <c r="O159" s="397" t="n"/>
      <c r="P159" s="397" t="n"/>
      <c r="Q159" s="397" t="n"/>
      <c r="R159" s="397" t="n"/>
      <c r="S159" s="397" t="n"/>
      <c r="T159" s="397" t="n"/>
      <c r="U159" s="397" t="n"/>
      <c r="V159" s="397" t="n"/>
      <c r="W159" s="397" t="n"/>
      <c r="X159" s="397" t="n"/>
      <c r="Y159" s="397" t="n"/>
      <c r="Z159" s="397" t="n"/>
      <c r="AA159" s="400" t="n"/>
      <c r="AB159" s="400" t="n"/>
      <c r="AC159" s="400" t="n"/>
    </row>
    <row r="160" ht="27" customHeight="1">
      <c r="A160" s="63" t="inlineStr">
        <is>
          <t>SU002758</t>
        </is>
      </c>
      <c r="B160" s="63" t="inlineStr">
        <is>
          <t>P003960</t>
        </is>
      </c>
      <c r="C160" s="36" t="n">
        <v>4301060389</v>
      </c>
      <c r="D160" s="401" t="n">
        <v>4680115880801</v>
      </c>
      <c r="E160" s="646" t="n"/>
      <c r="F160" s="685" t="n">
        <v>0.4</v>
      </c>
      <c r="G160" s="37" t="n">
        <v>6</v>
      </c>
      <c r="H160" s="685" t="n">
        <v>2.4</v>
      </c>
      <c r="I160" s="685" t="n">
        <v>2.652</v>
      </c>
      <c r="J160" s="37" t="n">
        <v>182</v>
      </c>
      <c r="K160" s="37" t="inlineStr">
        <is>
          <t>14</t>
        </is>
      </c>
      <c r="L160" s="37" t="inlineStr"/>
      <c r="M160" s="38" t="inlineStr">
        <is>
          <t>СК3</t>
        </is>
      </c>
      <c r="N160" s="38" t="n"/>
      <c r="O160" s="37" t="n">
        <v>40</v>
      </c>
      <c r="P160" s="760">
        <f>HYPERLINK("https://abi.ru/products/Охлажденные/Стародворье/Сочинка/Сардельки/P003960/","Сардельки «Сочинки» Фикс.вес 0,4 п/а ТМ «Стародворье»")</f>
        <v/>
      </c>
      <c r="Q160" s="687" t="n"/>
      <c r="R160" s="687" t="n"/>
      <c r="S160" s="687" t="n"/>
      <c r="T160" s="688" t="n"/>
      <c r="U160" s="39" t="inlineStr"/>
      <c r="V160" s="39" t="inlineStr"/>
      <c r="W160" s="40" t="inlineStr">
        <is>
          <t>кг</t>
        </is>
      </c>
      <c r="X160" s="689" t="n">
        <v>0</v>
      </c>
      <c r="Y160" s="690">
        <f>IFERROR(IF(X160="",0,CEILING((X160/$H160),1)*$H160),"")</f>
        <v/>
      </c>
      <c r="Z160" s="41">
        <f>IFERROR(IF(Y160=0,"",ROUNDUP(Y160/H160,0)*0.00651),"")</f>
        <v/>
      </c>
      <c r="AA160" s="68" t="inlineStr"/>
      <c r="AB160" s="69" t="inlineStr"/>
      <c r="AC160" s="218" t="inlineStr">
        <is>
          <t>ЕАЭС N RU Д-RU.РА01.В.93159/24, ЕАЭС N RU Д-RU.РА01.В.93294/24</t>
        </is>
      </c>
      <c r="AG160" s="78" t="n"/>
      <c r="AJ160" s="84" t="inlineStr"/>
      <c r="AK160" s="84" t="n">
        <v>0</v>
      </c>
      <c r="BB160" s="219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410" t="n"/>
      <c r="B161" s="397" t="n"/>
      <c r="C161" s="397" t="n"/>
      <c r="D161" s="397" t="n"/>
      <c r="E161" s="397" t="n"/>
      <c r="F161" s="397" t="n"/>
      <c r="G161" s="397" t="n"/>
      <c r="H161" s="397" t="n"/>
      <c r="I161" s="397" t="n"/>
      <c r="J161" s="397" t="n"/>
      <c r="K161" s="397" t="n"/>
      <c r="L161" s="397" t="n"/>
      <c r="M161" s="397" t="n"/>
      <c r="N161" s="397" t="n"/>
      <c r="O161" s="692" t="n"/>
      <c r="P161" s="693" t="inlineStr">
        <is>
          <t>Итого</t>
        </is>
      </c>
      <c r="Q161" s="654" t="n"/>
      <c r="R161" s="654" t="n"/>
      <c r="S161" s="654" t="n"/>
      <c r="T161" s="654" t="n"/>
      <c r="U161" s="654" t="n"/>
      <c r="V161" s="655" t="n"/>
      <c r="W161" s="42" t="inlineStr">
        <is>
          <t>кор</t>
        </is>
      </c>
      <c r="X161" s="694">
        <f>IFERROR(X160/H160,"0")</f>
        <v/>
      </c>
      <c r="Y161" s="694">
        <f>IFERROR(Y160/H160,"0")</f>
        <v/>
      </c>
      <c r="Z161" s="694">
        <f>IFERROR(IF(Z160="",0,Z160),"0")</f>
        <v/>
      </c>
      <c r="AA161" s="695" t="n"/>
      <c r="AB161" s="695" t="n"/>
      <c r="AC161" s="695" t="n"/>
    </row>
    <row r="162">
      <c r="A162" s="397" t="n"/>
      <c r="B162" s="397" t="n"/>
      <c r="C162" s="397" t="n"/>
      <c r="D162" s="397" t="n"/>
      <c r="E162" s="397" t="n"/>
      <c r="F162" s="397" t="n"/>
      <c r="G162" s="397" t="n"/>
      <c r="H162" s="397" t="n"/>
      <c r="I162" s="397" t="n"/>
      <c r="J162" s="397" t="n"/>
      <c r="K162" s="397" t="n"/>
      <c r="L162" s="397" t="n"/>
      <c r="M162" s="397" t="n"/>
      <c r="N162" s="397" t="n"/>
      <c r="O162" s="692" t="n"/>
      <c r="P162" s="693" t="inlineStr">
        <is>
          <t>Итого</t>
        </is>
      </c>
      <c r="Q162" s="654" t="n"/>
      <c r="R162" s="654" t="n"/>
      <c r="S162" s="654" t="n"/>
      <c r="T162" s="654" t="n"/>
      <c r="U162" s="654" t="n"/>
      <c r="V162" s="655" t="n"/>
      <c r="W162" s="42" t="inlineStr">
        <is>
          <t>кг</t>
        </is>
      </c>
      <c r="X162" s="694">
        <f>IFERROR(SUM(X160:X160),"0")</f>
        <v/>
      </c>
      <c r="Y162" s="694">
        <f>IFERROR(SUM(Y160:Y160),"0")</f>
        <v/>
      </c>
      <c r="Z162" s="42" t="n"/>
      <c r="AA162" s="695" t="n"/>
      <c r="AB162" s="695" t="n"/>
      <c r="AC162" s="695" t="n"/>
    </row>
    <row r="163" ht="16.5" customHeight="1">
      <c r="A163" s="430" t="inlineStr">
        <is>
          <t>Стародворская</t>
        </is>
      </c>
      <c r="B163" s="397" t="n"/>
      <c r="C163" s="397" t="n"/>
      <c r="D163" s="397" t="n"/>
      <c r="E163" s="397" t="n"/>
      <c r="F163" s="397" t="n"/>
      <c r="G163" s="397" t="n"/>
      <c r="H163" s="397" t="n"/>
      <c r="I163" s="397" t="n"/>
      <c r="J163" s="397" t="n"/>
      <c r="K163" s="397" t="n"/>
      <c r="L163" s="397" t="n"/>
      <c r="M163" s="397" t="n"/>
      <c r="N163" s="397" t="n"/>
      <c r="O163" s="397" t="n"/>
      <c r="P163" s="397" t="n"/>
      <c r="Q163" s="397" t="n"/>
      <c r="R163" s="397" t="n"/>
      <c r="S163" s="397" t="n"/>
      <c r="T163" s="397" t="n"/>
      <c r="U163" s="397" t="n"/>
      <c r="V163" s="397" t="n"/>
      <c r="W163" s="397" t="n"/>
      <c r="X163" s="397" t="n"/>
      <c r="Y163" s="397" t="n"/>
      <c r="Z163" s="397" t="n"/>
      <c r="AA163" s="430" t="n"/>
      <c r="AB163" s="430" t="n"/>
      <c r="AC163" s="430" t="n"/>
    </row>
    <row r="164" ht="14.25" customHeight="1">
      <c r="A164" s="400" t="inlineStr">
        <is>
          <t>Вареные колбасы</t>
        </is>
      </c>
      <c r="B164" s="397" t="n"/>
      <c r="C164" s="397" t="n"/>
      <c r="D164" s="397" t="n"/>
      <c r="E164" s="397" t="n"/>
      <c r="F164" s="397" t="n"/>
      <c r="G164" s="397" t="n"/>
      <c r="H164" s="397" t="n"/>
      <c r="I164" s="397" t="n"/>
      <c r="J164" s="397" t="n"/>
      <c r="K164" s="397" t="n"/>
      <c r="L164" s="397" t="n"/>
      <c r="M164" s="397" t="n"/>
      <c r="N164" s="397" t="n"/>
      <c r="O164" s="397" t="n"/>
      <c r="P164" s="397" t="n"/>
      <c r="Q164" s="397" t="n"/>
      <c r="R164" s="397" t="n"/>
      <c r="S164" s="397" t="n"/>
      <c r="T164" s="397" t="n"/>
      <c r="U164" s="397" t="n"/>
      <c r="V164" s="397" t="n"/>
      <c r="W164" s="397" t="n"/>
      <c r="X164" s="397" t="n"/>
      <c r="Y164" s="397" t="n"/>
      <c r="Z164" s="397" t="n"/>
      <c r="AA164" s="400" t="n"/>
      <c r="AB164" s="400" t="n"/>
      <c r="AC164" s="400" t="n"/>
    </row>
    <row r="165" ht="27" customHeight="1">
      <c r="A165" s="63" t="inlineStr">
        <is>
          <t>SU003273</t>
        </is>
      </c>
      <c r="B165" s="63" t="inlineStr">
        <is>
          <t>P004070</t>
        </is>
      </c>
      <c r="C165" s="36" t="n">
        <v>4301011826</v>
      </c>
      <c r="D165" s="401" t="n">
        <v>4680115884137</v>
      </c>
      <c r="E165" s="646" t="n"/>
      <c r="F165" s="685" t="n">
        <v>1.45</v>
      </c>
      <c r="G165" s="37" t="n">
        <v>8</v>
      </c>
      <c r="H165" s="685" t="n">
        <v>11.6</v>
      </c>
      <c r="I165" s="685" t="n">
        <v>12.035</v>
      </c>
      <c r="J165" s="37" t="n">
        <v>64</v>
      </c>
      <c r="K165" s="37" t="inlineStr">
        <is>
          <t>8</t>
        </is>
      </c>
      <c r="L165" s="37" t="inlineStr"/>
      <c r="M165" s="38" t="inlineStr">
        <is>
          <t>СК1</t>
        </is>
      </c>
      <c r="N165" s="38" t="n"/>
      <c r="O165" s="37" t="n">
        <v>55</v>
      </c>
      <c r="P165" s="761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165" s="687" t="n"/>
      <c r="R165" s="687" t="n"/>
      <c r="S165" s="687" t="n"/>
      <c r="T165" s="688" t="n"/>
      <c r="U165" s="39" t="inlineStr"/>
      <c r="V165" s="39" t="inlineStr"/>
      <c r="W165" s="40" t="inlineStr">
        <is>
          <t>кг</t>
        </is>
      </c>
      <c r="X165" s="689" t="n">
        <v>0</v>
      </c>
      <c r="Y165" s="690">
        <f>IFERROR(IF(X165="",0,CEILING((X165/$H165),1)*$H165),"")</f>
        <v/>
      </c>
      <c r="Z165" s="41">
        <f>IFERROR(IF(Y165=0,"",ROUNDUP(Y165/H165,0)*0.01898),"")</f>
        <v/>
      </c>
      <c r="AA165" s="68" t="inlineStr"/>
      <c r="AB165" s="69" t="inlineStr"/>
      <c r="AC165" s="220" t="inlineStr">
        <is>
          <t>ЕАЭС N RU Д-RU.РА03.В.87656/24</t>
        </is>
      </c>
      <c r="AG165" s="78" t="n"/>
      <c r="AJ165" s="84" t="inlineStr"/>
      <c r="AK165" s="84" t="n">
        <v>0</v>
      </c>
      <c r="BB165" s="221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27" customHeight="1">
      <c r="A166" s="63" t="inlineStr">
        <is>
          <t>SU003275</t>
        </is>
      </c>
      <c r="B166" s="63" t="inlineStr">
        <is>
          <t>P003950</t>
        </is>
      </c>
      <c r="C166" s="36" t="n">
        <v>4301011724</v>
      </c>
      <c r="D166" s="401" t="n">
        <v>4680115884236</v>
      </c>
      <c r="E166" s="646" t="n"/>
      <c r="F166" s="685" t="n">
        <v>1.45</v>
      </c>
      <c r="G166" s="37" t="n">
        <v>8</v>
      </c>
      <c r="H166" s="685" t="n">
        <v>11.6</v>
      </c>
      <c r="I166" s="685" t="n">
        <v>12.035</v>
      </c>
      <c r="J166" s="37" t="n">
        <v>64</v>
      </c>
      <c r="K166" s="37" t="inlineStr">
        <is>
          <t>8</t>
        </is>
      </c>
      <c r="L166" s="37" t="inlineStr"/>
      <c r="M166" s="38" t="inlineStr">
        <is>
          <t>СК1</t>
        </is>
      </c>
      <c r="N166" s="38" t="n"/>
      <c r="O166" s="37" t="n">
        <v>55</v>
      </c>
      <c r="P166" s="7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166" s="687" t="n"/>
      <c r="R166" s="687" t="n"/>
      <c r="S166" s="687" t="n"/>
      <c r="T166" s="688" t="n"/>
      <c r="U166" s="39" t="inlineStr"/>
      <c r="V166" s="39" t="inlineStr"/>
      <c r="W166" s="40" t="inlineStr">
        <is>
          <t>кг</t>
        </is>
      </c>
      <c r="X166" s="689" t="n">
        <v>0</v>
      </c>
      <c r="Y166" s="690">
        <f>IFERROR(IF(X166="",0,CEILING((X166/$H166),1)*$H166),"")</f>
        <v/>
      </c>
      <c r="Z166" s="41">
        <f>IFERROR(IF(Y166=0,"",ROUNDUP(Y166/H166,0)*0.01898),"")</f>
        <v/>
      </c>
      <c r="AA166" s="68" t="inlineStr"/>
      <c r="AB166" s="69" t="inlineStr"/>
      <c r="AC166" s="222" t="inlineStr">
        <is>
          <t>ЕАЭС N RU Д-RU.РА10.В.27759/23</t>
        </is>
      </c>
      <c r="AG166" s="78" t="n"/>
      <c r="AJ166" s="84" t="inlineStr"/>
      <c r="AK166" s="84" t="n">
        <v>0</v>
      </c>
      <c r="BB166" s="223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 ht="27" customHeight="1">
      <c r="A167" s="63" t="inlineStr">
        <is>
          <t>SU003271</t>
        </is>
      </c>
      <c r="B167" s="63" t="inlineStr">
        <is>
          <t>P003945</t>
        </is>
      </c>
      <c r="C167" s="36" t="n">
        <v>4301011721</v>
      </c>
      <c r="D167" s="401" t="n">
        <v>4680115884175</v>
      </c>
      <c r="E167" s="646" t="n"/>
      <c r="F167" s="685" t="n">
        <v>1.45</v>
      </c>
      <c r="G167" s="37" t="n">
        <v>8</v>
      </c>
      <c r="H167" s="685" t="n">
        <v>11.6</v>
      </c>
      <c r="I167" s="685" t="n">
        <v>12.035</v>
      </c>
      <c r="J167" s="37" t="n">
        <v>64</v>
      </c>
      <c r="K167" s="37" t="inlineStr">
        <is>
          <t>8</t>
        </is>
      </c>
      <c r="L167" s="37" t="inlineStr"/>
      <c r="M167" s="38" t="inlineStr">
        <is>
          <t>СК1</t>
        </is>
      </c>
      <c r="N167" s="38" t="n"/>
      <c r="O167" s="37" t="n">
        <v>55</v>
      </c>
      <c r="P167" s="7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167" s="687" t="n"/>
      <c r="R167" s="687" t="n"/>
      <c r="S167" s="687" t="n"/>
      <c r="T167" s="688" t="n"/>
      <c r="U167" s="39" t="inlineStr"/>
      <c r="V167" s="39" t="inlineStr"/>
      <c r="W167" s="40" t="inlineStr">
        <is>
          <t>кг</t>
        </is>
      </c>
      <c r="X167" s="689" t="n">
        <v>0</v>
      </c>
      <c r="Y167" s="690">
        <f>IFERROR(IF(X167="",0,CEILING((X167/$H167),1)*$H167),"")</f>
        <v/>
      </c>
      <c r="Z167" s="41">
        <f>IFERROR(IF(Y167=0,"",ROUNDUP(Y167/H167,0)*0.01898),"")</f>
        <v/>
      </c>
      <c r="AA167" s="68" t="inlineStr"/>
      <c r="AB167" s="69" t="inlineStr"/>
      <c r="AC167" s="224" t="inlineStr">
        <is>
          <t>ЕАЭС N RU Д-RU.РА01.В.26920/22, ЕАЭС N RU Д-RU.РА01.В.54559/25</t>
        </is>
      </c>
      <c r="AG167" s="78" t="n"/>
      <c r="AJ167" s="84" t="inlineStr"/>
      <c r="AK167" s="84" t="n">
        <v>0</v>
      </c>
      <c r="BB167" s="225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 ht="27" customHeight="1">
      <c r="A168" s="63" t="inlineStr">
        <is>
          <t>SU003274</t>
        </is>
      </c>
      <c r="B168" s="63" t="inlineStr">
        <is>
          <t>P004067</t>
        </is>
      </c>
      <c r="C168" s="36" t="n">
        <v>4301011824</v>
      </c>
      <c r="D168" s="401" t="n">
        <v>4680115884144</v>
      </c>
      <c r="E168" s="646" t="n"/>
      <c r="F168" s="685" t="n">
        <v>0.4</v>
      </c>
      <c r="G168" s="37" t="n">
        <v>10</v>
      </c>
      <c r="H168" s="685" t="n">
        <v>4</v>
      </c>
      <c r="I168" s="685" t="n">
        <v>4.21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СК1</t>
        </is>
      </c>
      <c r="N168" s="38" t="n"/>
      <c r="O168" s="37" t="n">
        <v>55</v>
      </c>
      <c r="P168" s="76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168" s="687" t="n"/>
      <c r="R168" s="687" t="n"/>
      <c r="S168" s="687" t="n"/>
      <c r="T168" s="688" t="n"/>
      <c r="U168" s="39" t="inlineStr"/>
      <c r="V168" s="39" t="inlineStr"/>
      <c r="W168" s="40" t="inlineStr">
        <is>
          <t>кг</t>
        </is>
      </c>
      <c r="X168" s="689" t="n">
        <v>0</v>
      </c>
      <c r="Y168" s="690">
        <f>IFERROR(IF(X168="",0,CEILING((X168/$H168),1)*$H168),"")</f>
        <v/>
      </c>
      <c r="Z168" s="41">
        <f>IFERROR(IF(Y168=0,"",ROUNDUP(Y168/H168,0)*0.00902),"")</f>
        <v/>
      </c>
      <c r="AA168" s="68" t="inlineStr"/>
      <c r="AB168" s="69" t="inlineStr"/>
      <c r="AC168" s="226" t="inlineStr">
        <is>
          <t>ЕАЭС N RU Д-RU.РА03.В.87656/24</t>
        </is>
      </c>
      <c r="AG168" s="78" t="n"/>
      <c r="AJ168" s="84" t="inlineStr"/>
      <c r="AK168" s="84" t="n">
        <v>0</v>
      </c>
      <c r="BB168" s="227" t="inlineStr">
        <is>
          <t>КИ</t>
        </is>
      </c>
      <c r="BM168" s="78">
        <f>IFERROR(X168*I168/H168,"0")</f>
        <v/>
      </c>
      <c r="BN168" s="78">
        <f>IFERROR(Y168*I168/H168,"0")</f>
        <v/>
      </c>
      <c r="BO168" s="78">
        <f>IFERROR(1/J168*(X168/H168),"0")</f>
        <v/>
      </c>
      <c r="BP168" s="78">
        <f>IFERROR(1/J168*(Y168/H168),"0")</f>
        <v/>
      </c>
    </row>
    <row r="169" ht="27" customHeight="1">
      <c r="A169" s="63" t="inlineStr">
        <is>
          <t>SU003276</t>
        </is>
      </c>
      <c r="B169" s="63" t="inlineStr">
        <is>
          <t>P003956</t>
        </is>
      </c>
      <c r="C169" s="36" t="n">
        <v>4301011726</v>
      </c>
      <c r="D169" s="401" t="n">
        <v>4680115884182</v>
      </c>
      <c r="E169" s="646" t="n"/>
      <c r="F169" s="685" t="n">
        <v>0.37</v>
      </c>
      <c r="G169" s="37" t="n">
        <v>10</v>
      </c>
      <c r="H169" s="685" t="n">
        <v>3.7</v>
      </c>
      <c r="I169" s="685" t="n">
        <v>3.91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СК1</t>
        </is>
      </c>
      <c r="N169" s="38" t="n"/>
      <c r="O169" s="37" t="n">
        <v>55</v>
      </c>
      <c r="P169" s="765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169" s="687" t="n"/>
      <c r="R169" s="687" t="n"/>
      <c r="S169" s="687" t="n"/>
      <c r="T169" s="688" t="n"/>
      <c r="U169" s="39" t="inlineStr"/>
      <c r="V169" s="39" t="inlineStr"/>
      <c r="W169" s="40" t="inlineStr">
        <is>
          <t>кг</t>
        </is>
      </c>
      <c r="X169" s="689" t="n">
        <v>0</v>
      </c>
      <c r="Y169" s="690">
        <f>IFERROR(IF(X169="",0,CEILING((X169/$H169),1)*$H169),"")</f>
        <v/>
      </c>
      <c r="Z169" s="41">
        <f>IFERROR(IF(Y169=0,"",ROUNDUP(Y169/H169,0)*0.00902),"")</f>
        <v/>
      </c>
      <c r="AA169" s="68" t="inlineStr"/>
      <c r="AB169" s="69" t="inlineStr"/>
      <c r="AC169" s="228" t="inlineStr">
        <is>
          <t>ЕАЭС N RU Д-RU.РА10.В.27759/23</t>
        </is>
      </c>
      <c r="AG169" s="78" t="n"/>
      <c r="AJ169" s="84" t="inlineStr"/>
      <c r="AK169" s="84" t="n">
        <v>0</v>
      </c>
      <c r="BB169" s="229" t="inlineStr">
        <is>
          <t>КИ</t>
        </is>
      </c>
      <c r="BM169" s="78">
        <f>IFERROR(X169*I169/H169,"0")</f>
        <v/>
      </c>
      <c r="BN169" s="78">
        <f>IFERROR(Y169*I169/H169,"0")</f>
        <v/>
      </c>
      <c r="BO169" s="78">
        <f>IFERROR(1/J169*(X169/H169),"0")</f>
        <v/>
      </c>
      <c r="BP169" s="78">
        <f>IFERROR(1/J169*(Y169/H169),"0")</f>
        <v/>
      </c>
    </row>
    <row r="170" ht="27" customHeight="1">
      <c r="A170" s="63" t="inlineStr">
        <is>
          <t>SU003272</t>
        </is>
      </c>
      <c r="B170" s="63" t="inlineStr">
        <is>
          <t>P003947</t>
        </is>
      </c>
      <c r="C170" s="36" t="n">
        <v>4301011722</v>
      </c>
      <c r="D170" s="401" t="n">
        <v>4680115884205</v>
      </c>
      <c r="E170" s="646" t="n"/>
      <c r="F170" s="685" t="n">
        <v>0.4</v>
      </c>
      <c r="G170" s="37" t="n">
        <v>10</v>
      </c>
      <c r="H170" s="685" t="n">
        <v>4</v>
      </c>
      <c r="I170" s="685" t="n">
        <v>4.21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СК1</t>
        </is>
      </c>
      <c r="N170" s="38" t="n"/>
      <c r="O170" s="37" t="n">
        <v>55</v>
      </c>
      <c r="P170" s="766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170" s="687" t="n"/>
      <c r="R170" s="687" t="n"/>
      <c r="S170" s="687" t="n"/>
      <c r="T170" s="688" t="n"/>
      <c r="U170" s="39" t="inlineStr"/>
      <c r="V170" s="39" t="inlineStr"/>
      <c r="W170" s="40" t="inlineStr">
        <is>
          <t>кг</t>
        </is>
      </c>
      <c r="X170" s="689" t="n">
        <v>0</v>
      </c>
      <c r="Y170" s="690">
        <f>IFERROR(IF(X170="",0,CEILING((X170/$H170),1)*$H170),"")</f>
        <v/>
      </c>
      <c r="Z170" s="41">
        <f>IFERROR(IF(Y170=0,"",ROUNDUP(Y170/H170,0)*0.00902),"")</f>
        <v/>
      </c>
      <c r="AA170" s="68" t="inlineStr"/>
      <c r="AB170" s="69" t="inlineStr"/>
      <c r="AC170" s="230" t="inlineStr">
        <is>
          <t>ЕАЭС N RU Д-RU.РА01.В.54559/25</t>
        </is>
      </c>
      <c r="AG170" s="78" t="n"/>
      <c r="AJ170" s="84" t="inlineStr"/>
      <c r="AK170" s="84" t="n">
        <v>0</v>
      </c>
      <c r="BB170" s="231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>
      <c r="A171" s="410" t="n"/>
      <c r="B171" s="397" t="n"/>
      <c r="C171" s="397" t="n"/>
      <c r="D171" s="397" t="n"/>
      <c r="E171" s="397" t="n"/>
      <c r="F171" s="397" t="n"/>
      <c r="G171" s="397" t="n"/>
      <c r="H171" s="397" t="n"/>
      <c r="I171" s="397" t="n"/>
      <c r="J171" s="397" t="n"/>
      <c r="K171" s="397" t="n"/>
      <c r="L171" s="397" t="n"/>
      <c r="M171" s="397" t="n"/>
      <c r="N171" s="397" t="n"/>
      <c r="O171" s="692" t="n"/>
      <c r="P171" s="693" t="inlineStr">
        <is>
          <t>Итого</t>
        </is>
      </c>
      <c r="Q171" s="654" t="n"/>
      <c r="R171" s="654" t="n"/>
      <c r="S171" s="654" t="n"/>
      <c r="T171" s="654" t="n"/>
      <c r="U171" s="654" t="n"/>
      <c r="V171" s="655" t="n"/>
      <c r="W171" s="42" t="inlineStr">
        <is>
          <t>кор</t>
        </is>
      </c>
      <c r="X171" s="694">
        <f>IFERROR(X165/H165,"0")+IFERROR(X166/H166,"0")+IFERROR(X167/H167,"0")+IFERROR(X168/H168,"0")+IFERROR(X169/H169,"0")+IFERROR(X170/H170,"0")</f>
        <v/>
      </c>
      <c r="Y171" s="694">
        <f>IFERROR(Y165/H165,"0")+IFERROR(Y166/H166,"0")+IFERROR(Y167/H167,"0")+IFERROR(Y168/H168,"0")+IFERROR(Y169/H169,"0")+IFERROR(Y170/H170,"0")</f>
        <v/>
      </c>
      <c r="Z171" s="694">
        <f>IFERROR(IF(Z165="",0,Z165),"0")+IFERROR(IF(Z166="",0,Z166),"0")+IFERROR(IF(Z167="",0,Z167),"0")+IFERROR(IF(Z168="",0,Z168),"0")+IFERROR(IF(Z169="",0,Z169),"0")+IFERROR(IF(Z170="",0,Z170),"0")</f>
        <v/>
      </c>
      <c r="AA171" s="695" t="n"/>
      <c r="AB171" s="695" t="n"/>
      <c r="AC171" s="695" t="n"/>
    </row>
    <row r="172">
      <c r="A172" s="397" t="n"/>
      <c r="B172" s="397" t="n"/>
      <c r="C172" s="397" t="n"/>
      <c r="D172" s="397" t="n"/>
      <c r="E172" s="397" t="n"/>
      <c r="F172" s="397" t="n"/>
      <c r="G172" s="397" t="n"/>
      <c r="H172" s="397" t="n"/>
      <c r="I172" s="397" t="n"/>
      <c r="J172" s="397" t="n"/>
      <c r="K172" s="397" t="n"/>
      <c r="L172" s="397" t="n"/>
      <c r="M172" s="397" t="n"/>
      <c r="N172" s="397" t="n"/>
      <c r="O172" s="692" t="n"/>
      <c r="P172" s="693" t="inlineStr">
        <is>
          <t>Итого</t>
        </is>
      </c>
      <c r="Q172" s="654" t="n"/>
      <c r="R172" s="654" t="n"/>
      <c r="S172" s="654" t="n"/>
      <c r="T172" s="654" t="n"/>
      <c r="U172" s="654" t="n"/>
      <c r="V172" s="655" t="n"/>
      <c r="W172" s="42" t="inlineStr">
        <is>
          <t>кг</t>
        </is>
      </c>
      <c r="X172" s="694">
        <f>IFERROR(SUM(X165:X170),"0")</f>
        <v/>
      </c>
      <c r="Y172" s="694">
        <f>IFERROR(SUM(Y165:Y170),"0")</f>
        <v/>
      </c>
      <c r="Z172" s="42" t="n"/>
      <c r="AA172" s="695" t="n"/>
      <c r="AB172" s="695" t="n"/>
      <c r="AC172" s="695" t="n"/>
    </row>
    <row r="173" ht="16.5" customHeight="1">
      <c r="A173" s="430" t="inlineStr">
        <is>
          <t>Филедворская по-стародворски</t>
        </is>
      </c>
      <c r="B173" s="397" t="n"/>
      <c r="C173" s="397" t="n"/>
      <c r="D173" s="397" t="n"/>
      <c r="E173" s="397" t="n"/>
      <c r="F173" s="397" t="n"/>
      <c r="G173" s="397" t="n"/>
      <c r="H173" s="397" t="n"/>
      <c r="I173" s="397" t="n"/>
      <c r="J173" s="397" t="n"/>
      <c r="K173" s="397" t="n"/>
      <c r="L173" s="397" t="n"/>
      <c r="M173" s="397" t="n"/>
      <c r="N173" s="397" t="n"/>
      <c r="O173" s="397" t="n"/>
      <c r="P173" s="397" t="n"/>
      <c r="Q173" s="397" t="n"/>
      <c r="R173" s="397" t="n"/>
      <c r="S173" s="397" t="n"/>
      <c r="T173" s="397" t="n"/>
      <c r="U173" s="397" t="n"/>
      <c r="V173" s="397" t="n"/>
      <c r="W173" s="397" t="n"/>
      <c r="X173" s="397" t="n"/>
      <c r="Y173" s="397" t="n"/>
      <c r="Z173" s="397" t="n"/>
      <c r="AA173" s="430" t="n"/>
      <c r="AB173" s="430" t="n"/>
      <c r="AC173" s="430" t="n"/>
    </row>
    <row r="174" ht="14.25" customHeight="1">
      <c r="A174" s="400" t="inlineStr">
        <is>
          <t>Вареные колбасы</t>
        </is>
      </c>
      <c r="B174" s="397" t="n"/>
      <c r="C174" s="397" t="n"/>
      <c r="D174" s="397" t="n"/>
      <c r="E174" s="397" t="n"/>
      <c r="F174" s="397" t="n"/>
      <c r="G174" s="397" t="n"/>
      <c r="H174" s="397" t="n"/>
      <c r="I174" s="397" t="n"/>
      <c r="J174" s="397" t="n"/>
      <c r="K174" s="397" t="n"/>
      <c r="L174" s="397" t="n"/>
      <c r="M174" s="397" t="n"/>
      <c r="N174" s="397" t="n"/>
      <c r="O174" s="397" t="n"/>
      <c r="P174" s="397" t="n"/>
      <c r="Q174" s="397" t="n"/>
      <c r="R174" s="397" t="n"/>
      <c r="S174" s="397" t="n"/>
      <c r="T174" s="397" t="n"/>
      <c r="U174" s="397" t="n"/>
      <c r="V174" s="397" t="n"/>
      <c r="W174" s="397" t="n"/>
      <c r="X174" s="397" t="n"/>
      <c r="Y174" s="397" t="n"/>
      <c r="Z174" s="397" t="n"/>
      <c r="AA174" s="400" t="n"/>
      <c r="AB174" s="400" t="n"/>
      <c r="AC174" s="400" t="n"/>
    </row>
    <row r="175" ht="27" customHeight="1">
      <c r="A175" s="63" t="inlineStr">
        <is>
          <t>SU003389</t>
        </is>
      </c>
      <c r="B175" s="63" t="inlineStr">
        <is>
          <t>P004212</t>
        </is>
      </c>
      <c r="C175" s="36" t="n">
        <v>4301011855</v>
      </c>
      <c r="D175" s="401" t="n">
        <v>4680115885837</v>
      </c>
      <c r="E175" s="646" t="n"/>
      <c r="F175" s="685" t="n">
        <v>1.35</v>
      </c>
      <c r="G175" s="37" t="n">
        <v>8</v>
      </c>
      <c r="H175" s="685" t="n">
        <v>10.8</v>
      </c>
      <c r="I175" s="685" t="n">
        <v>11.235</v>
      </c>
      <c r="J175" s="37" t="n">
        <v>64</v>
      </c>
      <c r="K175" s="37" t="inlineStr">
        <is>
          <t>8</t>
        </is>
      </c>
      <c r="L175" s="37" t="inlineStr"/>
      <c r="M175" s="38" t="inlineStr">
        <is>
          <t>СК1</t>
        </is>
      </c>
      <c r="N175" s="38" t="n"/>
      <c r="O175" s="37" t="n">
        <v>55</v>
      </c>
      <c r="P175" s="767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175" s="687" t="n"/>
      <c r="R175" s="687" t="n"/>
      <c r="S175" s="687" t="n"/>
      <c r="T175" s="688" t="n"/>
      <c r="U175" s="39" t="inlineStr"/>
      <c r="V175" s="39" t="inlineStr"/>
      <c r="W175" s="40" t="inlineStr">
        <is>
          <t>кг</t>
        </is>
      </c>
      <c r="X175" s="689" t="n">
        <v>0</v>
      </c>
      <c r="Y175" s="690">
        <f>IFERROR(IF(X175="",0,CEILING((X175/$H175),1)*$H175),"")</f>
        <v/>
      </c>
      <c r="Z175" s="41">
        <f>IFERROR(IF(Y175=0,"",ROUNDUP(Y175/H175,0)*0.01898),"")</f>
        <v/>
      </c>
      <c r="AA175" s="68" t="inlineStr"/>
      <c r="AB175" s="69" t="inlineStr"/>
      <c r="AC175" s="232" t="inlineStr">
        <is>
          <t>ЕАЭС N RU Д-RU.РА05.В.80817/24, ЕАЭС N RU Д-RU.РА05.В.80946/24</t>
        </is>
      </c>
      <c r="AG175" s="78" t="n"/>
      <c r="AJ175" s="84" t="inlineStr"/>
      <c r="AK175" s="84" t="n">
        <v>0</v>
      </c>
      <c r="BB175" s="23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37.5" customHeight="1">
      <c r="A176" s="63" t="inlineStr">
        <is>
          <t>SU003391</t>
        </is>
      </c>
      <c r="B176" s="63" t="inlineStr">
        <is>
          <t>P004209</t>
        </is>
      </c>
      <c r="C176" s="36" t="n">
        <v>4301011853</v>
      </c>
      <c r="D176" s="401" t="n">
        <v>4680115885851</v>
      </c>
      <c r="E176" s="646" t="n"/>
      <c r="F176" s="685" t="n">
        <v>1.35</v>
      </c>
      <c r="G176" s="37" t="n">
        <v>8</v>
      </c>
      <c r="H176" s="685" t="n">
        <v>10.8</v>
      </c>
      <c r="I176" s="685" t="n">
        <v>11.235</v>
      </c>
      <c r="J176" s="37" t="n">
        <v>64</v>
      </c>
      <c r="K176" s="37" t="inlineStr">
        <is>
          <t>8</t>
        </is>
      </c>
      <c r="L176" s="37" t="inlineStr"/>
      <c r="M176" s="38" t="inlineStr">
        <is>
          <t>СК1</t>
        </is>
      </c>
      <c r="N176" s="38" t="n"/>
      <c r="O176" s="37" t="n">
        <v>55</v>
      </c>
      <c r="P176" s="76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176" s="687" t="n"/>
      <c r="R176" s="687" t="n"/>
      <c r="S176" s="687" t="n"/>
      <c r="T176" s="688" t="n"/>
      <c r="U176" s="39" t="inlineStr"/>
      <c r="V176" s="39" t="inlineStr"/>
      <c r="W176" s="40" t="inlineStr">
        <is>
          <t>кг</t>
        </is>
      </c>
      <c r="X176" s="689" t="n">
        <v>0</v>
      </c>
      <c r="Y176" s="690">
        <f>IFERROR(IF(X176="",0,CEILING((X176/$H176),1)*$H176),"")</f>
        <v/>
      </c>
      <c r="Z176" s="41">
        <f>IFERROR(IF(Y176=0,"",ROUNDUP(Y176/H176,0)*0.01898),"")</f>
        <v/>
      </c>
      <c r="AA176" s="68" t="inlineStr"/>
      <c r="AB176" s="69" t="inlineStr"/>
      <c r="AC176" s="234" t="inlineStr">
        <is>
          <t>ЕАЭС N RU Д-RU.РА05.В.80018/24</t>
        </is>
      </c>
      <c r="AG176" s="78" t="n"/>
      <c r="AJ176" s="84" t="inlineStr"/>
      <c r="AK176" s="84" t="n">
        <v>0</v>
      </c>
      <c r="BB176" s="23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SU003387</t>
        </is>
      </c>
      <c r="B177" s="63" t="inlineStr">
        <is>
          <t>P004206</t>
        </is>
      </c>
      <c r="C177" s="36" t="n">
        <v>4301011850</v>
      </c>
      <c r="D177" s="401" t="n">
        <v>4680115885806</v>
      </c>
      <c r="E177" s="646" t="n"/>
      <c r="F177" s="685" t="n">
        <v>1.35</v>
      </c>
      <c r="G177" s="37" t="n">
        <v>8</v>
      </c>
      <c r="H177" s="685" t="n">
        <v>10.8</v>
      </c>
      <c r="I177" s="685" t="n">
        <v>11.235</v>
      </c>
      <c r="J177" s="37" t="n">
        <v>64</v>
      </c>
      <c r="K177" s="37" t="inlineStr">
        <is>
          <t>8</t>
        </is>
      </c>
      <c r="L177" s="37" t="inlineStr"/>
      <c r="M177" s="38" t="inlineStr">
        <is>
          <t>СК1</t>
        </is>
      </c>
      <c r="N177" s="38" t="n"/>
      <c r="O177" s="37" t="n">
        <v>55</v>
      </c>
      <c r="P177" s="76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177" s="687" t="n"/>
      <c r="R177" s="687" t="n"/>
      <c r="S177" s="687" t="n"/>
      <c r="T177" s="688" t="n"/>
      <c r="U177" s="39" t="inlineStr"/>
      <c r="V177" s="39" t="inlineStr"/>
      <c r="W177" s="40" t="inlineStr">
        <is>
          <t>кг</t>
        </is>
      </c>
      <c r="X177" s="689" t="n">
        <v>0</v>
      </c>
      <c r="Y177" s="690">
        <f>IFERROR(IF(X177="",0,CEILING((X177/$H177),1)*$H177),"")</f>
        <v/>
      </c>
      <c r="Z177" s="41">
        <f>IFERROR(IF(Y177=0,"",ROUNDUP(Y177/H177,0)*0.01898),"")</f>
        <v/>
      </c>
      <c r="AA177" s="68" t="inlineStr"/>
      <c r="AB177" s="69" t="inlineStr"/>
      <c r="AC177" s="236" t="inlineStr">
        <is>
          <t>ЕАЭС N RU Д-RU.РА05.В.80261/24, ЕАЭС N RU Д-RU.РА05.В.80546/24</t>
        </is>
      </c>
      <c r="AG177" s="78" t="n"/>
      <c r="AJ177" s="84" t="inlineStr"/>
      <c r="AK177" s="84" t="n">
        <v>0</v>
      </c>
      <c r="BB177" s="23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SU003390</t>
        </is>
      </c>
      <c r="B178" s="63" t="inlineStr">
        <is>
          <t>P004208</t>
        </is>
      </c>
      <c r="C178" s="36" t="n">
        <v>4301011852</v>
      </c>
      <c r="D178" s="401" t="n">
        <v>4680115885844</v>
      </c>
      <c r="E178" s="646" t="n"/>
      <c r="F178" s="685" t="n">
        <v>0.4</v>
      </c>
      <c r="G178" s="37" t="n">
        <v>10</v>
      </c>
      <c r="H178" s="685" t="n">
        <v>4</v>
      </c>
      <c r="I178" s="685" t="n">
        <v>4.21</v>
      </c>
      <c r="J178" s="37" t="n">
        <v>132</v>
      </c>
      <c r="K178" s="37" t="inlineStr">
        <is>
          <t>12</t>
        </is>
      </c>
      <c r="L178" s="37" t="inlineStr"/>
      <c r="M178" s="38" t="inlineStr">
        <is>
          <t>СК1</t>
        </is>
      </c>
      <c r="N178" s="38" t="n"/>
      <c r="O178" s="37" t="n">
        <v>55</v>
      </c>
      <c r="P178" s="77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178" s="687" t="n"/>
      <c r="R178" s="687" t="n"/>
      <c r="S178" s="687" t="n"/>
      <c r="T178" s="688" t="n"/>
      <c r="U178" s="39" t="inlineStr"/>
      <c r="V178" s="39" t="inlineStr"/>
      <c r="W178" s="40" t="inlineStr">
        <is>
          <t>кг</t>
        </is>
      </c>
      <c r="X178" s="689" t="n">
        <v>0</v>
      </c>
      <c r="Y178" s="690">
        <f>IFERROR(IF(X178="",0,CEILING((X178/$H178),1)*$H178),"")</f>
        <v/>
      </c>
      <c r="Z178" s="41">
        <f>IFERROR(IF(Y178=0,"",ROUNDUP(Y178/H178,0)*0.00902),"")</f>
        <v/>
      </c>
      <c r="AA178" s="68" t="inlineStr"/>
      <c r="AB178" s="69" t="inlineStr"/>
      <c r="AC178" s="238" t="inlineStr">
        <is>
          <t>ЕАЭС N RU Д-RU.РА05.В.80946/24</t>
        </is>
      </c>
      <c r="AG178" s="78" t="n"/>
      <c r="AJ178" s="84" t="inlineStr"/>
      <c r="AK178" s="84" t="n">
        <v>0</v>
      </c>
      <c r="BB178" s="23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37.5" customHeight="1">
      <c r="A179" s="63" t="inlineStr">
        <is>
          <t>SU003388</t>
        </is>
      </c>
      <c r="B179" s="63" t="inlineStr">
        <is>
          <t>P004207</t>
        </is>
      </c>
      <c r="C179" s="36" t="n">
        <v>4301011851</v>
      </c>
      <c r="D179" s="401" t="n">
        <v>4680115885820</v>
      </c>
      <c r="E179" s="646" t="n"/>
      <c r="F179" s="685" t="n">
        <v>0.4</v>
      </c>
      <c r="G179" s="37" t="n">
        <v>10</v>
      </c>
      <c r="H179" s="685" t="n">
        <v>4</v>
      </c>
      <c r="I179" s="685" t="n">
        <v>4.21</v>
      </c>
      <c r="J179" s="37" t="n">
        <v>132</v>
      </c>
      <c r="K179" s="37" t="inlineStr">
        <is>
          <t>12</t>
        </is>
      </c>
      <c r="L179" s="37" t="inlineStr"/>
      <c r="M179" s="38" t="inlineStr">
        <is>
          <t>СК1</t>
        </is>
      </c>
      <c r="N179" s="38" t="n"/>
      <c r="O179" s="37" t="n">
        <v>55</v>
      </c>
      <c r="P179" s="771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179" s="687" t="n"/>
      <c r="R179" s="687" t="n"/>
      <c r="S179" s="687" t="n"/>
      <c r="T179" s="688" t="n"/>
      <c r="U179" s="39" t="inlineStr"/>
      <c r="V179" s="39" t="inlineStr"/>
      <c r="W179" s="40" t="inlineStr">
        <is>
          <t>кг</t>
        </is>
      </c>
      <c r="X179" s="689" t="n">
        <v>100</v>
      </c>
      <c r="Y179" s="690">
        <f>IFERROR(IF(X179="",0,CEILING((X179/$H179),1)*$H179),"")</f>
        <v/>
      </c>
      <c r="Z179" s="41">
        <f>IFERROR(IF(Y179=0,"",ROUNDUP(Y179/H179,0)*0.00902),"")</f>
        <v/>
      </c>
      <c r="AA179" s="68" t="inlineStr"/>
      <c r="AB179" s="69" t="inlineStr"/>
      <c r="AC179" s="240" t="inlineStr">
        <is>
          <t>ЕАЭС N RU Д-RU.РА05.В.80546/24</t>
        </is>
      </c>
      <c r="AG179" s="78" t="n"/>
      <c r="AJ179" s="84" t="inlineStr"/>
      <c r="AK179" s="84" t="n">
        <v>0</v>
      </c>
      <c r="BB179" s="24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>
      <c r="A180" s="410" t="n"/>
      <c r="B180" s="397" t="n"/>
      <c r="C180" s="397" t="n"/>
      <c r="D180" s="397" t="n"/>
      <c r="E180" s="397" t="n"/>
      <c r="F180" s="397" t="n"/>
      <c r="G180" s="397" t="n"/>
      <c r="H180" s="397" t="n"/>
      <c r="I180" s="397" t="n"/>
      <c r="J180" s="397" t="n"/>
      <c r="K180" s="397" t="n"/>
      <c r="L180" s="397" t="n"/>
      <c r="M180" s="397" t="n"/>
      <c r="N180" s="397" t="n"/>
      <c r="O180" s="692" t="n"/>
      <c r="P180" s="693" t="inlineStr">
        <is>
          <t>Итого</t>
        </is>
      </c>
      <c r="Q180" s="654" t="n"/>
      <c r="R180" s="654" t="n"/>
      <c r="S180" s="654" t="n"/>
      <c r="T180" s="654" t="n"/>
      <c r="U180" s="654" t="n"/>
      <c r="V180" s="655" t="n"/>
      <c r="W180" s="42" t="inlineStr">
        <is>
          <t>кор</t>
        </is>
      </c>
      <c r="X180" s="694">
        <f>IFERROR(X175/H175,"0")+IFERROR(X176/H176,"0")+IFERROR(X177/H177,"0")+IFERROR(X178/H178,"0")+IFERROR(X179/H179,"0")</f>
        <v/>
      </c>
      <c r="Y180" s="694">
        <f>IFERROR(Y175/H175,"0")+IFERROR(Y176/H176,"0")+IFERROR(Y177/H177,"0")+IFERROR(Y178/H178,"0")+IFERROR(Y179/H179,"0")</f>
        <v/>
      </c>
      <c r="Z180" s="694">
        <f>IFERROR(IF(Z175="",0,Z175),"0")+IFERROR(IF(Z176="",0,Z176),"0")+IFERROR(IF(Z177="",0,Z177),"0")+IFERROR(IF(Z178="",0,Z178),"0")+IFERROR(IF(Z179="",0,Z179),"0")</f>
        <v/>
      </c>
      <c r="AA180" s="695" t="n"/>
      <c r="AB180" s="695" t="n"/>
      <c r="AC180" s="695" t="n"/>
    </row>
    <row r="181">
      <c r="A181" s="397" t="n"/>
      <c r="B181" s="397" t="n"/>
      <c r="C181" s="397" t="n"/>
      <c r="D181" s="397" t="n"/>
      <c r="E181" s="397" t="n"/>
      <c r="F181" s="397" t="n"/>
      <c r="G181" s="397" t="n"/>
      <c r="H181" s="397" t="n"/>
      <c r="I181" s="397" t="n"/>
      <c r="J181" s="397" t="n"/>
      <c r="K181" s="397" t="n"/>
      <c r="L181" s="397" t="n"/>
      <c r="M181" s="397" t="n"/>
      <c r="N181" s="397" t="n"/>
      <c r="O181" s="692" t="n"/>
      <c r="P181" s="693" t="inlineStr">
        <is>
          <t>Итого</t>
        </is>
      </c>
      <c r="Q181" s="654" t="n"/>
      <c r="R181" s="654" t="n"/>
      <c r="S181" s="654" t="n"/>
      <c r="T181" s="654" t="n"/>
      <c r="U181" s="654" t="n"/>
      <c r="V181" s="655" t="n"/>
      <c r="W181" s="42" t="inlineStr">
        <is>
          <t>кг</t>
        </is>
      </c>
      <c r="X181" s="694">
        <f>IFERROR(SUM(X175:X179),"0")</f>
        <v/>
      </c>
      <c r="Y181" s="694">
        <f>IFERROR(SUM(Y175:Y179),"0")</f>
        <v/>
      </c>
      <c r="Z181" s="42" t="n"/>
      <c r="AA181" s="695" t="n"/>
      <c r="AB181" s="695" t="n"/>
      <c r="AC181" s="695" t="n"/>
    </row>
    <row r="182" ht="16.5" customHeight="1">
      <c r="A182" s="430" t="inlineStr">
        <is>
          <t>Стародворская Золоченная в печи</t>
        </is>
      </c>
      <c r="B182" s="397" t="n"/>
      <c r="C182" s="397" t="n"/>
      <c r="D182" s="397" t="n"/>
      <c r="E182" s="397" t="n"/>
      <c r="F182" s="397" t="n"/>
      <c r="G182" s="397" t="n"/>
      <c r="H182" s="397" t="n"/>
      <c r="I182" s="397" t="n"/>
      <c r="J182" s="397" t="n"/>
      <c r="K182" s="397" t="n"/>
      <c r="L182" s="397" t="n"/>
      <c r="M182" s="397" t="n"/>
      <c r="N182" s="397" t="n"/>
      <c r="O182" s="397" t="n"/>
      <c r="P182" s="397" t="n"/>
      <c r="Q182" s="397" t="n"/>
      <c r="R182" s="397" t="n"/>
      <c r="S182" s="397" t="n"/>
      <c r="T182" s="397" t="n"/>
      <c r="U182" s="397" t="n"/>
      <c r="V182" s="397" t="n"/>
      <c r="W182" s="397" t="n"/>
      <c r="X182" s="397" t="n"/>
      <c r="Y182" s="397" t="n"/>
      <c r="Z182" s="397" t="n"/>
      <c r="AA182" s="430" t="n"/>
      <c r="AB182" s="430" t="n"/>
      <c r="AC182" s="430" t="n"/>
    </row>
    <row r="183" ht="14.25" customHeight="1">
      <c r="A183" s="400" t="inlineStr">
        <is>
          <t>Вареные колбасы</t>
        </is>
      </c>
      <c r="B183" s="397" t="n"/>
      <c r="C183" s="397" t="n"/>
      <c r="D183" s="397" t="n"/>
      <c r="E183" s="397" t="n"/>
      <c r="F183" s="397" t="n"/>
      <c r="G183" s="397" t="n"/>
      <c r="H183" s="397" t="n"/>
      <c r="I183" s="397" t="n"/>
      <c r="J183" s="397" t="n"/>
      <c r="K183" s="397" t="n"/>
      <c r="L183" s="397" t="n"/>
      <c r="M183" s="397" t="n"/>
      <c r="N183" s="397" t="n"/>
      <c r="O183" s="397" t="n"/>
      <c r="P183" s="397" t="n"/>
      <c r="Q183" s="397" t="n"/>
      <c r="R183" s="397" t="n"/>
      <c r="S183" s="397" t="n"/>
      <c r="T183" s="397" t="n"/>
      <c r="U183" s="397" t="n"/>
      <c r="V183" s="397" t="n"/>
      <c r="W183" s="397" t="n"/>
      <c r="X183" s="397" t="n"/>
      <c r="Y183" s="397" t="n"/>
      <c r="Z183" s="397" t="n"/>
      <c r="AA183" s="400" t="n"/>
      <c r="AB183" s="400" t="n"/>
      <c r="AC183" s="400" t="n"/>
    </row>
    <row r="184" ht="27" customHeight="1">
      <c r="A184" s="63" t="inlineStr">
        <is>
          <t>SU002201</t>
        </is>
      </c>
      <c r="B184" s="63" t="inlineStr">
        <is>
          <t>P002567</t>
        </is>
      </c>
      <c r="C184" s="36" t="n">
        <v>4301011223</v>
      </c>
      <c r="D184" s="401" t="n">
        <v>4607091383423</v>
      </c>
      <c r="E184" s="646" t="n"/>
      <c r="F184" s="685" t="n">
        <v>1.35</v>
      </c>
      <c r="G184" s="37" t="n">
        <v>8</v>
      </c>
      <c r="H184" s="685" t="n">
        <v>10.8</v>
      </c>
      <c r="I184" s="685" t="n">
        <v>11.331</v>
      </c>
      <c r="J184" s="37" t="n">
        <v>64</v>
      </c>
      <c r="K184" s="37" t="inlineStr">
        <is>
          <t>8</t>
        </is>
      </c>
      <c r="L184" s="37" t="inlineStr"/>
      <c r="M184" s="38" t="inlineStr">
        <is>
          <t>СК3</t>
        </is>
      </c>
      <c r="N184" s="38" t="n"/>
      <c r="O184" s="37" t="n">
        <v>35</v>
      </c>
      <c r="P184" s="772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184" s="687" t="n"/>
      <c r="R184" s="687" t="n"/>
      <c r="S184" s="687" t="n"/>
      <c r="T184" s="688" t="n"/>
      <c r="U184" s="39" t="inlineStr"/>
      <c r="V184" s="39" t="inlineStr"/>
      <c r="W184" s="40" t="inlineStr">
        <is>
          <t>кг</t>
        </is>
      </c>
      <c r="X184" s="689" t="n">
        <v>0</v>
      </c>
      <c r="Y184" s="690">
        <f>IFERROR(IF(X184="",0,CEILING((X184/$H184),1)*$H184),"")</f>
        <v/>
      </c>
      <c r="Z184" s="41">
        <f>IFERROR(IF(Y184=0,"",ROUNDUP(Y184/H184,0)*0.01898),"")</f>
        <v/>
      </c>
      <c r="AA184" s="68" t="inlineStr"/>
      <c r="AB184" s="69" t="inlineStr"/>
      <c r="AC184" s="242" t="inlineStr">
        <is>
          <t>ЕАЭС N RU Д- RU.РА01.В.79635/20</t>
        </is>
      </c>
      <c r="AG184" s="78" t="n"/>
      <c r="AJ184" s="84" t="inlineStr"/>
      <c r="AK184" s="84" t="n">
        <v>0</v>
      </c>
      <c r="BB184" s="243" t="inlineStr">
        <is>
          <t>КИ</t>
        </is>
      </c>
      <c r="BM184" s="78">
        <f>IFERROR(X184*I184/H184,"0")</f>
        <v/>
      </c>
      <c r="BN184" s="78">
        <f>IFERROR(Y184*I184/H184,"0")</f>
        <v/>
      </c>
      <c r="BO184" s="78">
        <f>IFERROR(1/J184*(X184/H184),"0")</f>
        <v/>
      </c>
      <c r="BP184" s="78">
        <f>IFERROR(1/J184*(Y184/H184),"0")</f>
        <v/>
      </c>
    </row>
    <row r="185" ht="27" customHeight="1">
      <c r="A185" s="63" t="inlineStr">
        <is>
          <t>SU003946</t>
        </is>
      </c>
      <c r="B185" s="63" t="inlineStr">
        <is>
          <t>P005063</t>
        </is>
      </c>
      <c r="C185" s="36" t="n">
        <v>4301012199</v>
      </c>
      <c r="D185" s="401" t="n">
        <v>4680115886957</v>
      </c>
      <c r="E185" s="646" t="n"/>
      <c r="F185" s="685" t="n">
        <v>1.35</v>
      </c>
      <c r="G185" s="37" t="n">
        <v>8</v>
      </c>
      <c r="H185" s="685" t="n">
        <v>10.8</v>
      </c>
      <c r="I185" s="685" t="n">
        <v>11.235</v>
      </c>
      <c r="J185" s="37" t="n">
        <v>64</v>
      </c>
      <c r="K185" s="37" t="inlineStr">
        <is>
          <t>8</t>
        </is>
      </c>
      <c r="L185" s="37" t="inlineStr"/>
      <c r="M185" s="38" t="inlineStr">
        <is>
          <t>СК3</t>
        </is>
      </c>
      <c r="N185" s="38" t="n"/>
      <c r="O185" s="37" t="n">
        <v>30</v>
      </c>
      <c r="P185" s="773" t="inlineStr">
        <is>
          <t>Вареные колбасы «со шпиком» Весовой фиброуз ТМ «Стародворье»</t>
        </is>
      </c>
      <c r="Q185" s="687" t="n"/>
      <c r="R185" s="687" t="n"/>
      <c r="S185" s="687" t="n"/>
      <c r="T185" s="688" t="n"/>
      <c r="U185" s="39" t="inlineStr"/>
      <c r="V185" s="39" t="inlineStr"/>
      <c r="W185" s="40" t="inlineStr">
        <is>
          <t>кг</t>
        </is>
      </c>
      <c r="X185" s="689" t="n">
        <v>0</v>
      </c>
      <c r="Y185" s="690">
        <f>IFERROR(IF(X185="",0,CEILING((X185/$H185),1)*$H185),"")</f>
        <v/>
      </c>
      <c r="Z185" s="41">
        <f>IFERROR(IF(Y185=0,"",ROUNDUP(Y185/H185,0)*0.01898),"")</f>
        <v/>
      </c>
      <c r="AA185" s="68" t="inlineStr"/>
      <c r="AB185" s="69" t="inlineStr"/>
      <c r="AC185" s="244" t="inlineStr">
        <is>
          <t>ЕАЭС N RU Д-RU.РА04.В.04775/25</t>
        </is>
      </c>
      <c r="AG185" s="78" t="n"/>
      <c r="AJ185" s="84" t="inlineStr"/>
      <c r="AK185" s="84" t="n">
        <v>0</v>
      </c>
      <c r="BB185" s="245" t="inlineStr">
        <is>
          <t>КИ</t>
        </is>
      </c>
      <c r="BM185" s="78">
        <f>IFERROR(X185*I185/H185,"0")</f>
        <v/>
      </c>
      <c r="BN185" s="78">
        <f>IFERROR(Y185*I185/H185,"0")</f>
        <v/>
      </c>
      <c r="BO185" s="78">
        <f>IFERROR(1/J185*(X185/H185),"0")</f>
        <v/>
      </c>
      <c r="BP185" s="78">
        <f>IFERROR(1/J185*(Y185/H185),"0")</f>
        <v/>
      </c>
    </row>
    <row r="186">
      <c r="A186" s="410" t="n"/>
      <c r="B186" s="397" t="n"/>
      <c r="C186" s="397" t="n"/>
      <c r="D186" s="397" t="n"/>
      <c r="E186" s="397" t="n"/>
      <c r="F186" s="397" t="n"/>
      <c r="G186" s="397" t="n"/>
      <c r="H186" s="397" t="n"/>
      <c r="I186" s="397" t="n"/>
      <c r="J186" s="397" t="n"/>
      <c r="K186" s="397" t="n"/>
      <c r="L186" s="397" t="n"/>
      <c r="M186" s="397" t="n"/>
      <c r="N186" s="397" t="n"/>
      <c r="O186" s="692" t="n"/>
      <c r="P186" s="693" t="inlineStr">
        <is>
          <t>Итого</t>
        </is>
      </c>
      <c r="Q186" s="654" t="n"/>
      <c r="R186" s="654" t="n"/>
      <c r="S186" s="654" t="n"/>
      <c r="T186" s="654" t="n"/>
      <c r="U186" s="654" t="n"/>
      <c r="V186" s="655" t="n"/>
      <c r="W186" s="42" t="inlineStr">
        <is>
          <t>кор</t>
        </is>
      </c>
      <c r="X186" s="694">
        <f>IFERROR(X184/H184,"0")+IFERROR(X185/H185,"0")</f>
        <v/>
      </c>
      <c r="Y186" s="694">
        <f>IFERROR(Y184/H184,"0")+IFERROR(Y185/H185,"0")</f>
        <v/>
      </c>
      <c r="Z186" s="694">
        <f>IFERROR(IF(Z184="",0,Z184),"0")+IFERROR(IF(Z185="",0,Z185),"0")</f>
        <v/>
      </c>
      <c r="AA186" s="695" t="n"/>
      <c r="AB186" s="695" t="n"/>
      <c r="AC186" s="695" t="n"/>
    </row>
    <row r="187">
      <c r="A187" s="397" t="n"/>
      <c r="B187" s="397" t="n"/>
      <c r="C187" s="397" t="n"/>
      <c r="D187" s="397" t="n"/>
      <c r="E187" s="397" t="n"/>
      <c r="F187" s="397" t="n"/>
      <c r="G187" s="397" t="n"/>
      <c r="H187" s="397" t="n"/>
      <c r="I187" s="397" t="n"/>
      <c r="J187" s="397" t="n"/>
      <c r="K187" s="397" t="n"/>
      <c r="L187" s="397" t="n"/>
      <c r="M187" s="397" t="n"/>
      <c r="N187" s="397" t="n"/>
      <c r="O187" s="692" t="n"/>
      <c r="P187" s="693" t="inlineStr">
        <is>
          <t>Итого</t>
        </is>
      </c>
      <c r="Q187" s="654" t="n"/>
      <c r="R187" s="654" t="n"/>
      <c r="S187" s="654" t="n"/>
      <c r="T187" s="654" t="n"/>
      <c r="U187" s="654" t="n"/>
      <c r="V187" s="655" t="n"/>
      <c r="W187" s="42" t="inlineStr">
        <is>
          <t>кг</t>
        </is>
      </c>
      <c r="X187" s="694">
        <f>IFERROR(SUM(X184:X185),"0")</f>
        <v/>
      </c>
      <c r="Y187" s="694">
        <f>IFERROR(SUM(Y184:Y185),"0")</f>
        <v/>
      </c>
      <c r="Z187" s="42" t="n"/>
      <c r="AA187" s="695" t="n"/>
      <c r="AB187" s="695" t="n"/>
      <c r="AC187" s="695" t="n"/>
    </row>
    <row r="188" ht="16.5" customHeight="1">
      <c r="A188" s="430" t="inlineStr">
        <is>
          <t>Сочинка по-баварски</t>
        </is>
      </c>
      <c r="B188" s="397" t="n"/>
      <c r="C188" s="397" t="n"/>
      <c r="D188" s="397" t="n"/>
      <c r="E188" s="397" t="n"/>
      <c r="F188" s="397" t="n"/>
      <c r="G188" s="397" t="n"/>
      <c r="H188" s="397" t="n"/>
      <c r="I188" s="397" t="n"/>
      <c r="J188" s="397" t="n"/>
      <c r="K188" s="397" t="n"/>
      <c r="L188" s="397" t="n"/>
      <c r="M188" s="397" t="n"/>
      <c r="N188" s="397" t="n"/>
      <c r="O188" s="397" t="n"/>
      <c r="P188" s="397" t="n"/>
      <c r="Q188" s="397" t="n"/>
      <c r="R188" s="397" t="n"/>
      <c r="S188" s="397" t="n"/>
      <c r="T188" s="397" t="n"/>
      <c r="U188" s="397" t="n"/>
      <c r="V188" s="397" t="n"/>
      <c r="W188" s="397" t="n"/>
      <c r="X188" s="397" t="n"/>
      <c r="Y188" s="397" t="n"/>
      <c r="Z188" s="397" t="n"/>
      <c r="AA188" s="430" t="n"/>
      <c r="AB188" s="430" t="n"/>
      <c r="AC188" s="430" t="n"/>
    </row>
    <row r="189" ht="14.25" customHeight="1">
      <c r="A189" s="400" t="inlineStr">
        <is>
          <t>Сосиски</t>
        </is>
      </c>
      <c r="B189" s="397" t="n"/>
      <c r="C189" s="397" t="n"/>
      <c r="D189" s="397" t="n"/>
      <c r="E189" s="397" t="n"/>
      <c r="F189" s="397" t="n"/>
      <c r="G189" s="397" t="n"/>
      <c r="H189" s="397" t="n"/>
      <c r="I189" s="397" t="n"/>
      <c r="J189" s="397" t="n"/>
      <c r="K189" s="397" t="n"/>
      <c r="L189" s="397" t="n"/>
      <c r="M189" s="397" t="n"/>
      <c r="N189" s="397" t="n"/>
      <c r="O189" s="397" t="n"/>
      <c r="P189" s="397" t="n"/>
      <c r="Q189" s="397" t="n"/>
      <c r="R189" s="397" t="n"/>
      <c r="S189" s="397" t="n"/>
      <c r="T189" s="397" t="n"/>
      <c r="U189" s="397" t="n"/>
      <c r="V189" s="397" t="n"/>
      <c r="W189" s="397" t="n"/>
      <c r="X189" s="397" t="n"/>
      <c r="Y189" s="397" t="n"/>
      <c r="Z189" s="397" t="n"/>
      <c r="AA189" s="400" t="n"/>
      <c r="AB189" s="400" t="n"/>
      <c r="AC189" s="400" t="n"/>
    </row>
    <row r="190" ht="37.5" customHeight="1">
      <c r="A190" s="63" t="inlineStr">
        <is>
          <t>SU002799</t>
        </is>
      </c>
      <c r="B190" s="63" t="inlineStr">
        <is>
          <t>P003217</t>
        </is>
      </c>
      <c r="C190" s="36" t="n">
        <v>4301051388</v>
      </c>
      <c r="D190" s="401" t="n">
        <v>4680115881211</v>
      </c>
      <c r="E190" s="646" t="n"/>
      <c r="F190" s="685" t="n">
        <v>0.4</v>
      </c>
      <c r="G190" s="37" t="n">
        <v>6</v>
      </c>
      <c r="H190" s="685" t="n">
        <v>2.4</v>
      </c>
      <c r="I190" s="685" t="n">
        <v>2.58</v>
      </c>
      <c r="J190" s="37" t="n">
        <v>182</v>
      </c>
      <c r="K190" s="37" t="inlineStr">
        <is>
          <t>14</t>
        </is>
      </c>
      <c r="L190" s="37" t="inlineStr"/>
      <c r="M190" s="38" t="inlineStr">
        <is>
          <t>СК3</t>
        </is>
      </c>
      <c r="N190" s="38" t="n"/>
      <c r="O190" s="37" t="n">
        <v>45</v>
      </c>
      <c r="P190" s="77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190" s="687" t="n"/>
      <c r="R190" s="687" t="n"/>
      <c r="S190" s="687" t="n"/>
      <c r="T190" s="688" t="n"/>
      <c r="U190" s="39" t="inlineStr"/>
      <c r="V190" s="39" t="inlineStr"/>
      <c r="W190" s="40" t="inlineStr">
        <is>
          <t>кг</t>
        </is>
      </c>
      <c r="X190" s="689" t="n">
        <v>0</v>
      </c>
      <c r="Y190" s="690">
        <f>IFERROR(IF(X190="",0,CEILING((X190/$H190),1)*$H190),"")</f>
        <v/>
      </c>
      <c r="Z190" s="41">
        <f>IFERROR(IF(Y190=0,"",ROUNDUP(Y190/H190,0)*0.00651),"")</f>
        <v/>
      </c>
      <c r="AA190" s="68" t="inlineStr"/>
      <c r="AB190" s="69" t="inlineStr"/>
      <c r="AC190" s="246" t="inlineStr">
        <is>
          <t>ЕАЭС N RU Д-RU.РА02.В.41322/24, ЕАЭС N RU Д-RU.РА09.В.03891/22, ЕАЭС N RU Д-RU.РА09.В.03932/22</t>
        </is>
      </c>
      <c r="AG190" s="78" t="n"/>
      <c r="AJ190" s="84" t="inlineStr"/>
      <c r="AK190" s="84" t="n">
        <v>0</v>
      </c>
      <c r="BB190" s="247" t="inlineStr">
        <is>
          <t>КИ</t>
        </is>
      </c>
      <c r="BM190" s="78">
        <f>IFERROR(X190*I190/H190,"0")</f>
        <v/>
      </c>
      <c r="BN190" s="78">
        <f>IFERROR(Y190*I190/H190,"0")</f>
        <v/>
      </c>
      <c r="BO190" s="78">
        <f>IFERROR(1/J190*(X190/H190),"0")</f>
        <v/>
      </c>
      <c r="BP190" s="78">
        <f>IFERROR(1/J190*(Y190/H190),"0")</f>
        <v/>
      </c>
    </row>
    <row r="191">
      <c r="A191" s="410" t="n"/>
      <c r="B191" s="397" t="n"/>
      <c r="C191" s="397" t="n"/>
      <c r="D191" s="397" t="n"/>
      <c r="E191" s="397" t="n"/>
      <c r="F191" s="397" t="n"/>
      <c r="G191" s="397" t="n"/>
      <c r="H191" s="397" t="n"/>
      <c r="I191" s="397" t="n"/>
      <c r="J191" s="397" t="n"/>
      <c r="K191" s="397" t="n"/>
      <c r="L191" s="397" t="n"/>
      <c r="M191" s="397" t="n"/>
      <c r="N191" s="397" t="n"/>
      <c r="O191" s="692" t="n"/>
      <c r="P191" s="693" t="inlineStr">
        <is>
          <t>Итого</t>
        </is>
      </c>
      <c r="Q191" s="654" t="n"/>
      <c r="R191" s="654" t="n"/>
      <c r="S191" s="654" t="n"/>
      <c r="T191" s="654" t="n"/>
      <c r="U191" s="654" t="n"/>
      <c r="V191" s="655" t="n"/>
      <c r="W191" s="42" t="inlineStr">
        <is>
          <t>кор</t>
        </is>
      </c>
      <c r="X191" s="694">
        <f>IFERROR(X190/H190,"0")</f>
        <v/>
      </c>
      <c r="Y191" s="694">
        <f>IFERROR(Y190/H190,"0")</f>
        <v/>
      </c>
      <c r="Z191" s="694">
        <f>IFERROR(IF(Z190="",0,Z190),"0")</f>
        <v/>
      </c>
      <c r="AA191" s="695" t="n"/>
      <c r="AB191" s="695" t="n"/>
      <c r="AC191" s="695" t="n"/>
    </row>
    <row r="192">
      <c r="A192" s="397" t="n"/>
      <c r="B192" s="397" t="n"/>
      <c r="C192" s="397" t="n"/>
      <c r="D192" s="397" t="n"/>
      <c r="E192" s="397" t="n"/>
      <c r="F192" s="397" t="n"/>
      <c r="G192" s="397" t="n"/>
      <c r="H192" s="397" t="n"/>
      <c r="I192" s="397" t="n"/>
      <c r="J192" s="397" t="n"/>
      <c r="K192" s="397" t="n"/>
      <c r="L192" s="397" t="n"/>
      <c r="M192" s="397" t="n"/>
      <c r="N192" s="397" t="n"/>
      <c r="O192" s="692" t="n"/>
      <c r="P192" s="693" t="inlineStr">
        <is>
          <t>Итого</t>
        </is>
      </c>
      <c r="Q192" s="654" t="n"/>
      <c r="R192" s="654" t="n"/>
      <c r="S192" s="654" t="n"/>
      <c r="T192" s="654" t="n"/>
      <c r="U192" s="654" t="n"/>
      <c r="V192" s="655" t="n"/>
      <c r="W192" s="42" t="inlineStr">
        <is>
          <t>кг</t>
        </is>
      </c>
      <c r="X192" s="694">
        <f>IFERROR(SUM(X190:X190),"0")</f>
        <v/>
      </c>
      <c r="Y192" s="694">
        <f>IFERROR(SUM(Y190:Y190),"0")</f>
        <v/>
      </c>
      <c r="Z192" s="42" t="n"/>
      <c r="AA192" s="695" t="n"/>
      <c r="AB192" s="695" t="n"/>
      <c r="AC192" s="695" t="n"/>
    </row>
    <row r="193" ht="16.5" customHeight="1">
      <c r="A193" s="430" t="inlineStr">
        <is>
          <t>Стародворская EDLP/EDPP</t>
        </is>
      </c>
      <c r="B193" s="397" t="n"/>
      <c r="C193" s="397" t="n"/>
      <c r="D193" s="397" t="n"/>
      <c r="E193" s="397" t="n"/>
      <c r="F193" s="397" t="n"/>
      <c r="G193" s="397" t="n"/>
      <c r="H193" s="397" t="n"/>
      <c r="I193" s="397" t="n"/>
      <c r="J193" s="397" t="n"/>
      <c r="K193" s="397" t="n"/>
      <c r="L193" s="397" t="n"/>
      <c r="M193" s="397" t="n"/>
      <c r="N193" s="397" t="n"/>
      <c r="O193" s="397" t="n"/>
      <c r="P193" s="397" t="n"/>
      <c r="Q193" s="397" t="n"/>
      <c r="R193" s="397" t="n"/>
      <c r="S193" s="397" t="n"/>
      <c r="T193" s="397" t="n"/>
      <c r="U193" s="397" t="n"/>
      <c r="V193" s="397" t="n"/>
      <c r="W193" s="397" t="n"/>
      <c r="X193" s="397" t="n"/>
      <c r="Y193" s="397" t="n"/>
      <c r="Z193" s="397" t="n"/>
      <c r="AA193" s="430" t="n"/>
      <c r="AB193" s="430" t="n"/>
      <c r="AC193" s="430" t="n"/>
    </row>
    <row r="194" ht="14.25" customHeight="1">
      <c r="A194" s="400" t="inlineStr">
        <is>
          <t>Сосиски</t>
        </is>
      </c>
      <c r="B194" s="397" t="n"/>
      <c r="C194" s="397" t="n"/>
      <c r="D194" s="397" t="n"/>
      <c r="E194" s="397" t="n"/>
      <c r="F194" s="397" t="n"/>
      <c r="G194" s="397" t="n"/>
      <c r="H194" s="397" t="n"/>
      <c r="I194" s="397" t="n"/>
      <c r="J194" s="397" t="n"/>
      <c r="K194" s="397" t="n"/>
      <c r="L194" s="397" t="n"/>
      <c r="M194" s="397" t="n"/>
      <c r="N194" s="397" t="n"/>
      <c r="O194" s="397" t="n"/>
      <c r="P194" s="397" t="n"/>
      <c r="Q194" s="397" t="n"/>
      <c r="R194" s="397" t="n"/>
      <c r="S194" s="397" t="n"/>
      <c r="T194" s="397" t="n"/>
      <c r="U194" s="397" t="n"/>
      <c r="V194" s="397" t="n"/>
      <c r="W194" s="397" t="n"/>
      <c r="X194" s="397" t="n"/>
      <c r="Y194" s="397" t="n"/>
      <c r="Z194" s="397" t="n"/>
      <c r="AA194" s="400" t="n"/>
      <c r="AB194" s="400" t="n"/>
      <c r="AC194" s="400" t="n"/>
    </row>
    <row r="195" ht="27" customHeight="1">
      <c r="A195" s="63" t="inlineStr">
        <is>
          <t>SU003340</t>
        </is>
      </c>
      <c r="B195" s="63" t="inlineStr">
        <is>
          <t>P004090</t>
        </is>
      </c>
      <c r="C195" s="36" t="n">
        <v>4301051782</v>
      </c>
      <c r="D195" s="401" t="n">
        <v>4680115884618</v>
      </c>
      <c r="E195" s="646" t="n"/>
      <c r="F195" s="685" t="n">
        <v>0.6</v>
      </c>
      <c r="G195" s="37" t="n">
        <v>6</v>
      </c>
      <c r="H195" s="685" t="n">
        <v>3.6</v>
      </c>
      <c r="I195" s="685" t="n">
        <v>3.81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СК3</t>
        </is>
      </c>
      <c r="N195" s="38" t="n"/>
      <c r="O195" s="37" t="n">
        <v>45</v>
      </c>
      <c r="P195" s="77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195" s="687" t="n"/>
      <c r="R195" s="687" t="n"/>
      <c r="S195" s="687" t="n"/>
      <c r="T195" s="688" t="n"/>
      <c r="U195" s="39" t="inlineStr"/>
      <c r="V195" s="39" t="inlineStr"/>
      <c r="W195" s="40" t="inlineStr">
        <is>
          <t>кг</t>
        </is>
      </c>
      <c r="X195" s="689" t="n">
        <v>0</v>
      </c>
      <c r="Y195" s="690">
        <f>IFERROR(IF(X195="",0,CEILING((X195/$H195),1)*$H195),"")</f>
        <v/>
      </c>
      <c r="Z195" s="41">
        <f>IFERROR(IF(Y195=0,"",ROUNDUP(Y195/H195,0)*0.00902),"")</f>
        <v/>
      </c>
      <c r="AA195" s="68" t="inlineStr"/>
      <c r="AB195" s="69" t="inlineStr"/>
      <c r="AC195" s="248" t="inlineStr">
        <is>
          <t>ЕАЭС N RU Д-RU.РА09.В.08947/23, ЕАЭС N RU Д-RU.РА09.В.09542/23</t>
        </is>
      </c>
      <c r="AG195" s="78" t="n"/>
      <c r="AJ195" s="84" t="inlineStr"/>
      <c r="AK195" s="84" t="n">
        <v>0</v>
      </c>
      <c r="BB195" s="249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>
      <c r="A196" s="410" t="n"/>
      <c r="B196" s="397" t="n"/>
      <c r="C196" s="397" t="n"/>
      <c r="D196" s="397" t="n"/>
      <c r="E196" s="397" t="n"/>
      <c r="F196" s="397" t="n"/>
      <c r="G196" s="397" t="n"/>
      <c r="H196" s="397" t="n"/>
      <c r="I196" s="397" t="n"/>
      <c r="J196" s="397" t="n"/>
      <c r="K196" s="397" t="n"/>
      <c r="L196" s="397" t="n"/>
      <c r="M196" s="397" t="n"/>
      <c r="N196" s="397" t="n"/>
      <c r="O196" s="692" t="n"/>
      <c r="P196" s="693" t="inlineStr">
        <is>
          <t>Итого</t>
        </is>
      </c>
      <c r="Q196" s="654" t="n"/>
      <c r="R196" s="654" t="n"/>
      <c r="S196" s="654" t="n"/>
      <c r="T196" s="654" t="n"/>
      <c r="U196" s="654" t="n"/>
      <c r="V196" s="655" t="n"/>
      <c r="W196" s="42" t="inlineStr">
        <is>
          <t>кор</t>
        </is>
      </c>
      <c r="X196" s="694">
        <f>IFERROR(X195/H195,"0")</f>
        <v/>
      </c>
      <c r="Y196" s="694">
        <f>IFERROR(Y195/H195,"0")</f>
        <v/>
      </c>
      <c r="Z196" s="694">
        <f>IFERROR(IF(Z195="",0,Z195),"0")</f>
        <v/>
      </c>
      <c r="AA196" s="695" t="n"/>
      <c r="AB196" s="695" t="n"/>
      <c r="AC196" s="695" t="n"/>
    </row>
    <row r="197">
      <c r="A197" s="397" t="n"/>
      <c r="B197" s="397" t="n"/>
      <c r="C197" s="397" t="n"/>
      <c r="D197" s="397" t="n"/>
      <c r="E197" s="397" t="n"/>
      <c r="F197" s="397" t="n"/>
      <c r="G197" s="397" t="n"/>
      <c r="H197" s="397" t="n"/>
      <c r="I197" s="397" t="n"/>
      <c r="J197" s="397" t="n"/>
      <c r="K197" s="397" t="n"/>
      <c r="L197" s="397" t="n"/>
      <c r="M197" s="397" t="n"/>
      <c r="N197" s="397" t="n"/>
      <c r="O197" s="692" t="n"/>
      <c r="P197" s="693" t="inlineStr">
        <is>
          <t>Итого</t>
        </is>
      </c>
      <c r="Q197" s="654" t="n"/>
      <c r="R197" s="654" t="n"/>
      <c r="S197" s="654" t="n"/>
      <c r="T197" s="654" t="n"/>
      <c r="U197" s="654" t="n"/>
      <c r="V197" s="655" t="n"/>
      <c r="W197" s="42" t="inlineStr">
        <is>
          <t>кг</t>
        </is>
      </c>
      <c r="X197" s="694">
        <f>IFERROR(SUM(X195:X195),"0")</f>
        <v/>
      </c>
      <c r="Y197" s="694">
        <f>IFERROR(SUM(Y195:Y195),"0")</f>
        <v/>
      </c>
      <c r="Z197" s="42" t="n"/>
      <c r="AA197" s="695" t="n"/>
      <c r="AB197" s="695" t="n"/>
      <c r="AC197" s="695" t="n"/>
    </row>
    <row r="198" ht="16.5" customHeight="1">
      <c r="A198" s="430" t="inlineStr">
        <is>
          <t>Филейная</t>
        </is>
      </c>
      <c r="B198" s="397" t="n"/>
      <c r="C198" s="397" t="n"/>
      <c r="D198" s="397" t="n"/>
      <c r="E198" s="397" t="n"/>
      <c r="F198" s="397" t="n"/>
      <c r="G198" s="397" t="n"/>
      <c r="H198" s="397" t="n"/>
      <c r="I198" s="397" t="n"/>
      <c r="J198" s="397" t="n"/>
      <c r="K198" s="397" t="n"/>
      <c r="L198" s="397" t="n"/>
      <c r="M198" s="397" t="n"/>
      <c r="N198" s="397" t="n"/>
      <c r="O198" s="397" t="n"/>
      <c r="P198" s="397" t="n"/>
      <c r="Q198" s="397" t="n"/>
      <c r="R198" s="397" t="n"/>
      <c r="S198" s="397" t="n"/>
      <c r="T198" s="397" t="n"/>
      <c r="U198" s="397" t="n"/>
      <c r="V198" s="397" t="n"/>
      <c r="W198" s="397" t="n"/>
      <c r="X198" s="397" t="n"/>
      <c r="Y198" s="397" t="n"/>
      <c r="Z198" s="397" t="n"/>
      <c r="AA198" s="430" t="n"/>
      <c r="AB198" s="430" t="n"/>
      <c r="AC198" s="430" t="n"/>
    </row>
    <row r="199" ht="14.25" customHeight="1">
      <c r="A199" s="400" t="inlineStr">
        <is>
          <t>Вареные колбасы</t>
        </is>
      </c>
      <c r="B199" s="397" t="n"/>
      <c r="C199" s="397" t="n"/>
      <c r="D199" s="397" t="n"/>
      <c r="E199" s="397" t="n"/>
      <c r="F199" s="397" t="n"/>
      <c r="G199" s="397" t="n"/>
      <c r="H199" s="397" t="n"/>
      <c r="I199" s="397" t="n"/>
      <c r="J199" s="397" t="n"/>
      <c r="K199" s="397" t="n"/>
      <c r="L199" s="397" t="n"/>
      <c r="M199" s="397" t="n"/>
      <c r="N199" s="397" t="n"/>
      <c r="O199" s="397" t="n"/>
      <c r="P199" s="397" t="n"/>
      <c r="Q199" s="397" t="n"/>
      <c r="R199" s="397" t="n"/>
      <c r="S199" s="397" t="n"/>
      <c r="T199" s="397" t="n"/>
      <c r="U199" s="397" t="n"/>
      <c r="V199" s="397" t="n"/>
      <c r="W199" s="397" t="n"/>
      <c r="X199" s="397" t="n"/>
      <c r="Y199" s="397" t="n"/>
      <c r="Z199" s="397" t="n"/>
      <c r="AA199" s="400" t="n"/>
      <c r="AB199" s="400" t="n"/>
      <c r="AC199" s="400" t="n"/>
    </row>
    <row r="200" ht="27" customHeight="1">
      <c r="A200" s="63" t="inlineStr">
        <is>
          <t>SU003219</t>
        </is>
      </c>
      <c r="B200" s="63" t="inlineStr">
        <is>
          <t>P003863</t>
        </is>
      </c>
      <c r="C200" s="36" t="n">
        <v>4301011662</v>
      </c>
      <c r="D200" s="401" t="n">
        <v>4680115883703</v>
      </c>
      <c r="E200" s="646" t="n"/>
      <c r="F200" s="685" t="n">
        <v>1.35</v>
      </c>
      <c r="G200" s="37" t="n">
        <v>8</v>
      </c>
      <c r="H200" s="685" t="n">
        <v>10.8</v>
      </c>
      <c r="I200" s="685" t="n">
        <v>11.235</v>
      </c>
      <c r="J200" s="37" t="n">
        <v>64</v>
      </c>
      <c r="K200" s="37" t="inlineStr">
        <is>
          <t>8</t>
        </is>
      </c>
      <c r="L200" s="37" t="inlineStr"/>
      <c r="M200" s="38" t="inlineStr">
        <is>
          <t>СК1</t>
        </is>
      </c>
      <c r="N200" s="38" t="n"/>
      <c r="O200" s="37" t="n">
        <v>55</v>
      </c>
      <c r="P200" s="776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00" s="687" t="n"/>
      <c r="R200" s="687" t="n"/>
      <c r="S200" s="687" t="n"/>
      <c r="T200" s="688" t="n"/>
      <c r="U200" s="39" t="inlineStr"/>
      <c r="V200" s="39" t="inlineStr"/>
      <c r="W200" s="40" t="inlineStr">
        <is>
          <t>кг</t>
        </is>
      </c>
      <c r="X200" s="689" t="n">
        <v>0</v>
      </c>
      <c r="Y200" s="690">
        <f>IFERROR(IF(X200="",0,CEILING((X200/$H200),1)*$H200),"")</f>
        <v/>
      </c>
      <c r="Z200" s="41">
        <f>IFERROR(IF(Y200=0,"",ROUNDUP(Y200/H200,0)*0.01898),"")</f>
        <v/>
      </c>
      <c r="AA200" s="68" t="inlineStr">
        <is>
          <t>МАЯК</t>
        </is>
      </c>
      <c r="AB200" s="69" t="inlineStr"/>
      <c r="AC200" s="250" t="inlineStr">
        <is>
          <t>ЕАЭС N RU Д-RU.РА01.В.15337/24</t>
        </is>
      </c>
      <c r="AG200" s="78" t="n"/>
      <c r="AJ200" s="84" t="inlineStr"/>
      <c r="AK200" s="84" t="n">
        <v>0</v>
      </c>
      <c r="BB200" s="25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>
      <c r="A201" s="410" t="n"/>
      <c r="B201" s="397" t="n"/>
      <c r="C201" s="397" t="n"/>
      <c r="D201" s="397" t="n"/>
      <c r="E201" s="397" t="n"/>
      <c r="F201" s="397" t="n"/>
      <c r="G201" s="397" t="n"/>
      <c r="H201" s="397" t="n"/>
      <c r="I201" s="397" t="n"/>
      <c r="J201" s="397" t="n"/>
      <c r="K201" s="397" t="n"/>
      <c r="L201" s="397" t="n"/>
      <c r="M201" s="397" t="n"/>
      <c r="N201" s="397" t="n"/>
      <c r="O201" s="692" t="n"/>
      <c r="P201" s="693" t="inlineStr">
        <is>
          <t>Итого</t>
        </is>
      </c>
      <c r="Q201" s="654" t="n"/>
      <c r="R201" s="654" t="n"/>
      <c r="S201" s="654" t="n"/>
      <c r="T201" s="654" t="n"/>
      <c r="U201" s="654" t="n"/>
      <c r="V201" s="655" t="n"/>
      <c r="W201" s="42" t="inlineStr">
        <is>
          <t>кор</t>
        </is>
      </c>
      <c r="X201" s="694">
        <f>IFERROR(X200/H200,"0")</f>
        <v/>
      </c>
      <c r="Y201" s="694">
        <f>IFERROR(Y200/H200,"0")</f>
        <v/>
      </c>
      <c r="Z201" s="694">
        <f>IFERROR(IF(Z200="",0,Z200),"0")</f>
        <v/>
      </c>
      <c r="AA201" s="695" t="n"/>
      <c r="AB201" s="695" t="n"/>
      <c r="AC201" s="695" t="n"/>
    </row>
    <row r="202">
      <c r="A202" s="397" t="n"/>
      <c r="B202" s="397" t="n"/>
      <c r="C202" s="397" t="n"/>
      <c r="D202" s="397" t="n"/>
      <c r="E202" s="397" t="n"/>
      <c r="F202" s="397" t="n"/>
      <c r="G202" s="397" t="n"/>
      <c r="H202" s="397" t="n"/>
      <c r="I202" s="397" t="n"/>
      <c r="J202" s="397" t="n"/>
      <c r="K202" s="397" t="n"/>
      <c r="L202" s="397" t="n"/>
      <c r="M202" s="397" t="n"/>
      <c r="N202" s="397" t="n"/>
      <c r="O202" s="692" t="n"/>
      <c r="P202" s="693" t="inlineStr">
        <is>
          <t>Итого</t>
        </is>
      </c>
      <c r="Q202" s="654" t="n"/>
      <c r="R202" s="654" t="n"/>
      <c r="S202" s="654" t="n"/>
      <c r="T202" s="654" t="n"/>
      <c r="U202" s="654" t="n"/>
      <c r="V202" s="655" t="n"/>
      <c r="W202" s="42" t="inlineStr">
        <is>
          <t>кг</t>
        </is>
      </c>
      <c r="X202" s="694">
        <f>IFERROR(SUM(X200:X200),"0")</f>
        <v/>
      </c>
      <c r="Y202" s="694">
        <f>IFERROR(SUM(Y200:Y200),"0")</f>
        <v/>
      </c>
      <c r="Z202" s="42" t="n"/>
      <c r="AA202" s="695" t="n"/>
      <c r="AB202" s="695" t="n"/>
      <c r="AC202" s="695" t="n"/>
    </row>
    <row r="203" ht="16.5" customHeight="1">
      <c r="A203" s="430" t="inlineStr">
        <is>
          <t>Бордо</t>
        </is>
      </c>
      <c r="B203" s="397" t="n"/>
      <c r="C203" s="397" t="n"/>
      <c r="D203" s="397" t="n"/>
      <c r="E203" s="397" t="n"/>
      <c r="F203" s="397" t="n"/>
      <c r="G203" s="397" t="n"/>
      <c r="H203" s="397" t="n"/>
      <c r="I203" s="397" t="n"/>
      <c r="J203" s="397" t="n"/>
      <c r="K203" s="397" t="n"/>
      <c r="L203" s="397" t="n"/>
      <c r="M203" s="397" t="n"/>
      <c r="N203" s="397" t="n"/>
      <c r="O203" s="397" t="n"/>
      <c r="P203" s="397" t="n"/>
      <c r="Q203" s="397" t="n"/>
      <c r="R203" s="397" t="n"/>
      <c r="S203" s="397" t="n"/>
      <c r="T203" s="397" t="n"/>
      <c r="U203" s="397" t="n"/>
      <c r="V203" s="397" t="n"/>
      <c r="W203" s="397" t="n"/>
      <c r="X203" s="397" t="n"/>
      <c r="Y203" s="397" t="n"/>
      <c r="Z203" s="397" t="n"/>
      <c r="AA203" s="430" t="n"/>
      <c r="AB203" s="430" t="n"/>
      <c r="AC203" s="430" t="n"/>
    </row>
    <row r="204" ht="14.25" customHeight="1">
      <c r="A204" s="400" t="inlineStr">
        <is>
          <t>Вареные колбасы</t>
        </is>
      </c>
      <c r="B204" s="397" t="n"/>
      <c r="C204" s="397" t="n"/>
      <c r="D204" s="397" t="n"/>
      <c r="E204" s="397" t="n"/>
      <c r="F204" s="397" t="n"/>
      <c r="G204" s="397" t="n"/>
      <c r="H204" s="397" t="n"/>
      <c r="I204" s="397" t="n"/>
      <c r="J204" s="397" t="n"/>
      <c r="K204" s="397" t="n"/>
      <c r="L204" s="397" t="n"/>
      <c r="M204" s="397" t="n"/>
      <c r="N204" s="397" t="n"/>
      <c r="O204" s="397" t="n"/>
      <c r="P204" s="397" t="n"/>
      <c r="Q204" s="397" t="n"/>
      <c r="R204" s="397" t="n"/>
      <c r="S204" s="397" t="n"/>
      <c r="T204" s="397" t="n"/>
      <c r="U204" s="397" t="n"/>
      <c r="V204" s="397" t="n"/>
      <c r="W204" s="397" t="n"/>
      <c r="X204" s="397" t="n"/>
      <c r="Y204" s="397" t="n"/>
      <c r="Z204" s="397" t="n"/>
      <c r="AA204" s="400" t="n"/>
      <c r="AB204" s="400" t="n"/>
      <c r="AC204" s="400" t="n"/>
    </row>
    <row r="205" ht="27" customHeight="1">
      <c r="A205" s="63" t="inlineStr">
        <is>
          <t>SU003394</t>
        </is>
      </c>
      <c r="B205" s="63" t="inlineStr">
        <is>
          <t>P004213</t>
        </is>
      </c>
      <c r="C205" s="36" t="n">
        <v>4301012024</v>
      </c>
      <c r="D205" s="401" t="n">
        <v>4680115885615</v>
      </c>
      <c r="E205" s="646" t="n"/>
      <c r="F205" s="685" t="n">
        <v>1.35</v>
      </c>
      <c r="G205" s="37" t="n">
        <v>8</v>
      </c>
      <c r="H205" s="685" t="n">
        <v>10.8</v>
      </c>
      <c r="I205" s="685" t="n">
        <v>11.235</v>
      </c>
      <c r="J205" s="37" t="n">
        <v>64</v>
      </c>
      <c r="K205" s="37" t="inlineStr">
        <is>
          <t>8</t>
        </is>
      </c>
      <c r="L205" s="37" t="inlineStr"/>
      <c r="M205" s="38" t="inlineStr">
        <is>
          <t>СК3</t>
        </is>
      </c>
      <c r="N205" s="38" t="n"/>
      <c r="O205" s="37" t="n">
        <v>55</v>
      </c>
      <c r="P205" s="777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05" s="687" t="n"/>
      <c r="R205" s="687" t="n"/>
      <c r="S205" s="687" t="n"/>
      <c r="T205" s="688" t="n"/>
      <c r="U205" s="39" t="inlineStr"/>
      <c r="V205" s="39" t="inlineStr"/>
      <c r="W205" s="40" t="inlineStr">
        <is>
          <t>кг</t>
        </is>
      </c>
      <c r="X205" s="689" t="n">
        <v>0</v>
      </c>
      <c r="Y205" s="690">
        <f>IFERROR(IF(X205="",0,CEILING((X205/$H205),1)*$H205),"")</f>
        <v/>
      </c>
      <c r="Z205" s="41">
        <f>IFERROR(IF(Y205=0,"",ROUNDUP(Y205/H205,0)*0.01898),"")</f>
        <v/>
      </c>
      <c r="AA205" s="68" t="inlineStr"/>
      <c r="AB205" s="69" t="inlineStr"/>
      <c r="AC205" s="252" t="inlineStr">
        <is>
          <t>ЕАЭС N RU Д-RU.РА04.В.92149/24</t>
        </is>
      </c>
      <c r="AG205" s="78" t="n"/>
      <c r="AJ205" s="84" t="inlineStr"/>
      <c r="AK205" s="84" t="n">
        <v>0</v>
      </c>
      <c r="BB205" s="25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37.5" customHeight="1">
      <c r="A206" s="63" t="inlineStr">
        <is>
          <t>SU003396</t>
        </is>
      </c>
      <c r="B206" s="63" t="inlineStr">
        <is>
          <t>P004215</t>
        </is>
      </c>
      <c r="C206" s="36" t="n">
        <v>4301011858</v>
      </c>
      <c r="D206" s="401" t="n">
        <v>4680115885646</v>
      </c>
      <c r="E206" s="646" t="n"/>
      <c r="F206" s="685" t="n">
        <v>1.35</v>
      </c>
      <c r="G206" s="37" t="n">
        <v>8</v>
      </c>
      <c r="H206" s="685" t="n">
        <v>10.8</v>
      </c>
      <c r="I206" s="685" t="n">
        <v>11.235</v>
      </c>
      <c r="J206" s="37" t="n">
        <v>64</v>
      </c>
      <c r="K206" s="37" t="inlineStr">
        <is>
          <t>8</t>
        </is>
      </c>
      <c r="L206" s="37" t="inlineStr"/>
      <c r="M206" s="38" t="inlineStr">
        <is>
          <t>СК1</t>
        </is>
      </c>
      <c r="N206" s="38" t="n"/>
      <c r="O206" s="37" t="n">
        <v>55</v>
      </c>
      <c r="P206" s="77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06" s="687" t="n"/>
      <c r="R206" s="687" t="n"/>
      <c r="S206" s="687" t="n"/>
      <c r="T206" s="688" t="n"/>
      <c r="U206" s="39" t="inlineStr"/>
      <c r="V206" s="39" t="inlineStr"/>
      <c r="W206" s="40" t="inlineStr">
        <is>
          <t>кг</t>
        </is>
      </c>
      <c r="X206" s="689" t="n">
        <v>0</v>
      </c>
      <c r="Y206" s="690">
        <f>IFERROR(IF(X206="",0,CEILING((X206/$H206),1)*$H206),"")</f>
        <v/>
      </c>
      <c r="Z206" s="41">
        <f>IFERROR(IF(Y206=0,"",ROUNDUP(Y206/H206,0)*0.01898),"")</f>
        <v/>
      </c>
      <c r="AA206" s="68" t="inlineStr"/>
      <c r="AB206" s="69" t="inlineStr"/>
      <c r="AC206" s="254" t="inlineStr">
        <is>
          <t>ЕАЭС N RU Д-RU.РА04.В.89027/24</t>
        </is>
      </c>
      <c r="AG206" s="78" t="n"/>
      <c r="AJ206" s="84" t="inlineStr"/>
      <c r="AK206" s="84" t="n">
        <v>0</v>
      </c>
      <c r="BB206" s="255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SU003392</t>
        </is>
      </c>
      <c r="B207" s="63" t="inlineStr">
        <is>
          <t>P004210</t>
        </is>
      </c>
      <c r="C207" s="36" t="n">
        <v>4301012016</v>
      </c>
      <c r="D207" s="401" t="n">
        <v>4680115885554</v>
      </c>
      <c r="E207" s="646" t="n"/>
      <c r="F207" s="685" t="n">
        <v>1.35</v>
      </c>
      <c r="G207" s="37" t="n">
        <v>8</v>
      </c>
      <c r="H207" s="685" t="n">
        <v>10.8</v>
      </c>
      <c r="I207" s="685" t="n">
        <v>11.235</v>
      </c>
      <c r="J207" s="37" t="n">
        <v>64</v>
      </c>
      <c r="K207" s="37" t="inlineStr">
        <is>
          <t>8</t>
        </is>
      </c>
      <c r="L207" s="37" t="inlineStr"/>
      <c r="M207" s="38" t="inlineStr">
        <is>
          <t>СК3</t>
        </is>
      </c>
      <c r="N207" s="38" t="n"/>
      <c r="O207" s="37" t="n">
        <v>55</v>
      </c>
      <c r="P207" s="77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07" s="687" t="n"/>
      <c r="R207" s="687" t="n"/>
      <c r="S207" s="687" t="n"/>
      <c r="T207" s="688" t="n"/>
      <c r="U207" s="39" t="inlineStr"/>
      <c r="V207" s="39" t="inlineStr"/>
      <c r="W207" s="40" t="inlineStr">
        <is>
          <t>кг</t>
        </is>
      </c>
      <c r="X207" s="689" t="n">
        <v>0</v>
      </c>
      <c r="Y207" s="690">
        <f>IFERROR(IF(X207="",0,CEILING((X207/$H207),1)*$H207),"")</f>
        <v/>
      </c>
      <c r="Z207" s="41">
        <f>IFERROR(IF(Y207=0,"",ROUNDUP(Y207/H207,0)*0.01898),"")</f>
        <v/>
      </c>
      <c r="AA207" s="68" t="inlineStr"/>
      <c r="AB207" s="69" t="inlineStr"/>
      <c r="AC207" s="256" t="inlineStr">
        <is>
          <t>ЕАЭС N RU Д-RU.РА04.В.93998/24, ЕАЭС N RU Д-RU.РА04.В.94346/24</t>
        </is>
      </c>
      <c r="AG207" s="78" t="n"/>
      <c r="AJ207" s="84" t="inlineStr"/>
      <c r="AK207" s="84" t="n">
        <v>0</v>
      </c>
      <c r="BB207" s="257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SU003395</t>
        </is>
      </c>
      <c r="B208" s="63" t="inlineStr">
        <is>
          <t>P004214</t>
        </is>
      </c>
      <c r="C208" s="36" t="n">
        <v>4301011857</v>
      </c>
      <c r="D208" s="401" t="n">
        <v>4680115885622</v>
      </c>
      <c r="E208" s="646" t="n"/>
      <c r="F208" s="685" t="n">
        <v>0.4</v>
      </c>
      <c r="G208" s="37" t="n">
        <v>10</v>
      </c>
      <c r="H208" s="685" t="n">
        <v>4</v>
      </c>
      <c r="I208" s="685" t="n">
        <v>4.21</v>
      </c>
      <c r="J208" s="37" t="n">
        <v>132</v>
      </c>
      <c r="K208" s="37" t="inlineStr">
        <is>
          <t>12</t>
        </is>
      </c>
      <c r="L208" s="37" t="inlineStr"/>
      <c r="M208" s="38" t="inlineStr">
        <is>
          <t>СК1</t>
        </is>
      </c>
      <c r="N208" s="38" t="n"/>
      <c r="O208" s="37" t="n">
        <v>55</v>
      </c>
      <c r="P208" s="78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08" s="687" t="n"/>
      <c r="R208" s="687" t="n"/>
      <c r="S208" s="687" t="n"/>
      <c r="T208" s="688" t="n"/>
      <c r="U208" s="39" t="inlineStr"/>
      <c r="V208" s="39" t="inlineStr"/>
      <c r="W208" s="40" t="inlineStr">
        <is>
          <t>кг</t>
        </is>
      </c>
      <c r="X208" s="689" t="n">
        <v>0</v>
      </c>
      <c r="Y208" s="690">
        <f>IFERROR(IF(X208="",0,CEILING((X208/$H208),1)*$H208),"")</f>
        <v/>
      </c>
      <c r="Z208" s="41">
        <f>IFERROR(IF(Y208=0,"",ROUNDUP(Y208/H208,0)*0.00902),"")</f>
        <v/>
      </c>
      <c r="AA208" s="68" t="inlineStr"/>
      <c r="AB208" s="69" t="inlineStr"/>
      <c r="AC208" s="258" t="inlineStr">
        <is>
          <t>ЕАЭС N RU Д-RU.РА04.В.92149/24</t>
        </is>
      </c>
      <c r="AG208" s="78" t="n"/>
      <c r="AJ208" s="84" t="inlineStr"/>
      <c r="AK208" s="84" t="n">
        <v>0</v>
      </c>
      <c r="BB208" s="259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27" customHeight="1">
      <c r="A209" s="63" t="inlineStr">
        <is>
          <t>SU003393</t>
        </is>
      </c>
      <c r="B209" s="63" t="inlineStr">
        <is>
          <t>P004211</t>
        </is>
      </c>
      <c r="C209" s="36" t="n">
        <v>4301011859</v>
      </c>
      <c r="D209" s="401" t="n">
        <v>4680115885608</v>
      </c>
      <c r="E209" s="646" t="n"/>
      <c r="F209" s="685" t="n">
        <v>0.4</v>
      </c>
      <c r="G209" s="37" t="n">
        <v>10</v>
      </c>
      <c r="H209" s="685" t="n">
        <v>4</v>
      </c>
      <c r="I209" s="685" t="n">
        <v>4.21</v>
      </c>
      <c r="J209" s="37" t="n">
        <v>132</v>
      </c>
      <c r="K209" s="37" t="inlineStr">
        <is>
          <t>12</t>
        </is>
      </c>
      <c r="L209" s="37" t="inlineStr"/>
      <c r="M209" s="38" t="inlineStr">
        <is>
          <t>СК1</t>
        </is>
      </c>
      <c r="N209" s="38" t="n"/>
      <c r="O209" s="37" t="n">
        <v>55</v>
      </c>
      <c r="P209" s="78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09" s="687" t="n"/>
      <c r="R209" s="687" t="n"/>
      <c r="S209" s="687" t="n"/>
      <c r="T209" s="688" t="n"/>
      <c r="U209" s="39" t="inlineStr"/>
      <c r="V209" s="39" t="inlineStr"/>
      <c r="W209" s="40" t="inlineStr">
        <is>
          <t>кг</t>
        </is>
      </c>
      <c r="X209" s="689" t="n">
        <v>0</v>
      </c>
      <c r="Y209" s="690">
        <f>IFERROR(IF(X209="",0,CEILING((X209/$H209),1)*$H209),"")</f>
        <v/>
      </c>
      <c r="Z209" s="41">
        <f>IFERROR(IF(Y209=0,"",ROUNDUP(Y209/H209,0)*0.00902),"")</f>
        <v/>
      </c>
      <c r="AA209" s="68" t="inlineStr"/>
      <c r="AB209" s="69" t="inlineStr"/>
      <c r="AC209" s="260" t="inlineStr">
        <is>
          <t>ЕАЭС N RU Д-RU.РА04.В.93998/24</t>
        </is>
      </c>
      <c r="AG209" s="78" t="n"/>
      <c r="AJ209" s="84" t="inlineStr"/>
      <c r="AK209" s="84" t="n">
        <v>0</v>
      </c>
      <c r="BB209" s="261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>
      <c r="A210" s="410" t="n"/>
      <c r="B210" s="397" t="n"/>
      <c r="C210" s="397" t="n"/>
      <c r="D210" s="397" t="n"/>
      <c r="E210" s="397" t="n"/>
      <c r="F210" s="397" t="n"/>
      <c r="G210" s="397" t="n"/>
      <c r="H210" s="397" t="n"/>
      <c r="I210" s="397" t="n"/>
      <c r="J210" s="397" t="n"/>
      <c r="K210" s="397" t="n"/>
      <c r="L210" s="397" t="n"/>
      <c r="M210" s="397" t="n"/>
      <c r="N210" s="397" t="n"/>
      <c r="O210" s="692" t="n"/>
      <c r="P210" s="693" t="inlineStr">
        <is>
          <t>Итого</t>
        </is>
      </c>
      <c r="Q210" s="654" t="n"/>
      <c r="R210" s="654" t="n"/>
      <c r="S210" s="654" t="n"/>
      <c r="T210" s="654" t="n"/>
      <c r="U210" s="654" t="n"/>
      <c r="V210" s="655" t="n"/>
      <c r="W210" s="42" t="inlineStr">
        <is>
          <t>кор</t>
        </is>
      </c>
      <c r="X210" s="694">
        <f>IFERROR(X205/H205,"0")+IFERROR(X206/H206,"0")+IFERROR(X207/H207,"0")+IFERROR(X208/H208,"0")+IFERROR(X209/H209,"0")</f>
        <v/>
      </c>
      <c r="Y210" s="694">
        <f>IFERROR(Y205/H205,"0")+IFERROR(Y206/H206,"0")+IFERROR(Y207/H207,"0")+IFERROR(Y208/H208,"0")+IFERROR(Y209/H209,"0")</f>
        <v/>
      </c>
      <c r="Z210" s="694">
        <f>IFERROR(IF(Z205="",0,Z205),"0")+IFERROR(IF(Z206="",0,Z206),"0")+IFERROR(IF(Z207="",0,Z207),"0")+IFERROR(IF(Z208="",0,Z208),"0")+IFERROR(IF(Z209="",0,Z209),"0")</f>
        <v/>
      </c>
      <c r="AA210" s="695" t="n"/>
      <c r="AB210" s="695" t="n"/>
      <c r="AC210" s="695" t="n"/>
    </row>
    <row r="211">
      <c r="A211" s="397" t="n"/>
      <c r="B211" s="397" t="n"/>
      <c r="C211" s="397" t="n"/>
      <c r="D211" s="397" t="n"/>
      <c r="E211" s="397" t="n"/>
      <c r="F211" s="397" t="n"/>
      <c r="G211" s="397" t="n"/>
      <c r="H211" s="397" t="n"/>
      <c r="I211" s="397" t="n"/>
      <c r="J211" s="397" t="n"/>
      <c r="K211" s="397" t="n"/>
      <c r="L211" s="397" t="n"/>
      <c r="M211" s="397" t="n"/>
      <c r="N211" s="397" t="n"/>
      <c r="O211" s="692" t="n"/>
      <c r="P211" s="693" t="inlineStr">
        <is>
          <t>Итого</t>
        </is>
      </c>
      <c r="Q211" s="654" t="n"/>
      <c r="R211" s="654" t="n"/>
      <c r="S211" s="654" t="n"/>
      <c r="T211" s="654" t="n"/>
      <c r="U211" s="654" t="n"/>
      <c r="V211" s="655" t="n"/>
      <c r="W211" s="42" t="inlineStr">
        <is>
          <t>кг</t>
        </is>
      </c>
      <c r="X211" s="694">
        <f>IFERROR(SUM(X205:X209),"0")</f>
        <v/>
      </c>
      <c r="Y211" s="694">
        <f>IFERROR(SUM(Y205:Y209),"0")</f>
        <v/>
      </c>
      <c r="Z211" s="42" t="n"/>
      <c r="AA211" s="695" t="n"/>
      <c r="AB211" s="695" t="n"/>
      <c r="AC211" s="695" t="n"/>
    </row>
    <row r="212" ht="14.25" customHeight="1">
      <c r="A212" s="400" t="inlineStr">
        <is>
          <t>Копченые колбасы</t>
        </is>
      </c>
      <c r="B212" s="397" t="n"/>
      <c r="C212" s="397" t="n"/>
      <c r="D212" s="397" t="n"/>
      <c r="E212" s="397" t="n"/>
      <c r="F212" s="397" t="n"/>
      <c r="G212" s="397" t="n"/>
      <c r="H212" s="397" t="n"/>
      <c r="I212" s="397" t="n"/>
      <c r="J212" s="397" t="n"/>
      <c r="K212" s="397" t="n"/>
      <c r="L212" s="397" t="n"/>
      <c r="M212" s="397" t="n"/>
      <c r="N212" s="397" t="n"/>
      <c r="O212" s="397" t="n"/>
      <c r="P212" s="397" t="n"/>
      <c r="Q212" s="397" t="n"/>
      <c r="R212" s="397" t="n"/>
      <c r="S212" s="397" t="n"/>
      <c r="T212" s="397" t="n"/>
      <c r="U212" s="397" t="n"/>
      <c r="V212" s="397" t="n"/>
      <c r="W212" s="397" t="n"/>
      <c r="X212" s="397" t="n"/>
      <c r="Y212" s="397" t="n"/>
      <c r="Z212" s="397" t="n"/>
      <c r="AA212" s="400" t="n"/>
      <c r="AB212" s="400" t="n"/>
      <c r="AC212" s="400" t="n"/>
    </row>
    <row r="213" ht="27" customHeight="1">
      <c r="A213" s="63" t="inlineStr">
        <is>
          <t>SU001820</t>
        </is>
      </c>
      <c r="B213" s="63" t="inlineStr">
        <is>
          <t>P001820</t>
        </is>
      </c>
      <c r="C213" s="36" t="n">
        <v>4301030878</v>
      </c>
      <c r="D213" s="401" t="n">
        <v>4607091387193</v>
      </c>
      <c r="E213" s="646" t="n"/>
      <c r="F213" s="685" t="n">
        <v>0.7</v>
      </c>
      <c r="G213" s="37" t="n">
        <v>6</v>
      </c>
      <c r="H213" s="685" t="n">
        <v>4.2</v>
      </c>
      <c r="I213" s="685" t="n">
        <v>4.47</v>
      </c>
      <c r="J213" s="37" t="n">
        <v>132</v>
      </c>
      <c r="K213" s="37" t="inlineStr">
        <is>
          <t>12</t>
        </is>
      </c>
      <c r="L213" s="37" t="inlineStr"/>
      <c r="M213" s="38" t="inlineStr">
        <is>
          <t>СК2</t>
        </is>
      </c>
      <c r="N213" s="38" t="n"/>
      <c r="O213" s="37" t="n">
        <v>35</v>
      </c>
      <c r="P213" s="7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213" s="687" t="n"/>
      <c r="R213" s="687" t="n"/>
      <c r="S213" s="687" t="n"/>
      <c r="T213" s="688" t="n"/>
      <c r="U213" s="39" t="inlineStr"/>
      <c r="V213" s="39" t="inlineStr"/>
      <c r="W213" s="40" t="inlineStr">
        <is>
          <t>кг</t>
        </is>
      </c>
      <c r="X213" s="689" t="n">
        <v>0</v>
      </c>
      <c r="Y213" s="690">
        <f>IFERROR(IF(X213="",0,CEILING((X213/$H213),1)*$H213),"")</f>
        <v/>
      </c>
      <c r="Z213" s="41">
        <f>IFERROR(IF(Y213=0,"",ROUNDUP(Y213/H213,0)*0.00902),"")</f>
        <v/>
      </c>
      <c r="AA213" s="68" t="inlineStr"/>
      <c r="AB213" s="69" t="inlineStr"/>
      <c r="AC213" s="262" t="inlineStr">
        <is>
          <t>ЕАЭС N RU Д-RU.РА01.В.54347/25</t>
        </is>
      </c>
      <c r="AG213" s="78" t="n"/>
      <c r="AJ213" s="84" t="inlineStr"/>
      <c r="AK213" s="84" t="n">
        <v>0</v>
      </c>
      <c r="BB213" s="26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SU001822</t>
        </is>
      </c>
      <c r="B214" s="63" t="inlineStr">
        <is>
          <t>P003013</t>
        </is>
      </c>
      <c r="C214" s="36" t="n">
        <v>4301031153</v>
      </c>
      <c r="D214" s="401" t="n">
        <v>4607091387230</v>
      </c>
      <c r="E214" s="646" t="n"/>
      <c r="F214" s="685" t="n">
        <v>0.7</v>
      </c>
      <c r="G214" s="37" t="n">
        <v>6</v>
      </c>
      <c r="H214" s="685" t="n">
        <v>4.2</v>
      </c>
      <c r="I214" s="685" t="n">
        <v>4.47</v>
      </c>
      <c r="J214" s="37" t="n">
        <v>132</v>
      </c>
      <c r="K214" s="37" t="inlineStr">
        <is>
          <t>12</t>
        </is>
      </c>
      <c r="L214" s="37" t="inlineStr"/>
      <c r="M214" s="38" t="inlineStr">
        <is>
          <t>СК2</t>
        </is>
      </c>
      <c r="N214" s="38" t="n"/>
      <c r="O214" s="37" t="n">
        <v>40</v>
      </c>
      <c r="P214" s="7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214" s="687" t="n"/>
      <c r="R214" s="687" t="n"/>
      <c r="S214" s="687" t="n"/>
      <c r="T214" s="688" t="n"/>
      <c r="U214" s="39" t="inlineStr"/>
      <c r="V214" s="39" t="inlineStr"/>
      <c r="W214" s="40" t="inlineStr">
        <is>
          <t>кг</t>
        </is>
      </c>
      <c r="X214" s="689" t="n">
        <v>0</v>
      </c>
      <c r="Y214" s="690">
        <f>IFERROR(IF(X214="",0,CEILING((X214/$H214),1)*$H214),"")</f>
        <v/>
      </c>
      <c r="Z214" s="41">
        <f>IFERROR(IF(Y214=0,"",ROUNDUP(Y214/H214,0)*0.00902),"")</f>
        <v/>
      </c>
      <c r="AA214" s="68" t="inlineStr"/>
      <c r="AB214" s="69" t="inlineStr"/>
      <c r="AC214" s="264" t="inlineStr">
        <is>
          <t>ЕАЭС N RU Д-RU.РА01.В.53737/25</t>
        </is>
      </c>
      <c r="AG214" s="78" t="n"/>
      <c r="AJ214" s="84" t="inlineStr"/>
      <c r="AK214" s="84" t="n">
        <v>0</v>
      </c>
      <c r="BB214" s="26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SU001801</t>
        </is>
      </c>
      <c r="B215" s="63" t="inlineStr">
        <is>
          <t>P003014</t>
        </is>
      </c>
      <c r="C215" s="36" t="n">
        <v>4301031154</v>
      </c>
      <c r="D215" s="401" t="n">
        <v>4607091387292</v>
      </c>
      <c r="E215" s="646" t="n"/>
      <c r="F215" s="685" t="n">
        <v>0.73</v>
      </c>
      <c r="G215" s="37" t="n">
        <v>6</v>
      </c>
      <c r="H215" s="685" t="n">
        <v>4.38</v>
      </c>
      <c r="I215" s="685" t="n">
        <v>4.65</v>
      </c>
      <c r="J215" s="37" t="n">
        <v>132</v>
      </c>
      <c r="K215" s="37" t="inlineStr">
        <is>
          <t>12</t>
        </is>
      </c>
      <c r="L215" s="37" t="inlineStr"/>
      <c r="M215" s="38" t="inlineStr">
        <is>
          <t>СК2</t>
        </is>
      </c>
      <c r="N215" s="38" t="n"/>
      <c r="O215" s="37" t="n">
        <v>45</v>
      </c>
      <c r="P215" s="784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215" s="687" t="n"/>
      <c r="R215" s="687" t="n"/>
      <c r="S215" s="687" t="n"/>
      <c r="T215" s="688" t="n"/>
      <c r="U215" s="39" t="inlineStr"/>
      <c r="V215" s="39" t="inlineStr"/>
      <c r="W215" s="40" t="inlineStr">
        <is>
          <t>кг</t>
        </is>
      </c>
      <c r="X215" s="689" t="n">
        <v>0</v>
      </c>
      <c r="Y215" s="690">
        <f>IFERROR(IF(X215="",0,CEILING((X215/$H215),1)*$H215),"")</f>
        <v/>
      </c>
      <c r="Z215" s="41">
        <f>IFERROR(IF(Y215=0,"",ROUNDUP(Y215/H215,0)*0.00902),"")</f>
        <v/>
      </c>
      <c r="AA215" s="68" t="inlineStr"/>
      <c r="AB215" s="69" t="inlineStr"/>
      <c r="AC215" s="266" t="inlineStr">
        <is>
          <t>ЕАЭС N RU Д-RU.РА01.В.53862/25</t>
        </is>
      </c>
      <c r="AG215" s="78" t="n"/>
      <c r="AJ215" s="84" t="inlineStr"/>
      <c r="AK215" s="84" t="n">
        <v>0</v>
      </c>
      <c r="BB215" s="26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SU002579</t>
        </is>
      </c>
      <c r="B216" s="63" t="inlineStr">
        <is>
          <t>P003012</t>
        </is>
      </c>
      <c r="C216" s="36" t="n">
        <v>4301031152</v>
      </c>
      <c r="D216" s="401" t="n">
        <v>4607091387285</v>
      </c>
      <c r="E216" s="646" t="n"/>
      <c r="F216" s="685" t="n">
        <v>0.35</v>
      </c>
      <c r="G216" s="37" t="n">
        <v>6</v>
      </c>
      <c r="H216" s="685" t="n">
        <v>2.1</v>
      </c>
      <c r="I216" s="685" t="n">
        <v>2.23</v>
      </c>
      <c r="J216" s="37" t="n">
        <v>234</v>
      </c>
      <c r="K216" s="37" t="inlineStr">
        <is>
          <t>18</t>
        </is>
      </c>
      <c r="L216" s="37" t="inlineStr"/>
      <c r="M216" s="38" t="inlineStr">
        <is>
          <t>СК2</t>
        </is>
      </c>
      <c r="N216" s="38" t="n"/>
      <c r="O216" s="37" t="n">
        <v>40</v>
      </c>
      <c r="P216" s="78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216" s="687" t="n"/>
      <c r="R216" s="687" t="n"/>
      <c r="S216" s="687" t="n"/>
      <c r="T216" s="688" t="n"/>
      <c r="U216" s="39" t="inlineStr"/>
      <c r="V216" s="39" t="inlineStr"/>
      <c r="W216" s="40" t="inlineStr">
        <is>
          <t>кг</t>
        </is>
      </c>
      <c r="X216" s="689" t="n">
        <v>0</v>
      </c>
      <c r="Y216" s="690">
        <f>IFERROR(IF(X216="",0,CEILING((X216/$H216),1)*$H216),"")</f>
        <v/>
      </c>
      <c r="Z216" s="41">
        <f>IFERROR(IF(Y216=0,"",ROUNDUP(Y216/H216,0)*0.00502),"")</f>
        <v/>
      </c>
      <c r="AA216" s="68" t="inlineStr"/>
      <c r="AB216" s="69" t="inlineStr"/>
      <c r="AC216" s="268" t="inlineStr">
        <is>
          <t>ЕАЭС N RU Д-RU.РА01.В.53737/25</t>
        </is>
      </c>
      <c r="AG216" s="78" t="n"/>
      <c r="AJ216" s="84" t="inlineStr"/>
      <c r="AK216" s="84" t="n">
        <v>0</v>
      </c>
      <c r="BB216" s="26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SU002617</t>
        </is>
      </c>
      <c r="B217" s="63" t="inlineStr">
        <is>
          <t>P004229</t>
        </is>
      </c>
      <c r="C217" s="36" t="n">
        <v>4301031305</v>
      </c>
      <c r="D217" s="401" t="n">
        <v>4607091389845</v>
      </c>
      <c r="E217" s="646" t="n"/>
      <c r="F217" s="685" t="n">
        <v>0.35</v>
      </c>
      <c r="G217" s="37" t="n">
        <v>6</v>
      </c>
      <c r="H217" s="685" t="n">
        <v>2.1</v>
      </c>
      <c r="I217" s="685" t="n">
        <v>2.2</v>
      </c>
      <c r="J217" s="37" t="n">
        <v>234</v>
      </c>
      <c r="K217" s="37" t="inlineStr">
        <is>
          <t>18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786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217" s="687" t="n"/>
      <c r="R217" s="687" t="n"/>
      <c r="S217" s="687" t="n"/>
      <c r="T217" s="688" t="n"/>
      <c r="U217" s="39" t="inlineStr"/>
      <c r="V217" s="39" t="inlineStr"/>
      <c r="W217" s="40" t="inlineStr">
        <is>
          <t>кг</t>
        </is>
      </c>
      <c r="X217" s="689" t="n">
        <v>0</v>
      </c>
      <c r="Y217" s="690">
        <f>IFERROR(IF(X217="",0,CEILING((X217/$H217),1)*$H217),"")</f>
        <v/>
      </c>
      <c r="Z217" s="41">
        <f>IFERROR(IF(Y217=0,"",ROUNDUP(Y217/H217,0)*0.00502),"")</f>
        <v/>
      </c>
      <c r="AA217" s="68" t="inlineStr"/>
      <c r="AB217" s="69" t="inlineStr"/>
      <c r="AC217" s="270" t="inlineStr">
        <is>
          <t>ЕАЭС N RU Д-RU.РА01.В.54243/24</t>
        </is>
      </c>
      <c r="AG217" s="78" t="n"/>
      <c r="AJ217" s="84" t="inlineStr"/>
      <c r="AK217" s="84" t="n">
        <v>0</v>
      </c>
      <c r="BB217" s="27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SU002252</t>
        </is>
      </c>
      <c r="B218" s="63" t="inlineStr">
        <is>
          <t>P002461</t>
        </is>
      </c>
      <c r="C218" s="36" t="n">
        <v>4301031066</v>
      </c>
      <c r="D218" s="401" t="n">
        <v>4607091383836</v>
      </c>
      <c r="E218" s="646" t="n"/>
      <c r="F218" s="685" t="n">
        <v>0.3</v>
      </c>
      <c r="G218" s="37" t="n">
        <v>6</v>
      </c>
      <c r="H218" s="685" t="n">
        <v>1.8</v>
      </c>
      <c r="I218" s="685" t="n">
        <v>2.028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787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218" s="687" t="n"/>
      <c r="R218" s="687" t="n"/>
      <c r="S218" s="687" t="n"/>
      <c r="T218" s="688" t="n"/>
      <c r="U218" s="39" t="inlineStr"/>
      <c r="V218" s="39" t="inlineStr"/>
      <c r="W218" s="40" t="inlineStr">
        <is>
          <t>кг</t>
        </is>
      </c>
      <c r="X218" s="689" t="n">
        <v>0</v>
      </c>
      <c r="Y218" s="690">
        <f>IFERROR(IF(X218="",0,CEILING((X218/$H218),1)*$H218),"")</f>
        <v/>
      </c>
      <c r="Z218" s="41">
        <f>IFERROR(IF(Y218=0,"",ROUNDUP(Y218/H218,0)*0.00651),"")</f>
        <v/>
      </c>
      <c r="AA218" s="68" t="inlineStr"/>
      <c r="AB218" s="69" t="inlineStr"/>
      <c r="AC218" s="272" t="inlineStr">
        <is>
          <t>ЕАЭС N RU Д-RU.PA01.B.88489/21</t>
        </is>
      </c>
      <c r="AG218" s="78" t="n"/>
      <c r="AJ218" s="84" t="inlineStr"/>
      <c r="AK218" s="84" t="n">
        <v>0</v>
      </c>
      <c r="BB218" s="273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>
      <c r="A219" s="410" t="n"/>
      <c r="B219" s="397" t="n"/>
      <c r="C219" s="397" t="n"/>
      <c r="D219" s="397" t="n"/>
      <c r="E219" s="397" t="n"/>
      <c r="F219" s="397" t="n"/>
      <c r="G219" s="397" t="n"/>
      <c r="H219" s="397" t="n"/>
      <c r="I219" s="397" t="n"/>
      <c r="J219" s="397" t="n"/>
      <c r="K219" s="397" t="n"/>
      <c r="L219" s="397" t="n"/>
      <c r="M219" s="397" t="n"/>
      <c r="N219" s="397" t="n"/>
      <c r="O219" s="692" t="n"/>
      <c r="P219" s="693" t="inlineStr">
        <is>
          <t>Итого</t>
        </is>
      </c>
      <c r="Q219" s="654" t="n"/>
      <c r="R219" s="654" t="n"/>
      <c r="S219" s="654" t="n"/>
      <c r="T219" s="654" t="n"/>
      <c r="U219" s="654" t="n"/>
      <c r="V219" s="655" t="n"/>
      <c r="W219" s="42" t="inlineStr">
        <is>
          <t>кор</t>
        </is>
      </c>
      <c r="X219" s="694">
        <f>IFERROR(X213/H213,"0")+IFERROR(X214/H214,"0")+IFERROR(X215/H215,"0")+IFERROR(X216/H216,"0")+IFERROR(X217/H217,"0")+IFERROR(X218/H218,"0")</f>
        <v/>
      </c>
      <c r="Y219" s="694">
        <f>IFERROR(Y213/H213,"0")+IFERROR(Y214/H214,"0")+IFERROR(Y215/H215,"0")+IFERROR(Y216/H216,"0")+IFERROR(Y217/H217,"0")+IFERROR(Y218/H218,"0")</f>
        <v/>
      </c>
      <c r="Z219" s="694">
        <f>IFERROR(IF(Z213="",0,Z213),"0")+IFERROR(IF(Z214="",0,Z214),"0")+IFERROR(IF(Z215="",0,Z215),"0")+IFERROR(IF(Z216="",0,Z216),"0")+IFERROR(IF(Z217="",0,Z217),"0")+IFERROR(IF(Z218="",0,Z218),"0")</f>
        <v/>
      </c>
      <c r="AA219" s="695" t="n"/>
      <c r="AB219" s="695" t="n"/>
      <c r="AC219" s="695" t="n"/>
    </row>
    <row r="220">
      <c r="A220" s="397" t="n"/>
      <c r="B220" s="397" t="n"/>
      <c r="C220" s="397" t="n"/>
      <c r="D220" s="397" t="n"/>
      <c r="E220" s="397" t="n"/>
      <c r="F220" s="397" t="n"/>
      <c r="G220" s="397" t="n"/>
      <c r="H220" s="397" t="n"/>
      <c r="I220" s="397" t="n"/>
      <c r="J220" s="397" t="n"/>
      <c r="K220" s="397" t="n"/>
      <c r="L220" s="397" t="n"/>
      <c r="M220" s="397" t="n"/>
      <c r="N220" s="397" t="n"/>
      <c r="O220" s="692" t="n"/>
      <c r="P220" s="693" t="inlineStr">
        <is>
          <t>Итого</t>
        </is>
      </c>
      <c r="Q220" s="654" t="n"/>
      <c r="R220" s="654" t="n"/>
      <c r="S220" s="654" t="n"/>
      <c r="T220" s="654" t="n"/>
      <c r="U220" s="654" t="n"/>
      <c r="V220" s="655" t="n"/>
      <c r="W220" s="42" t="inlineStr">
        <is>
          <t>кг</t>
        </is>
      </c>
      <c r="X220" s="694">
        <f>IFERROR(SUM(X213:X218),"0")</f>
        <v/>
      </c>
      <c r="Y220" s="694">
        <f>IFERROR(SUM(Y213:Y218),"0")</f>
        <v/>
      </c>
      <c r="Z220" s="42" t="n"/>
      <c r="AA220" s="695" t="n"/>
      <c r="AB220" s="695" t="n"/>
      <c r="AC220" s="695" t="n"/>
    </row>
    <row r="221" ht="14.25" customHeight="1">
      <c r="A221" s="400" t="inlineStr">
        <is>
          <t>Сосиски</t>
        </is>
      </c>
      <c r="B221" s="397" t="n"/>
      <c r="C221" s="397" t="n"/>
      <c r="D221" s="397" t="n"/>
      <c r="E221" s="397" t="n"/>
      <c r="F221" s="397" t="n"/>
      <c r="G221" s="397" t="n"/>
      <c r="H221" s="397" t="n"/>
      <c r="I221" s="397" t="n"/>
      <c r="J221" s="397" t="n"/>
      <c r="K221" s="397" t="n"/>
      <c r="L221" s="397" t="n"/>
      <c r="M221" s="397" t="n"/>
      <c r="N221" s="397" t="n"/>
      <c r="O221" s="397" t="n"/>
      <c r="P221" s="397" t="n"/>
      <c r="Q221" s="397" t="n"/>
      <c r="R221" s="397" t="n"/>
      <c r="S221" s="397" t="n"/>
      <c r="T221" s="397" t="n"/>
      <c r="U221" s="397" t="n"/>
      <c r="V221" s="397" t="n"/>
      <c r="W221" s="397" t="n"/>
      <c r="X221" s="397" t="n"/>
      <c r="Y221" s="397" t="n"/>
      <c r="Z221" s="397" t="n"/>
      <c r="AA221" s="400" t="n"/>
      <c r="AB221" s="400" t="n"/>
      <c r="AC221" s="400" t="n"/>
    </row>
    <row r="222" ht="27" customHeight="1">
      <c r="A222" s="63" t="inlineStr">
        <is>
          <t>SU001340</t>
        </is>
      </c>
      <c r="B222" s="63" t="inlineStr">
        <is>
          <t>P002209</t>
        </is>
      </c>
      <c r="C222" s="36" t="n">
        <v>4301051100</v>
      </c>
      <c r="D222" s="401" t="n">
        <v>4607091387766</v>
      </c>
      <c r="E222" s="646" t="n"/>
      <c r="F222" s="685" t="n">
        <v>1.3</v>
      </c>
      <c r="G222" s="37" t="n">
        <v>6</v>
      </c>
      <c r="H222" s="685" t="n">
        <v>7.8</v>
      </c>
      <c r="I222" s="685" t="n">
        <v>8.313000000000001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СК3</t>
        </is>
      </c>
      <c r="N222" s="38" t="n"/>
      <c r="O222" s="37" t="n">
        <v>40</v>
      </c>
      <c r="P222" s="788">
        <f>HYPERLINK("https://abi.ru/products/Охлажденные/Стародворье/Бордо/Сосиски/P002209/","Сосиски Ганноверские Бордо Весовые П/а мгс Баварушка")</f>
        <v/>
      </c>
      <c r="Q222" s="687" t="n"/>
      <c r="R222" s="687" t="n"/>
      <c r="S222" s="687" t="n"/>
      <c r="T222" s="688" t="n"/>
      <c r="U222" s="39" t="inlineStr"/>
      <c r="V222" s="39" t="inlineStr"/>
      <c r="W222" s="40" t="inlineStr">
        <is>
          <t>кг</t>
        </is>
      </c>
      <c r="X222" s="689" t="n">
        <v>0</v>
      </c>
      <c r="Y222" s="690">
        <f>IFERROR(IF(X222="",0,CEILING((X222/$H222),1)*$H222),"")</f>
        <v/>
      </c>
      <c r="Z222" s="41">
        <f>IFERROR(IF(Y222=0,"",ROUNDUP(Y222/H222,0)*0.01898),"")</f>
        <v/>
      </c>
      <c r="AA222" s="68" t="inlineStr"/>
      <c r="AB222" s="69" t="inlineStr"/>
      <c r="AC222" s="274" t="inlineStr">
        <is>
          <t>ЕАЭС N RU Д-RU.РА04.В.49333/24, ЕАЭС № RU Д-RU.АБ75.В.00705/19</t>
        </is>
      </c>
      <c r="AG222" s="78" t="n"/>
      <c r="AJ222" s="84" t="inlineStr"/>
      <c r="AK222" s="84" t="n">
        <v>0</v>
      </c>
      <c r="BB222" s="27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SU001727</t>
        </is>
      </c>
      <c r="B223" s="63" t="inlineStr">
        <is>
          <t>P002205</t>
        </is>
      </c>
      <c r="C223" s="36" t="n">
        <v>4301051818</v>
      </c>
      <c r="D223" s="401" t="n">
        <v>4607091387957</v>
      </c>
      <c r="E223" s="646" t="n"/>
      <c r="F223" s="685" t="n">
        <v>1.3</v>
      </c>
      <c r="G223" s="37" t="n">
        <v>6</v>
      </c>
      <c r="H223" s="685" t="n">
        <v>7.8</v>
      </c>
      <c r="I223" s="685" t="n">
        <v>8.319000000000001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СК3</t>
        </is>
      </c>
      <c r="N223" s="38" t="n"/>
      <c r="O223" s="37" t="n">
        <v>40</v>
      </c>
      <c r="P223" s="78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223" s="687" t="n"/>
      <c r="R223" s="687" t="n"/>
      <c r="S223" s="687" t="n"/>
      <c r="T223" s="688" t="n"/>
      <c r="U223" s="39" t="inlineStr"/>
      <c r="V223" s="39" t="inlineStr"/>
      <c r="W223" s="40" t="inlineStr">
        <is>
          <t>кг</t>
        </is>
      </c>
      <c r="X223" s="689" t="n">
        <v>0</v>
      </c>
      <c r="Y223" s="690">
        <f>IFERROR(IF(X223="",0,CEILING((X223/$H223),1)*$H223),"")</f>
        <v/>
      </c>
      <c r="Z223" s="41">
        <f>IFERROR(IF(Y223=0,"",ROUNDUP(Y223/H223,0)*0.01898),"")</f>
        <v/>
      </c>
      <c r="AA223" s="68" t="inlineStr"/>
      <c r="AB223" s="69" t="inlineStr"/>
      <c r="AC223" s="276" t="inlineStr">
        <is>
          <t>ЕАЭС N RU Д-RU.РА01.В.53892/25, ЕАЭС N RU Д-RU.РА10.В.03664/24</t>
        </is>
      </c>
      <c r="AG223" s="78" t="n"/>
      <c r="AJ223" s="84" t="inlineStr"/>
      <c r="AK223" s="84" t="n">
        <v>0</v>
      </c>
      <c r="BB223" s="277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SU001728</t>
        </is>
      </c>
      <c r="B224" s="63" t="inlineStr">
        <is>
          <t>P002207</t>
        </is>
      </c>
      <c r="C224" s="36" t="n">
        <v>4301051819</v>
      </c>
      <c r="D224" s="401" t="n">
        <v>4607091387964</v>
      </c>
      <c r="E224" s="646" t="n"/>
      <c r="F224" s="685" t="n">
        <v>1.35</v>
      </c>
      <c r="G224" s="37" t="n">
        <v>6</v>
      </c>
      <c r="H224" s="685" t="n">
        <v>8.1</v>
      </c>
      <c r="I224" s="685" t="n">
        <v>8.601000000000001</v>
      </c>
      <c r="J224" s="37" t="n">
        <v>64</v>
      </c>
      <c r="K224" s="37" t="inlineStr">
        <is>
          <t>8</t>
        </is>
      </c>
      <c r="L224" s="37" t="inlineStr"/>
      <c r="M224" s="38" t="inlineStr">
        <is>
          <t>СК3</t>
        </is>
      </c>
      <c r="N224" s="38" t="n"/>
      <c r="O224" s="37" t="n">
        <v>40</v>
      </c>
      <c r="P224" s="79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224" s="687" t="n"/>
      <c r="R224" s="687" t="n"/>
      <c r="S224" s="687" t="n"/>
      <c r="T224" s="688" t="n"/>
      <c r="U224" s="39" t="inlineStr"/>
      <c r="V224" s="39" t="inlineStr"/>
      <c r="W224" s="40" t="inlineStr">
        <is>
          <t>кг</t>
        </is>
      </c>
      <c r="X224" s="689" t="n">
        <v>0</v>
      </c>
      <c r="Y224" s="690">
        <f>IFERROR(IF(X224="",0,CEILING((X224/$H224),1)*$H224),"")</f>
        <v/>
      </c>
      <c r="Z224" s="41">
        <f>IFERROR(IF(Y224=0,"",ROUNDUP(Y224/H224,0)*0.01898),"")</f>
        <v/>
      </c>
      <c r="AA224" s="68" t="inlineStr"/>
      <c r="AB224" s="69" t="inlineStr"/>
      <c r="AC224" s="278" t="inlineStr">
        <is>
          <t>ЕАЭС N RU Д-RU.РА01.В.54739/25, ЕАЭС N RU Д-RU.РА10.В.11265/24</t>
        </is>
      </c>
      <c r="AG224" s="78" t="n"/>
      <c r="AJ224" s="84" t="inlineStr"/>
      <c r="AK224" s="84" t="n">
        <v>0</v>
      </c>
      <c r="BB224" s="27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SU003333</t>
        </is>
      </c>
      <c r="B225" s="63" t="inlineStr">
        <is>
          <t>P004082</t>
        </is>
      </c>
      <c r="C225" s="36" t="n">
        <v>4301051734</v>
      </c>
      <c r="D225" s="401" t="n">
        <v>4680115884588</v>
      </c>
      <c r="E225" s="646" t="n"/>
      <c r="F225" s="685" t="n">
        <v>0.5</v>
      </c>
      <c r="G225" s="37" t="n">
        <v>6</v>
      </c>
      <c r="H225" s="685" t="n">
        <v>3</v>
      </c>
      <c r="I225" s="685" t="n">
        <v>3.246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СК3</t>
        </is>
      </c>
      <c r="N225" s="38" t="n"/>
      <c r="O225" s="37" t="n">
        <v>40</v>
      </c>
      <c r="P225" s="791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225" s="687" t="n"/>
      <c r="R225" s="687" t="n"/>
      <c r="S225" s="687" t="n"/>
      <c r="T225" s="688" t="n"/>
      <c r="U225" s="39" t="inlineStr"/>
      <c r="V225" s="39" t="inlineStr"/>
      <c r="W225" s="40" t="inlineStr">
        <is>
          <t>кг</t>
        </is>
      </c>
      <c r="X225" s="689" t="n">
        <v>0</v>
      </c>
      <c r="Y225" s="690">
        <f>IFERROR(IF(X225="",0,CEILING((X225/$H225),1)*$H225),"")</f>
        <v/>
      </c>
      <c r="Z225" s="41">
        <f>IFERROR(IF(Y225=0,"",ROUNDUP(Y225/H225,0)*0.00651),"")</f>
        <v/>
      </c>
      <c r="AA225" s="68" t="inlineStr"/>
      <c r="AB225" s="69" t="inlineStr"/>
      <c r="AC225" s="280" t="inlineStr">
        <is>
          <t>ЕАЭС N RU Д-RU.РА02.В.37037/25, ЕАЭС N RU Д-RU.РА04.В.49333/24</t>
        </is>
      </c>
      <c r="AG225" s="78" t="n"/>
      <c r="AJ225" s="84" t="inlineStr"/>
      <c r="AK225" s="84" t="n">
        <v>0</v>
      </c>
      <c r="BB225" s="281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SU001762</t>
        </is>
      </c>
      <c r="B226" s="63" t="inlineStr">
        <is>
          <t>P002208</t>
        </is>
      </c>
      <c r="C226" s="36" t="n">
        <v>4301051578</v>
      </c>
      <c r="D226" s="401" t="n">
        <v>4607091387513</v>
      </c>
      <c r="E226" s="646" t="n"/>
      <c r="F226" s="685" t="n">
        <v>0.45</v>
      </c>
      <c r="G226" s="37" t="n">
        <v>6</v>
      </c>
      <c r="H226" s="685" t="n">
        <v>2.7</v>
      </c>
      <c r="I226" s="685" t="n">
        <v>2.958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СК4</t>
        </is>
      </c>
      <c r="N226" s="38" t="n"/>
      <c r="O226" s="37" t="n">
        <v>40</v>
      </c>
      <c r="P226" s="79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226" s="687" t="n"/>
      <c r="R226" s="687" t="n"/>
      <c r="S226" s="687" t="n"/>
      <c r="T226" s="688" t="n"/>
      <c r="U226" s="39" t="inlineStr"/>
      <c r="V226" s="39" t="inlineStr"/>
      <c r="W226" s="40" t="inlineStr">
        <is>
          <t>кг</t>
        </is>
      </c>
      <c r="X226" s="689" t="n">
        <v>0</v>
      </c>
      <c r="Y226" s="690">
        <f>IFERROR(IF(X226="",0,CEILING((X226/$H226),1)*$H226),"")</f>
        <v/>
      </c>
      <c r="Z226" s="41">
        <f>IFERROR(IF(Y226=0,"",ROUNDUP(Y226/H226,0)*0.00651),"")</f>
        <v/>
      </c>
      <c r="AA226" s="68" t="inlineStr"/>
      <c r="AB226" s="69" t="inlineStr"/>
      <c r="AC226" s="282" t="inlineStr">
        <is>
          <t>ЕАЭС N RU Д-RU.РА10.В.11265/24, ЕАЭС № RU Д-RU.АБ75.В.00704/19</t>
        </is>
      </c>
      <c r="AG226" s="78" t="n"/>
      <c r="AJ226" s="84" t="inlineStr"/>
      <c r="AK226" s="84" t="n">
        <v>0</v>
      </c>
      <c r="BB226" s="283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>
      <c r="A227" s="410" t="n"/>
      <c r="B227" s="397" t="n"/>
      <c r="C227" s="397" t="n"/>
      <c r="D227" s="397" t="n"/>
      <c r="E227" s="397" t="n"/>
      <c r="F227" s="397" t="n"/>
      <c r="G227" s="397" t="n"/>
      <c r="H227" s="397" t="n"/>
      <c r="I227" s="397" t="n"/>
      <c r="J227" s="397" t="n"/>
      <c r="K227" s="397" t="n"/>
      <c r="L227" s="397" t="n"/>
      <c r="M227" s="397" t="n"/>
      <c r="N227" s="397" t="n"/>
      <c r="O227" s="692" t="n"/>
      <c r="P227" s="693" t="inlineStr">
        <is>
          <t>Итого</t>
        </is>
      </c>
      <c r="Q227" s="654" t="n"/>
      <c r="R227" s="654" t="n"/>
      <c r="S227" s="654" t="n"/>
      <c r="T227" s="654" t="n"/>
      <c r="U227" s="654" t="n"/>
      <c r="V227" s="655" t="n"/>
      <c r="W227" s="42" t="inlineStr">
        <is>
          <t>кор</t>
        </is>
      </c>
      <c r="X227" s="694">
        <f>IFERROR(X222/H222,"0")+IFERROR(X223/H223,"0")+IFERROR(X224/H224,"0")+IFERROR(X225/H225,"0")+IFERROR(X226/H226,"0")</f>
        <v/>
      </c>
      <c r="Y227" s="694">
        <f>IFERROR(Y222/H222,"0")+IFERROR(Y223/H223,"0")+IFERROR(Y224/H224,"0")+IFERROR(Y225/H225,"0")+IFERROR(Y226/H226,"0")</f>
        <v/>
      </c>
      <c r="Z227" s="694">
        <f>IFERROR(IF(Z222="",0,Z222),"0")+IFERROR(IF(Z223="",0,Z223),"0")+IFERROR(IF(Z224="",0,Z224),"0")+IFERROR(IF(Z225="",0,Z225),"0")+IFERROR(IF(Z226="",0,Z226),"0")</f>
        <v/>
      </c>
      <c r="AA227" s="695" t="n"/>
      <c r="AB227" s="695" t="n"/>
      <c r="AC227" s="695" t="n"/>
    </row>
    <row r="228">
      <c r="A228" s="397" t="n"/>
      <c r="B228" s="397" t="n"/>
      <c r="C228" s="397" t="n"/>
      <c r="D228" s="397" t="n"/>
      <c r="E228" s="397" t="n"/>
      <c r="F228" s="397" t="n"/>
      <c r="G228" s="397" t="n"/>
      <c r="H228" s="397" t="n"/>
      <c r="I228" s="397" t="n"/>
      <c r="J228" s="397" t="n"/>
      <c r="K228" s="397" t="n"/>
      <c r="L228" s="397" t="n"/>
      <c r="M228" s="397" t="n"/>
      <c r="N228" s="397" t="n"/>
      <c r="O228" s="692" t="n"/>
      <c r="P228" s="693" t="inlineStr">
        <is>
          <t>Итого</t>
        </is>
      </c>
      <c r="Q228" s="654" t="n"/>
      <c r="R228" s="654" t="n"/>
      <c r="S228" s="654" t="n"/>
      <c r="T228" s="654" t="n"/>
      <c r="U228" s="654" t="n"/>
      <c r="V228" s="655" t="n"/>
      <c r="W228" s="42" t="inlineStr">
        <is>
          <t>кг</t>
        </is>
      </c>
      <c r="X228" s="694">
        <f>IFERROR(SUM(X222:X226),"0")</f>
        <v/>
      </c>
      <c r="Y228" s="694">
        <f>IFERROR(SUM(Y222:Y226),"0")</f>
        <v/>
      </c>
      <c r="Z228" s="42" t="n"/>
      <c r="AA228" s="695" t="n"/>
      <c r="AB228" s="695" t="n"/>
      <c r="AC228" s="695" t="n"/>
    </row>
    <row r="229" ht="14.25" customHeight="1">
      <c r="A229" s="400" t="inlineStr">
        <is>
          <t>Сардельки</t>
        </is>
      </c>
      <c r="B229" s="397" t="n"/>
      <c r="C229" s="397" t="n"/>
      <c r="D229" s="397" t="n"/>
      <c r="E229" s="397" t="n"/>
      <c r="F229" s="397" t="n"/>
      <c r="G229" s="397" t="n"/>
      <c r="H229" s="397" t="n"/>
      <c r="I229" s="397" t="n"/>
      <c r="J229" s="397" t="n"/>
      <c r="K229" s="397" t="n"/>
      <c r="L229" s="397" t="n"/>
      <c r="M229" s="397" t="n"/>
      <c r="N229" s="397" t="n"/>
      <c r="O229" s="397" t="n"/>
      <c r="P229" s="397" t="n"/>
      <c r="Q229" s="397" t="n"/>
      <c r="R229" s="397" t="n"/>
      <c r="S229" s="397" t="n"/>
      <c r="T229" s="397" t="n"/>
      <c r="U229" s="397" t="n"/>
      <c r="V229" s="397" t="n"/>
      <c r="W229" s="397" t="n"/>
      <c r="X229" s="397" t="n"/>
      <c r="Y229" s="397" t="n"/>
      <c r="Z229" s="397" t="n"/>
      <c r="AA229" s="400" t="n"/>
      <c r="AB229" s="400" t="n"/>
      <c r="AC229" s="400" t="n"/>
    </row>
    <row r="230" ht="27" customHeight="1">
      <c r="A230" s="63" t="inlineStr">
        <is>
          <t>SU001051</t>
        </is>
      </c>
      <c r="B230" s="63" t="inlineStr">
        <is>
          <t>P003997</t>
        </is>
      </c>
      <c r="C230" s="36" t="n">
        <v>4301060387</v>
      </c>
      <c r="D230" s="401" t="n">
        <v>4607091380880</v>
      </c>
      <c r="E230" s="646" t="n"/>
      <c r="F230" s="685" t="n">
        <v>1.4</v>
      </c>
      <c r="G230" s="37" t="n">
        <v>6</v>
      </c>
      <c r="H230" s="685" t="n">
        <v>8.4</v>
      </c>
      <c r="I230" s="685" t="n">
        <v>8.919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СК3</t>
        </is>
      </c>
      <c r="N230" s="38" t="n"/>
      <c r="O230" s="37" t="n">
        <v>30</v>
      </c>
      <c r="P230" s="793">
        <f>HYPERLINK("https://abi.ru/products/Охлажденные/Стародворье/Бордо/Сардельки/P003997/","Сардельки «Нежные» Весовые NDX мгс ТМ «Стародворье»")</f>
        <v/>
      </c>
      <c r="Q230" s="687" t="n"/>
      <c r="R230" s="687" t="n"/>
      <c r="S230" s="687" t="n"/>
      <c r="T230" s="688" t="n"/>
      <c r="U230" s="39" t="inlineStr"/>
      <c r="V230" s="39" t="inlineStr"/>
      <c r="W230" s="40" t="inlineStr">
        <is>
          <t>кг</t>
        </is>
      </c>
      <c r="X230" s="689" t="n">
        <v>0</v>
      </c>
      <c r="Y230" s="690">
        <f>IFERROR(IF(X230="",0,CEILING((X230/$H230),1)*$H230),"")</f>
        <v/>
      </c>
      <c r="Z230" s="41">
        <f>IFERROR(IF(Y230=0,"",ROUNDUP(Y230/H230,0)*0.01898),"")</f>
        <v/>
      </c>
      <c r="AA230" s="68" t="inlineStr"/>
      <c r="AB230" s="69" t="inlineStr"/>
      <c r="AC230" s="284" t="inlineStr">
        <is>
          <t>ЕАЭС N RU Д-RU.РА01.В.99293/24, ЕАЭС N RU Д-RU.РА01.В.99458/24</t>
        </is>
      </c>
      <c r="AG230" s="78" t="n"/>
      <c r="AJ230" s="84" t="inlineStr"/>
      <c r="AK230" s="84" t="n">
        <v>0</v>
      </c>
      <c r="BB230" s="28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SU000227</t>
        </is>
      </c>
      <c r="B231" s="63" t="inlineStr">
        <is>
          <t>P002536</t>
        </is>
      </c>
      <c r="C231" s="36" t="n">
        <v>4301060406</v>
      </c>
      <c r="D231" s="401" t="n">
        <v>4607091384482</v>
      </c>
      <c r="E231" s="646" t="n"/>
      <c r="F231" s="685" t="n">
        <v>1.3</v>
      </c>
      <c r="G231" s="37" t="n">
        <v>6</v>
      </c>
      <c r="H231" s="685" t="n">
        <v>7.8</v>
      </c>
      <c r="I231" s="685" t="n">
        <v>8.319000000000001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СК3</t>
        </is>
      </c>
      <c r="N231" s="38" t="n"/>
      <c r="O231" s="37" t="n">
        <v>30</v>
      </c>
      <c r="P231" s="794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231" s="687" t="n"/>
      <c r="R231" s="687" t="n"/>
      <c r="S231" s="687" t="n"/>
      <c r="T231" s="688" t="n"/>
      <c r="U231" s="39" t="inlineStr"/>
      <c r="V231" s="39" t="inlineStr"/>
      <c r="W231" s="40" t="inlineStr">
        <is>
          <t>кг</t>
        </is>
      </c>
      <c r="X231" s="689" t="n">
        <v>0</v>
      </c>
      <c r="Y231" s="690">
        <f>IFERROR(IF(X231="",0,CEILING((X231/$H231),1)*$H231),"")</f>
        <v/>
      </c>
      <c r="Z231" s="41">
        <f>IFERROR(IF(Y231=0,"",ROUNDUP(Y231/H231,0)*0.01898),"")</f>
        <v/>
      </c>
      <c r="AA231" s="68" t="inlineStr"/>
      <c r="AB231" s="69" t="inlineStr"/>
      <c r="AC231" s="286" t="inlineStr">
        <is>
          <t>ЕАЭС N RU Д-RU.РА03.В.18017/24, ЕАЭС N RU Д-RU.РА03.В.24110/24</t>
        </is>
      </c>
      <c r="AG231" s="78" t="n"/>
      <c r="AJ231" s="84" t="inlineStr"/>
      <c r="AK231" s="84" t="n">
        <v>0</v>
      </c>
      <c r="BB231" s="28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16.5" customHeight="1">
      <c r="A232" s="63" t="inlineStr">
        <is>
          <t>SU001430</t>
        </is>
      </c>
      <c r="B232" s="63" t="inlineStr">
        <is>
          <t>P004913</t>
        </is>
      </c>
      <c r="C232" s="36" t="n">
        <v>4301060484</v>
      </c>
      <c r="D232" s="401" t="n">
        <v>4607091380897</v>
      </c>
      <c r="E232" s="646" t="n"/>
      <c r="F232" s="685" t="n">
        <v>1.4</v>
      </c>
      <c r="G232" s="37" t="n">
        <v>6</v>
      </c>
      <c r="H232" s="685" t="n">
        <v>8.4</v>
      </c>
      <c r="I232" s="685" t="n">
        <v>8.919</v>
      </c>
      <c r="J232" s="37" t="n">
        <v>64</v>
      </c>
      <c r="K232" s="37" t="inlineStr">
        <is>
          <t>8</t>
        </is>
      </c>
      <c r="L232" s="37" t="inlineStr"/>
      <c r="M232" s="38" t="inlineStr">
        <is>
          <t>СК4</t>
        </is>
      </c>
      <c r="N232" s="38" t="n"/>
      <c r="O232" s="37" t="n">
        <v>30</v>
      </c>
      <c r="P232" s="795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232" s="687" t="n"/>
      <c r="R232" s="687" t="n"/>
      <c r="S232" s="687" t="n"/>
      <c r="T232" s="688" t="n"/>
      <c r="U232" s="39" t="inlineStr"/>
      <c r="V232" s="39" t="inlineStr"/>
      <c r="W232" s="40" t="inlineStr">
        <is>
          <t>кг</t>
        </is>
      </c>
      <c r="X232" s="689" t="n">
        <v>0</v>
      </c>
      <c r="Y232" s="690">
        <f>IFERROR(IF(X232="",0,CEILING((X232/$H232),1)*$H232),"")</f>
        <v/>
      </c>
      <c r="Z232" s="41">
        <f>IFERROR(IF(Y232=0,"",ROUNDUP(Y232/H232,0)*0.01898),"")</f>
        <v/>
      </c>
      <c r="AA232" s="68" t="inlineStr"/>
      <c r="AB232" s="69" t="inlineStr"/>
      <c r="AC232" s="288" t="inlineStr">
        <is>
          <t>ЕАЭС N RU Д-RU.РА10.В.28304/24</t>
        </is>
      </c>
      <c r="AG232" s="78" t="n"/>
      <c r="AJ232" s="84" t="inlineStr"/>
      <c r="AK232" s="84" t="n">
        <v>0</v>
      </c>
      <c r="BB232" s="28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>
      <c r="A233" s="410" t="n"/>
      <c r="B233" s="397" t="n"/>
      <c r="C233" s="397" t="n"/>
      <c r="D233" s="397" t="n"/>
      <c r="E233" s="397" t="n"/>
      <c r="F233" s="397" t="n"/>
      <c r="G233" s="397" t="n"/>
      <c r="H233" s="397" t="n"/>
      <c r="I233" s="397" t="n"/>
      <c r="J233" s="397" t="n"/>
      <c r="K233" s="397" t="n"/>
      <c r="L233" s="397" t="n"/>
      <c r="M233" s="397" t="n"/>
      <c r="N233" s="397" t="n"/>
      <c r="O233" s="692" t="n"/>
      <c r="P233" s="693" t="inlineStr">
        <is>
          <t>Итого</t>
        </is>
      </c>
      <c r="Q233" s="654" t="n"/>
      <c r="R233" s="654" t="n"/>
      <c r="S233" s="654" t="n"/>
      <c r="T233" s="654" t="n"/>
      <c r="U233" s="654" t="n"/>
      <c r="V233" s="655" t="n"/>
      <c r="W233" s="42" t="inlineStr">
        <is>
          <t>кор</t>
        </is>
      </c>
      <c r="X233" s="694">
        <f>IFERROR(X230/H230,"0")+IFERROR(X231/H231,"0")+IFERROR(X232/H232,"0")</f>
        <v/>
      </c>
      <c r="Y233" s="694">
        <f>IFERROR(Y230/H230,"0")+IFERROR(Y231/H231,"0")+IFERROR(Y232/H232,"0")</f>
        <v/>
      </c>
      <c r="Z233" s="694">
        <f>IFERROR(IF(Z230="",0,Z230),"0")+IFERROR(IF(Z231="",0,Z231),"0")+IFERROR(IF(Z232="",0,Z232),"0")</f>
        <v/>
      </c>
      <c r="AA233" s="695" t="n"/>
      <c r="AB233" s="695" t="n"/>
      <c r="AC233" s="695" t="n"/>
    </row>
    <row r="234">
      <c r="A234" s="397" t="n"/>
      <c r="B234" s="397" t="n"/>
      <c r="C234" s="397" t="n"/>
      <c r="D234" s="397" t="n"/>
      <c r="E234" s="397" t="n"/>
      <c r="F234" s="397" t="n"/>
      <c r="G234" s="397" t="n"/>
      <c r="H234" s="397" t="n"/>
      <c r="I234" s="397" t="n"/>
      <c r="J234" s="397" t="n"/>
      <c r="K234" s="397" t="n"/>
      <c r="L234" s="397" t="n"/>
      <c r="M234" s="397" t="n"/>
      <c r="N234" s="397" t="n"/>
      <c r="O234" s="692" t="n"/>
      <c r="P234" s="693" t="inlineStr">
        <is>
          <t>Итого</t>
        </is>
      </c>
      <c r="Q234" s="654" t="n"/>
      <c r="R234" s="654" t="n"/>
      <c r="S234" s="654" t="n"/>
      <c r="T234" s="654" t="n"/>
      <c r="U234" s="654" t="n"/>
      <c r="V234" s="655" t="n"/>
      <c r="W234" s="42" t="inlineStr">
        <is>
          <t>кг</t>
        </is>
      </c>
      <c r="X234" s="694">
        <f>IFERROR(SUM(X230:X232),"0")</f>
        <v/>
      </c>
      <c r="Y234" s="694">
        <f>IFERROR(SUM(Y230:Y232),"0")</f>
        <v/>
      </c>
      <c r="Z234" s="42" t="n"/>
      <c r="AA234" s="695" t="n"/>
      <c r="AB234" s="695" t="n"/>
      <c r="AC234" s="695" t="n"/>
    </row>
    <row r="235" ht="14.25" customHeight="1">
      <c r="A235" s="400" t="inlineStr">
        <is>
          <t>Сырокопченые колбасы</t>
        </is>
      </c>
      <c r="B235" s="397" t="n"/>
      <c r="C235" s="397" t="n"/>
      <c r="D235" s="397" t="n"/>
      <c r="E235" s="397" t="n"/>
      <c r="F235" s="397" t="n"/>
      <c r="G235" s="397" t="n"/>
      <c r="H235" s="397" t="n"/>
      <c r="I235" s="397" t="n"/>
      <c r="J235" s="397" t="n"/>
      <c r="K235" s="397" t="n"/>
      <c r="L235" s="397" t="n"/>
      <c r="M235" s="397" t="n"/>
      <c r="N235" s="397" t="n"/>
      <c r="O235" s="397" t="n"/>
      <c r="P235" s="397" t="n"/>
      <c r="Q235" s="397" t="n"/>
      <c r="R235" s="397" t="n"/>
      <c r="S235" s="397" t="n"/>
      <c r="T235" s="397" t="n"/>
      <c r="U235" s="397" t="n"/>
      <c r="V235" s="397" t="n"/>
      <c r="W235" s="397" t="n"/>
      <c r="X235" s="397" t="n"/>
      <c r="Y235" s="397" t="n"/>
      <c r="Z235" s="397" t="n"/>
      <c r="AA235" s="400" t="n"/>
      <c r="AB235" s="400" t="n"/>
      <c r="AC235" s="400" t="n"/>
    </row>
    <row r="236" ht="27" customHeight="1">
      <c r="A236" s="63" t="inlineStr">
        <is>
          <t>SU001921</t>
        </is>
      </c>
      <c r="B236" s="63" t="inlineStr">
        <is>
          <t>P001916</t>
        </is>
      </c>
      <c r="C236" s="36" t="n">
        <v>4301030235</v>
      </c>
      <c r="D236" s="401" t="n">
        <v>4607091388381</v>
      </c>
      <c r="E236" s="646" t="n"/>
      <c r="F236" s="685" t="n">
        <v>0.38</v>
      </c>
      <c r="G236" s="37" t="n">
        <v>8</v>
      </c>
      <c r="H236" s="685" t="n">
        <v>3.04</v>
      </c>
      <c r="I236" s="685" t="n">
        <v>3.33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АК</t>
        </is>
      </c>
      <c r="N236" s="38" t="n"/>
      <c r="O236" s="37" t="n">
        <v>180</v>
      </c>
      <c r="P236" s="796" t="inlineStr">
        <is>
          <t>С/к колбасы Салями Охотничья Бордо Весовые б/о терм/п 180 Стародворье</t>
        </is>
      </c>
      <c r="Q236" s="687" t="n"/>
      <c r="R236" s="687" t="n"/>
      <c r="S236" s="687" t="n"/>
      <c r="T236" s="688" t="n"/>
      <c r="U236" s="39" t="inlineStr"/>
      <c r="V236" s="39" t="inlineStr"/>
      <c r="W236" s="40" t="inlineStr">
        <is>
          <t>кг</t>
        </is>
      </c>
      <c r="X236" s="689" t="n">
        <v>0</v>
      </c>
      <c r="Y236" s="690">
        <f>IFERROR(IF(X236="",0,CEILING((X236/$H236),1)*$H236),"")</f>
        <v/>
      </c>
      <c r="Z236" s="41">
        <f>IFERROR(IF(Y236=0,"",ROUNDUP(Y236/H236,0)*0.00902),"")</f>
        <v/>
      </c>
      <c r="AA236" s="68" t="inlineStr"/>
      <c r="AB236" s="69" t="inlineStr"/>
      <c r="AC236" s="290" t="inlineStr">
        <is>
          <t>ЕАЭС N RU Д-RU.РА01.В.91379</t>
        </is>
      </c>
      <c r="AG236" s="78" t="n"/>
      <c r="AJ236" s="84" t="inlineStr"/>
      <c r="AK236" s="84" t="n">
        <v>0</v>
      </c>
      <c r="BB236" s="291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SU001920</t>
        </is>
      </c>
      <c r="B237" s="63" t="inlineStr">
        <is>
          <t>P001900</t>
        </is>
      </c>
      <c r="C237" s="36" t="n">
        <v>4301030232</v>
      </c>
      <c r="D237" s="401" t="n">
        <v>4607091388374</v>
      </c>
      <c r="E237" s="646" t="n"/>
      <c r="F237" s="685" t="n">
        <v>0.38</v>
      </c>
      <c r="G237" s="37" t="n">
        <v>8</v>
      </c>
      <c r="H237" s="685" t="n">
        <v>3.04</v>
      </c>
      <c r="I237" s="685" t="n">
        <v>3.29</v>
      </c>
      <c r="J237" s="37" t="n">
        <v>132</v>
      </c>
      <c r="K237" s="37" t="inlineStr">
        <is>
          <t>12</t>
        </is>
      </c>
      <c r="L237" s="37" t="inlineStr"/>
      <c r="M237" s="38" t="inlineStr">
        <is>
          <t>АК</t>
        </is>
      </c>
      <c r="N237" s="38" t="n"/>
      <c r="O237" s="37" t="n">
        <v>180</v>
      </c>
      <c r="P237" s="797" t="inlineStr">
        <is>
          <t>С/к колбасы Княжеская Бордо Весовые б/о терм/п Стародворье</t>
        </is>
      </c>
      <c r="Q237" s="687" t="n"/>
      <c r="R237" s="687" t="n"/>
      <c r="S237" s="687" t="n"/>
      <c r="T237" s="688" t="n"/>
      <c r="U237" s="39" t="inlineStr"/>
      <c r="V237" s="39" t="inlineStr"/>
      <c r="W237" s="40" t="inlineStr">
        <is>
          <t>кг</t>
        </is>
      </c>
      <c r="X237" s="689" t="n">
        <v>0</v>
      </c>
      <c r="Y237" s="690">
        <f>IFERROR(IF(X237="",0,CEILING((X237/$H237),1)*$H237),"")</f>
        <v/>
      </c>
      <c r="Z237" s="41">
        <f>IFERROR(IF(Y237=0,"",ROUNDUP(Y237/H237,0)*0.00902),"")</f>
        <v/>
      </c>
      <c r="AA237" s="68" t="inlineStr"/>
      <c r="AB237" s="69" t="inlineStr"/>
      <c r="AC237" s="292" t="inlineStr">
        <is>
          <t>ЕАЭС N RU Д-RU.РА01.В.91379</t>
        </is>
      </c>
      <c r="AG237" s="78" t="n"/>
      <c r="AJ237" s="84" t="inlineStr"/>
      <c r="AK237" s="84" t="n">
        <v>0</v>
      </c>
      <c r="BB237" s="293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SU002092</t>
        </is>
      </c>
      <c r="B238" s="63" t="inlineStr">
        <is>
          <t>P002290</t>
        </is>
      </c>
      <c r="C238" s="36" t="n">
        <v>4301032015</v>
      </c>
      <c r="D238" s="401" t="n">
        <v>4607091383102</v>
      </c>
      <c r="E238" s="646" t="n"/>
      <c r="F238" s="685" t="n">
        <v>0.17</v>
      </c>
      <c r="G238" s="37" t="n">
        <v>15</v>
      </c>
      <c r="H238" s="685" t="n">
        <v>2.55</v>
      </c>
      <c r="I238" s="685" t="n">
        <v>2.955</v>
      </c>
      <c r="J238" s="37" t="n">
        <v>182</v>
      </c>
      <c r="K238" s="37" t="inlineStr">
        <is>
          <t>14</t>
        </is>
      </c>
      <c r="L238" s="37" t="inlineStr"/>
      <c r="M238" s="38" t="inlineStr">
        <is>
          <t>АК</t>
        </is>
      </c>
      <c r="N238" s="38" t="n"/>
      <c r="O238" s="37" t="n">
        <v>180</v>
      </c>
      <c r="P238" s="798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238" s="687" t="n"/>
      <c r="R238" s="687" t="n"/>
      <c r="S238" s="687" t="n"/>
      <c r="T238" s="688" t="n"/>
      <c r="U238" s="39" t="inlineStr"/>
      <c r="V238" s="39" t="inlineStr"/>
      <c r="W238" s="40" t="inlineStr">
        <is>
          <t>кг</t>
        </is>
      </c>
      <c r="X238" s="689" t="n">
        <v>50</v>
      </c>
      <c r="Y238" s="690">
        <f>IFERROR(IF(X238="",0,CEILING((X238/$H238),1)*$H238),"")</f>
        <v/>
      </c>
      <c r="Z238" s="41">
        <f>IFERROR(IF(Y238=0,"",ROUNDUP(Y238/H238,0)*0.00651),"")</f>
        <v/>
      </c>
      <c r="AA238" s="68" t="inlineStr"/>
      <c r="AB238" s="69" t="inlineStr"/>
      <c r="AC238" s="294" t="inlineStr">
        <is>
          <t>ЕАЭС N RU Д-RU.РА01.В.73997/20</t>
        </is>
      </c>
      <c r="AG238" s="78" t="n"/>
      <c r="AJ238" s="84" t="inlineStr"/>
      <c r="AK238" s="84" t="n">
        <v>0</v>
      </c>
      <c r="BB238" s="295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SU001869</t>
        </is>
      </c>
      <c r="B239" s="63" t="inlineStr">
        <is>
          <t>P001909</t>
        </is>
      </c>
      <c r="C239" s="36" t="n">
        <v>4301030233</v>
      </c>
      <c r="D239" s="401" t="n">
        <v>4607091388404</v>
      </c>
      <c r="E239" s="646" t="n"/>
      <c r="F239" s="685" t="n">
        <v>0.17</v>
      </c>
      <c r="G239" s="37" t="n">
        <v>15</v>
      </c>
      <c r="H239" s="685" t="n">
        <v>2.55</v>
      </c>
      <c r="I239" s="685" t="n">
        <v>2.88</v>
      </c>
      <c r="J239" s="37" t="n">
        <v>182</v>
      </c>
      <c r="K239" s="37" t="inlineStr">
        <is>
          <t>14</t>
        </is>
      </c>
      <c r="L239" s="37" t="inlineStr"/>
      <c r="M239" s="38" t="inlineStr">
        <is>
          <t>АК</t>
        </is>
      </c>
      <c r="N239" s="38" t="n"/>
      <c r="O239" s="37" t="n">
        <v>180</v>
      </c>
      <c r="P239" s="7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239" s="687" t="n"/>
      <c r="R239" s="687" t="n"/>
      <c r="S239" s="687" t="n"/>
      <c r="T239" s="688" t="n"/>
      <c r="U239" s="39" t="inlineStr"/>
      <c r="V239" s="39" t="inlineStr"/>
      <c r="W239" s="40" t="inlineStr">
        <is>
          <t>кг</t>
        </is>
      </c>
      <c r="X239" s="689" t="n">
        <v>0</v>
      </c>
      <c r="Y239" s="690">
        <f>IFERROR(IF(X239="",0,CEILING((X239/$H239),1)*$H239),"")</f>
        <v/>
      </c>
      <c r="Z239" s="41">
        <f>IFERROR(IF(Y239=0,"",ROUNDUP(Y239/H239,0)*0.00651),"")</f>
        <v/>
      </c>
      <c r="AA239" s="68" t="inlineStr"/>
      <c r="AB239" s="69" t="inlineStr"/>
      <c r="AC239" s="296" t="inlineStr">
        <is>
          <t>ЕАЭС N RU Д-RU.РА01.В.91379</t>
        </is>
      </c>
      <c r="AG239" s="78" t="n"/>
      <c r="AJ239" s="84" t="inlineStr"/>
      <c r="AK239" s="84" t="n">
        <v>0</v>
      </c>
      <c r="BB239" s="297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>
      <c r="A240" s="410" t="n"/>
      <c r="B240" s="397" t="n"/>
      <c r="C240" s="397" t="n"/>
      <c r="D240" s="397" t="n"/>
      <c r="E240" s="397" t="n"/>
      <c r="F240" s="397" t="n"/>
      <c r="G240" s="397" t="n"/>
      <c r="H240" s="397" t="n"/>
      <c r="I240" s="397" t="n"/>
      <c r="J240" s="397" t="n"/>
      <c r="K240" s="397" t="n"/>
      <c r="L240" s="397" t="n"/>
      <c r="M240" s="397" t="n"/>
      <c r="N240" s="397" t="n"/>
      <c r="O240" s="692" t="n"/>
      <c r="P240" s="693" t="inlineStr">
        <is>
          <t>Итого</t>
        </is>
      </c>
      <c r="Q240" s="654" t="n"/>
      <c r="R240" s="654" t="n"/>
      <c r="S240" s="654" t="n"/>
      <c r="T240" s="654" t="n"/>
      <c r="U240" s="654" t="n"/>
      <c r="V240" s="655" t="n"/>
      <c r="W240" s="42" t="inlineStr">
        <is>
          <t>кор</t>
        </is>
      </c>
      <c r="X240" s="694">
        <f>IFERROR(X236/H236,"0")+IFERROR(X237/H237,"0")+IFERROR(X238/H238,"0")+IFERROR(X239/H239,"0")</f>
        <v/>
      </c>
      <c r="Y240" s="694">
        <f>IFERROR(Y236/H236,"0")+IFERROR(Y237/H237,"0")+IFERROR(Y238/H238,"0")+IFERROR(Y239/H239,"0")</f>
        <v/>
      </c>
      <c r="Z240" s="694">
        <f>IFERROR(IF(Z236="",0,Z236),"0")+IFERROR(IF(Z237="",0,Z237),"0")+IFERROR(IF(Z238="",0,Z238),"0")+IFERROR(IF(Z239="",0,Z239),"0")</f>
        <v/>
      </c>
      <c r="AA240" s="695" t="n"/>
      <c r="AB240" s="695" t="n"/>
      <c r="AC240" s="695" t="n"/>
    </row>
    <row r="241">
      <c r="A241" s="397" t="n"/>
      <c r="B241" s="397" t="n"/>
      <c r="C241" s="397" t="n"/>
      <c r="D241" s="397" t="n"/>
      <c r="E241" s="397" t="n"/>
      <c r="F241" s="397" t="n"/>
      <c r="G241" s="397" t="n"/>
      <c r="H241" s="397" t="n"/>
      <c r="I241" s="397" t="n"/>
      <c r="J241" s="397" t="n"/>
      <c r="K241" s="397" t="n"/>
      <c r="L241" s="397" t="n"/>
      <c r="M241" s="397" t="n"/>
      <c r="N241" s="397" t="n"/>
      <c r="O241" s="692" t="n"/>
      <c r="P241" s="693" t="inlineStr">
        <is>
          <t>Итого</t>
        </is>
      </c>
      <c r="Q241" s="654" t="n"/>
      <c r="R241" s="654" t="n"/>
      <c r="S241" s="654" t="n"/>
      <c r="T241" s="654" t="n"/>
      <c r="U241" s="654" t="n"/>
      <c r="V241" s="655" t="n"/>
      <c r="W241" s="42" t="inlineStr">
        <is>
          <t>кг</t>
        </is>
      </c>
      <c r="X241" s="694">
        <f>IFERROR(SUM(X236:X239),"0")</f>
        <v/>
      </c>
      <c r="Y241" s="694">
        <f>IFERROR(SUM(Y236:Y239),"0")</f>
        <v/>
      </c>
      <c r="Z241" s="42" t="n"/>
      <c r="AA241" s="695" t="n"/>
      <c r="AB241" s="695" t="n"/>
      <c r="AC241" s="695" t="n"/>
    </row>
    <row r="242" ht="14.25" customHeight="1">
      <c r="A242" s="400" t="inlineStr">
        <is>
          <t>Паштеты</t>
        </is>
      </c>
      <c r="B242" s="397" t="n"/>
      <c r="C242" s="397" t="n"/>
      <c r="D242" s="397" t="n"/>
      <c r="E242" s="397" t="n"/>
      <c r="F242" s="397" t="n"/>
      <c r="G242" s="397" t="n"/>
      <c r="H242" s="397" t="n"/>
      <c r="I242" s="397" t="n"/>
      <c r="J242" s="397" t="n"/>
      <c r="K242" s="397" t="n"/>
      <c r="L242" s="397" t="n"/>
      <c r="M242" s="397" t="n"/>
      <c r="N242" s="397" t="n"/>
      <c r="O242" s="397" t="n"/>
      <c r="P242" s="397" t="n"/>
      <c r="Q242" s="397" t="n"/>
      <c r="R242" s="397" t="n"/>
      <c r="S242" s="397" t="n"/>
      <c r="T242" s="397" t="n"/>
      <c r="U242" s="397" t="n"/>
      <c r="V242" s="397" t="n"/>
      <c r="W242" s="397" t="n"/>
      <c r="X242" s="397" t="n"/>
      <c r="Y242" s="397" t="n"/>
      <c r="Z242" s="397" t="n"/>
      <c r="AA242" s="400" t="n"/>
      <c r="AB242" s="400" t="n"/>
      <c r="AC242" s="400" t="n"/>
    </row>
    <row r="243" ht="16.5" customHeight="1">
      <c r="A243" s="63" t="inlineStr">
        <is>
          <t>SU002841</t>
        </is>
      </c>
      <c r="B243" s="63" t="inlineStr">
        <is>
          <t>P003253</t>
        </is>
      </c>
      <c r="C243" s="36" t="n">
        <v>4301180007</v>
      </c>
      <c r="D243" s="401" t="n">
        <v>4680115881808</v>
      </c>
      <c r="E243" s="646" t="n"/>
      <c r="F243" s="685" t="n">
        <v>0.1</v>
      </c>
      <c r="G243" s="37" t="n">
        <v>20</v>
      </c>
      <c r="H243" s="685" t="n">
        <v>2</v>
      </c>
      <c r="I243" s="685" t="n">
        <v>2.24</v>
      </c>
      <c r="J243" s="37" t="n">
        <v>238</v>
      </c>
      <c r="K243" s="37" t="inlineStr">
        <is>
          <t>14</t>
        </is>
      </c>
      <c r="L243" s="37" t="inlineStr"/>
      <c r="M243" s="38" t="inlineStr">
        <is>
          <t>РК</t>
        </is>
      </c>
      <c r="N243" s="38" t="n"/>
      <c r="O243" s="37" t="n">
        <v>730</v>
      </c>
      <c r="P243" s="8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243" s="687" t="n"/>
      <c r="R243" s="687" t="n"/>
      <c r="S243" s="687" t="n"/>
      <c r="T243" s="688" t="n"/>
      <c r="U243" s="39" t="inlineStr"/>
      <c r="V243" s="39" t="inlineStr"/>
      <c r="W243" s="40" t="inlineStr">
        <is>
          <t>кг</t>
        </is>
      </c>
      <c r="X243" s="689" t="n">
        <v>0</v>
      </c>
      <c r="Y243" s="690">
        <f>IFERROR(IF(X243="",0,CEILING((X243/$H243),1)*$H243),"")</f>
        <v/>
      </c>
      <c r="Z243" s="41">
        <f>IFERROR(IF(Y243=0,"",ROUNDUP(Y243/H243,0)*0.00474),"")</f>
        <v/>
      </c>
      <c r="AA243" s="68" t="inlineStr"/>
      <c r="AB243" s="69" t="inlineStr"/>
      <c r="AC243" s="298" t="inlineStr">
        <is>
          <t>ЕАЭС N RU Д-RU.РА04.В.53299/22</t>
        </is>
      </c>
      <c r="AG243" s="78" t="n"/>
      <c r="AJ243" s="84" t="inlineStr"/>
      <c r="AK243" s="84" t="n">
        <v>0</v>
      </c>
      <c r="BB243" s="299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SU002840</t>
        </is>
      </c>
      <c r="B244" s="63" t="inlineStr">
        <is>
          <t>P003252</t>
        </is>
      </c>
      <c r="C244" s="36" t="n">
        <v>4301180006</v>
      </c>
      <c r="D244" s="401" t="n">
        <v>4680115881822</v>
      </c>
      <c r="E244" s="646" t="n"/>
      <c r="F244" s="685" t="n">
        <v>0.1</v>
      </c>
      <c r="G244" s="37" t="n">
        <v>20</v>
      </c>
      <c r="H244" s="685" t="n">
        <v>2</v>
      </c>
      <c r="I244" s="685" t="n">
        <v>2.24</v>
      </c>
      <c r="J244" s="37" t="n">
        <v>238</v>
      </c>
      <c r="K244" s="37" t="inlineStr">
        <is>
          <t>14</t>
        </is>
      </c>
      <c r="L244" s="37" t="inlineStr"/>
      <c r="M244" s="38" t="inlineStr">
        <is>
          <t>РК</t>
        </is>
      </c>
      <c r="N244" s="38" t="n"/>
      <c r="O244" s="37" t="n">
        <v>730</v>
      </c>
      <c r="P244" s="8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244" s="687" t="n"/>
      <c r="R244" s="687" t="n"/>
      <c r="S244" s="687" t="n"/>
      <c r="T244" s="688" t="n"/>
      <c r="U244" s="39" t="inlineStr"/>
      <c r="V244" s="39" t="inlineStr"/>
      <c r="W244" s="40" t="inlineStr">
        <is>
          <t>кг</t>
        </is>
      </c>
      <c r="X244" s="689" t="n">
        <v>0</v>
      </c>
      <c r="Y244" s="690">
        <f>IFERROR(IF(X244="",0,CEILING((X244/$H244),1)*$H244),"")</f>
        <v/>
      </c>
      <c r="Z244" s="41">
        <f>IFERROR(IF(Y244=0,"",ROUNDUP(Y244/H244,0)*0.00474),"")</f>
        <v/>
      </c>
      <c r="AA244" s="68" t="inlineStr"/>
      <c r="AB244" s="69" t="inlineStr"/>
      <c r="AC244" s="300" t="inlineStr">
        <is>
          <t>ЕАЭС N RU Д-RU.РА04.В.53299/22</t>
        </is>
      </c>
      <c r="AG244" s="78" t="n"/>
      <c r="AJ244" s="84" t="inlineStr"/>
      <c r="AK244" s="84" t="n">
        <v>0</v>
      </c>
      <c r="BB244" s="301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SU002368</t>
        </is>
      </c>
      <c r="B245" s="63" t="inlineStr">
        <is>
          <t>P002648</t>
        </is>
      </c>
      <c r="C245" s="36" t="n">
        <v>4301180001</v>
      </c>
      <c r="D245" s="401" t="n">
        <v>4680115880016</v>
      </c>
      <c r="E245" s="646" t="n"/>
      <c r="F245" s="685" t="n">
        <v>0.1</v>
      </c>
      <c r="G245" s="37" t="n">
        <v>20</v>
      </c>
      <c r="H245" s="685" t="n">
        <v>2</v>
      </c>
      <c r="I245" s="685" t="n">
        <v>2.24</v>
      </c>
      <c r="J245" s="37" t="n">
        <v>238</v>
      </c>
      <c r="K245" s="37" t="inlineStr">
        <is>
          <t>14</t>
        </is>
      </c>
      <c r="L245" s="37" t="inlineStr"/>
      <c r="M245" s="38" t="inlineStr">
        <is>
          <t>РК</t>
        </is>
      </c>
      <c r="N245" s="38" t="n"/>
      <c r="O245" s="37" t="n">
        <v>730</v>
      </c>
      <c r="P245" s="8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245" s="687" t="n"/>
      <c r="R245" s="687" t="n"/>
      <c r="S245" s="687" t="n"/>
      <c r="T245" s="688" t="n"/>
      <c r="U245" s="39" t="inlineStr"/>
      <c r="V245" s="39" t="inlineStr"/>
      <c r="W245" s="40" t="inlineStr">
        <is>
          <t>кг</t>
        </is>
      </c>
      <c r="X245" s="689" t="n">
        <v>0</v>
      </c>
      <c r="Y245" s="690">
        <f>IFERROR(IF(X245="",0,CEILING((X245/$H245),1)*$H245),"")</f>
        <v/>
      </c>
      <c r="Z245" s="41">
        <f>IFERROR(IF(Y245=0,"",ROUNDUP(Y245/H245,0)*0.00474),"")</f>
        <v/>
      </c>
      <c r="AA245" s="68" t="inlineStr"/>
      <c r="AB245" s="69" t="inlineStr"/>
      <c r="AC245" s="302" t="inlineStr">
        <is>
          <t>ЕАЭС N RU Д-RU.РА04.В.53299/22</t>
        </is>
      </c>
      <c r="AG245" s="78" t="n"/>
      <c r="AJ245" s="84" t="inlineStr"/>
      <c r="AK245" s="84" t="n">
        <v>0</v>
      </c>
      <c r="BB245" s="303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>
      <c r="A246" s="410" t="n"/>
      <c r="B246" s="397" t="n"/>
      <c r="C246" s="397" t="n"/>
      <c r="D246" s="397" t="n"/>
      <c r="E246" s="397" t="n"/>
      <c r="F246" s="397" t="n"/>
      <c r="G246" s="397" t="n"/>
      <c r="H246" s="397" t="n"/>
      <c r="I246" s="397" t="n"/>
      <c r="J246" s="397" t="n"/>
      <c r="K246" s="397" t="n"/>
      <c r="L246" s="397" t="n"/>
      <c r="M246" s="397" t="n"/>
      <c r="N246" s="397" t="n"/>
      <c r="O246" s="692" t="n"/>
      <c r="P246" s="693" t="inlineStr">
        <is>
          <t>Итого</t>
        </is>
      </c>
      <c r="Q246" s="654" t="n"/>
      <c r="R246" s="654" t="n"/>
      <c r="S246" s="654" t="n"/>
      <c r="T246" s="654" t="n"/>
      <c r="U246" s="654" t="n"/>
      <c r="V246" s="655" t="n"/>
      <c r="W246" s="42" t="inlineStr">
        <is>
          <t>кор</t>
        </is>
      </c>
      <c r="X246" s="694">
        <f>IFERROR(X243/H243,"0")+IFERROR(X244/H244,"0")+IFERROR(X245/H245,"0")</f>
        <v/>
      </c>
      <c r="Y246" s="694">
        <f>IFERROR(Y243/H243,"0")+IFERROR(Y244/H244,"0")+IFERROR(Y245/H245,"0")</f>
        <v/>
      </c>
      <c r="Z246" s="694">
        <f>IFERROR(IF(Z243="",0,Z243),"0")+IFERROR(IF(Z244="",0,Z244),"0")+IFERROR(IF(Z245="",0,Z245),"0")</f>
        <v/>
      </c>
      <c r="AA246" s="695" t="n"/>
      <c r="AB246" s="695" t="n"/>
      <c r="AC246" s="695" t="n"/>
    </row>
    <row r="247">
      <c r="A247" s="397" t="n"/>
      <c r="B247" s="397" t="n"/>
      <c r="C247" s="397" t="n"/>
      <c r="D247" s="397" t="n"/>
      <c r="E247" s="397" t="n"/>
      <c r="F247" s="397" t="n"/>
      <c r="G247" s="397" t="n"/>
      <c r="H247" s="397" t="n"/>
      <c r="I247" s="397" t="n"/>
      <c r="J247" s="397" t="n"/>
      <c r="K247" s="397" t="n"/>
      <c r="L247" s="397" t="n"/>
      <c r="M247" s="397" t="n"/>
      <c r="N247" s="397" t="n"/>
      <c r="O247" s="692" t="n"/>
      <c r="P247" s="693" t="inlineStr">
        <is>
          <t>Итого</t>
        </is>
      </c>
      <c r="Q247" s="654" t="n"/>
      <c r="R247" s="654" t="n"/>
      <c r="S247" s="654" t="n"/>
      <c r="T247" s="654" t="n"/>
      <c r="U247" s="654" t="n"/>
      <c r="V247" s="655" t="n"/>
      <c r="W247" s="42" t="inlineStr">
        <is>
          <t>кг</t>
        </is>
      </c>
      <c r="X247" s="694">
        <f>IFERROR(SUM(X243:X245),"0")</f>
        <v/>
      </c>
      <c r="Y247" s="694">
        <f>IFERROR(SUM(Y243:Y245),"0")</f>
        <v/>
      </c>
      <c r="Z247" s="42" t="n"/>
      <c r="AA247" s="695" t="n"/>
      <c r="AB247" s="695" t="n"/>
      <c r="AC247" s="695" t="n"/>
    </row>
    <row r="248" ht="16.5" customHeight="1">
      <c r="A248" s="430" t="inlineStr">
        <is>
          <t>Бавария</t>
        </is>
      </c>
      <c r="B248" s="397" t="n"/>
      <c r="C248" s="397" t="n"/>
      <c r="D248" s="397" t="n"/>
      <c r="E248" s="397" t="n"/>
      <c r="F248" s="397" t="n"/>
      <c r="G248" s="397" t="n"/>
      <c r="H248" s="397" t="n"/>
      <c r="I248" s="397" t="n"/>
      <c r="J248" s="397" t="n"/>
      <c r="K248" s="397" t="n"/>
      <c r="L248" s="397" t="n"/>
      <c r="M248" s="397" t="n"/>
      <c r="N248" s="397" t="n"/>
      <c r="O248" s="397" t="n"/>
      <c r="P248" s="397" t="n"/>
      <c r="Q248" s="397" t="n"/>
      <c r="R248" s="397" t="n"/>
      <c r="S248" s="397" t="n"/>
      <c r="T248" s="397" t="n"/>
      <c r="U248" s="397" t="n"/>
      <c r="V248" s="397" t="n"/>
      <c r="W248" s="397" t="n"/>
      <c r="X248" s="397" t="n"/>
      <c r="Y248" s="397" t="n"/>
      <c r="Z248" s="397" t="n"/>
      <c r="AA248" s="430" t="n"/>
      <c r="AB248" s="430" t="n"/>
      <c r="AC248" s="430" t="n"/>
    </row>
    <row r="249" ht="14.25" customHeight="1">
      <c r="A249" s="400" t="inlineStr">
        <is>
          <t>Сосиски</t>
        </is>
      </c>
      <c r="B249" s="397" t="n"/>
      <c r="C249" s="397" t="n"/>
      <c r="D249" s="397" t="n"/>
      <c r="E249" s="397" t="n"/>
      <c r="F249" s="397" t="n"/>
      <c r="G249" s="397" t="n"/>
      <c r="H249" s="397" t="n"/>
      <c r="I249" s="397" t="n"/>
      <c r="J249" s="397" t="n"/>
      <c r="K249" s="397" t="n"/>
      <c r="L249" s="397" t="n"/>
      <c r="M249" s="397" t="n"/>
      <c r="N249" s="397" t="n"/>
      <c r="O249" s="397" t="n"/>
      <c r="P249" s="397" t="n"/>
      <c r="Q249" s="397" t="n"/>
      <c r="R249" s="397" t="n"/>
      <c r="S249" s="397" t="n"/>
      <c r="T249" s="397" t="n"/>
      <c r="U249" s="397" t="n"/>
      <c r="V249" s="397" t="n"/>
      <c r="W249" s="397" t="n"/>
      <c r="X249" s="397" t="n"/>
      <c r="Y249" s="397" t="n"/>
      <c r="Z249" s="397" t="n"/>
      <c r="AA249" s="400" t="n"/>
      <c r="AB249" s="400" t="n"/>
      <c r="AC249" s="400" t="n"/>
    </row>
    <row r="250" ht="27" customHeight="1">
      <c r="A250" s="63" t="inlineStr">
        <is>
          <t>SU001835</t>
        </is>
      </c>
      <c r="B250" s="63" t="inlineStr">
        <is>
          <t>P002202</t>
        </is>
      </c>
      <c r="C250" s="36" t="n">
        <v>4301051489</v>
      </c>
      <c r="D250" s="401" t="n">
        <v>4607091387919</v>
      </c>
      <c r="E250" s="646" t="n"/>
      <c r="F250" s="685" t="n">
        <v>1.35</v>
      </c>
      <c r="G250" s="37" t="n">
        <v>6</v>
      </c>
      <c r="H250" s="685" t="n">
        <v>8.1</v>
      </c>
      <c r="I250" s="685" t="n">
        <v>8.619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СК4</t>
        </is>
      </c>
      <c r="N250" s="38" t="n"/>
      <c r="O250" s="37" t="n">
        <v>45</v>
      </c>
      <c r="P250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Q250" s="687" t="n"/>
      <c r="R250" s="687" t="n"/>
      <c r="S250" s="687" t="n"/>
      <c r="T250" s="688" t="n"/>
      <c r="U250" s="39" t="inlineStr"/>
      <c r="V250" s="39" t="inlineStr"/>
      <c r="W250" s="40" t="inlineStr">
        <is>
          <t>кг</t>
        </is>
      </c>
      <c r="X250" s="689" t="n">
        <v>0</v>
      </c>
      <c r="Y250" s="690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04" t="inlineStr">
        <is>
          <t>ЕАЭС N RU Д-RU.PA01.B.48690/21, ЕАЭС N RU Д-RU.РА04.В.57451/23</t>
        </is>
      </c>
      <c r="AG250" s="78" t="n"/>
      <c r="AJ250" s="84" t="inlineStr"/>
      <c r="AK250" s="84" t="n">
        <v>0</v>
      </c>
      <c r="BB250" s="305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SU003167</t>
        </is>
      </c>
      <c r="B251" s="63" t="inlineStr">
        <is>
          <t>P003363</t>
        </is>
      </c>
      <c r="C251" s="36" t="n">
        <v>4301051461</v>
      </c>
      <c r="D251" s="401" t="n">
        <v>4680115883604</v>
      </c>
      <c r="E251" s="646" t="n"/>
      <c r="F251" s="685" t="n">
        <v>0.35</v>
      </c>
      <c r="G251" s="37" t="n">
        <v>6</v>
      </c>
      <c r="H251" s="685" t="n">
        <v>2.1</v>
      </c>
      <c r="I251" s="685" t="n">
        <v>2.352</v>
      </c>
      <c r="J251" s="37" t="n">
        <v>182</v>
      </c>
      <c r="K251" s="37" t="inlineStr">
        <is>
          <t>14</t>
        </is>
      </c>
      <c r="L251" s="37" t="inlineStr"/>
      <c r="M251" s="38" t="inlineStr">
        <is>
          <t>СК3</t>
        </is>
      </c>
      <c r="N251" s="38" t="n"/>
      <c r="O251" s="37" t="n">
        <v>45</v>
      </c>
      <c r="P251" s="804">
        <f>HYPERLINK("https://abi.ru/products/Охлажденные/Стародворье/Бавария/Сосиски/P003363/","Сосиски «Баварские» Фикс.вес 0,35 П/а ТМ «Стародворье»")</f>
        <v/>
      </c>
      <c r="Q251" s="687" t="n"/>
      <c r="R251" s="687" t="n"/>
      <c r="S251" s="687" t="n"/>
      <c r="T251" s="688" t="n"/>
      <c r="U251" s="39" t="inlineStr"/>
      <c r="V251" s="39" t="inlineStr"/>
      <c r="W251" s="40" t="inlineStr">
        <is>
          <t>кг</t>
        </is>
      </c>
      <c r="X251" s="689" t="n">
        <v>0</v>
      </c>
      <c r="Y251" s="690">
        <f>IFERROR(IF(X251="",0,CEILING((X251/$H251),1)*$H251),"")</f>
        <v/>
      </c>
      <c r="Z251" s="41">
        <f>IFERROR(IF(Y251=0,"",ROUNDUP(Y251/H251,0)*0.00651),"")</f>
        <v/>
      </c>
      <c r="AA251" s="68" t="inlineStr"/>
      <c r="AB251" s="69" t="inlineStr"/>
      <c r="AC251" s="306" t="inlineStr">
        <is>
          <t>ЕАЭС N RU Д-RU.РА05.В.42328/23, ЕАЭС N RU Д-RU.РА05.В.42627/23</t>
        </is>
      </c>
      <c r="AG251" s="78" t="n"/>
      <c r="AJ251" s="84" t="inlineStr"/>
      <c r="AK251" s="84" t="n">
        <v>0</v>
      </c>
      <c r="BB251" s="307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>
      <c r="A252" s="410" t="n"/>
      <c r="B252" s="397" t="n"/>
      <c r="C252" s="397" t="n"/>
      <c r="D252" s="397" t="n"/>
      <c r="E252" s="397" t="n"/>
      <c r="F252" s="397" t="n"/>
      <c r="G252" s="397" t="n"/>
      <c r="H252" s="397" t="n"/>
      <c r="I252" s="397" t="n"/>
      <c r="J252" s="397" t="n"/>
      <c r="K252" s="397" t="n"/>
      <c r="L252" s="397" t="n"/>
      <c r="M252" s="397" t="n"/>
      <c r="N252" s="397" t="n"/>
      <c r="O252" s="692" t="n"/>
      <c r="P252" s="693" t="inlineStr">
        <is>
          <t>Итого</t>
        </is>
      </c>
      <c r="Q252" s="654" t="n"/>
      <c r="R252" s="654" t="n"/>
      <c r="S252" s="654" t="n"/>
      <c r="T252" s="654" t="n"/>
      <c r="U252" s="654" t="n"/>
      <c r="V252" s="655" t="n"/>
      <c r="W252" s="42" t="inlineStr">
        <is>
          <t>кор</t>
        </is>
      </c>
      <c r="X252" s="694">
        <f>IFERROR(X250/H250,"0")+IFERROR(X251/H251,"0")</f>
        <v/>
      </c>
      <c r="Y252" s="694">
        <f>IFERROR(Y250/H250,"0")+IFERROR(Y251/H251,"0")</f>
        <v/>
      </c>
      <c r="Z252" s="694">
        <f>IFERROR(IF(Z250="",0,Z250),"0")+IFERROR(IF(Z251="",0,Z251),"0")</f>
        <v/>
      </c>
      <c r="AA252" s="695" t="n"/>
      <c r="AB252" s="695" t="n"/>
      <c r="AC252" s="695" t="n"/>
    </row>
    <row r="253">
      <c r="A253" s="397" t="n"/>
      <c r="B253" s="397" t="n"/>
      <c r="C253" s="397" t="n"/>
      <c r="D253" s="397" t="n"/>
      <c r="E253" s="397" t="n"/>
      <c r="F253" s="397" t="n"/>
      <c r="G253" s="397" t="n"/>
      <c r="H253" s="397" t="n"/>
      <c r="I253" s="397" t="n"/>
      <c r="J253" s="397" t="n"/>
      <c r="K253" s="397" t="n"/>
      <c r="L253" s="397" t="n"/>
      <c r="M253" s="397" t="n"/>
      <c r="N253" s="397" t="n"/>
      <c r="O253" s="692" t="n"/>
      <c r="P253" s="693" t="inlineStr">
        <is>
          <t>Итого</t>
        </is>
      </c>
      <c r="Q253" s="654" t="n"/>
      <c r="R253" s="654" t="n"/>
      <c r="S253" s="654" t="n"/>
      <c r="T253" s="654" t="n"/>
      <c r="U253" s="654" t="n"/>
      <c r="V253" s="655" t="n"/>
      <c r="W253" s="42" t="inlineStr">
        <is>
          <t>кг</t>
        </is>
      </c>
      <c r="X253" s="694">
        <f>IFERROR(SUM(X250:X251),"0")</f>
        <v/>
      </c>
      <c r="Y253" s="694">
        <f>IFERROR(SUM(Y250:Y251),"0")</f>
        <v/>
      </c>
      <c r="Z253" s="42" t="n"/>
      <c r="AA253" s="695" t="n"/>
      <c r="AB253" s="695" t="n"/>
      <c r="AC253" s="695" t="n"/>
    </row>
    <row r="254" ht="27.75" customHeight="1">
      <c r="A254" s="429" t="inlineStr">
        <is>
          <t>Особый рецепт</t>
        </is>
      </c>
      <c r="B254" s="684" t="n"/>
      <c r="C254" s="684" t="n"/>
      <c r="D254" s="684" t="n"/>
      <c r="E254" s="684" t="n"/>
      <c r="F254" s="684" t="n"/>
      <c r="G254" s="684" t="n"/>
      <c r="H254" s="684" t="n"/>
      <c r="I254" s="684" t="n"/>
      <c r="J254" s="684" t="n"/>
      <c r="K254" s="684" t="n"/>
      <c r="L254" s="684" t="n"/>
      <c r="M254" s="684" t="n"/>
      <c r="N254" s="684" t="n"/>
      <c r="O254" s="684" t="n"/>
      <c r="P254" s="684" t="n"/>
      <c r="Q254" s="684" t="n"/>
      <c r="R254" s="684" t="n"/>
      <c r="S254" s="684" t="n"/>
      <c r="T254" s="684" t="n"/>
      <c r="U254" s="684" t="n"/>
      <c r="V254" s="684" t="n"/>
      <c r="W254" s="684" t="n"/>
      <c r="X254" s="684" t="n"/>
      <c r="Y254" s="684" t="n"/>
      <c r="Z254" s="684" t="n"/>
      <c r="AA254" s="54" t="n"/>
      <c r="AB254" s="54" t="n"/>
      <c r="AC254" s="54" t="n"/>
    </row>
    <row r="255" ht="16.5" customHeight="1">
      <c r="A255" s="430" t="inlineStr">
        <is>
          <t>Особая</t>
        </is>
      </c>
      <c r="B255" s="397" t="n"/>
      <c r="C255" s="397" t="n"/>
      <c r="D255" s="397" t="n"/>
      <c r="E255" s="397" t="n"/>
      <c r="F255" s="397" t="n"/>
      <c r="G255" s="397" t="n"/>
      <c r="H255" s="397" t="n"/>
      <c r="I255" s="397" t="n"/>
      <c r="J255" s="397" t="n"/>
      <c r="K255" s="397" t="n"/>
      <c r="L255" s="397" t="n"/>
      <c r="M255" s="397" t="n"/>
      <c r="N255" s="397" t="n"/>
      <c r="O255" s="397" t="n"/>
      <c r="P255" s="397" t="n"/>
      <c r="Q255" s="397" t="n"/>
      <c r="R255" s="397" t="n"/>
      <c r="S255" s="397" t="n"/>
      <c r="T255" s="397" t="n"/>
      <c r="U255" s="397" t="n"/>
      <c r="V255" s="397" t="n"/>
      <c r="W255" s="397" t="n"/>
      <c r="X255" s="397" t="n"/>
      <c r="Y255" s="397" t="n"/>
      <c r="Z255" s="397" t="n"/>
      <c r="AA255" s="430" t="n"/>
      <c r="AB255" s="430" t="n"/>
      <c r="AC255" s="430" t="n"/>
    </row>
    <row r="256" ht="14.25" customHeight="1">
      <c r="A256" s="400" t="inlineStr">
        <is>
          <t>Вареные колбасы</t>
        </is>
      </c>
      <c r="B256" s="397" t="n"/>
      <c r="C256" s="397" t="n"/>
      <c r="D256" s="397" t="n"/>
      <c r="E256" s="397" t="n"/>
      <c r="F256" s="397" t="n"/>
      <c r="G256" s="397" t="n"/>
      <c r="H256" s="397" t="n"/>
      <c r="I256" s="397" t="n"/>
      <c r="J256" s="397" t="n"/>
      <c r="K256" s="397" t="n"/>
      <c r="L256" s="397" t="n"/>
      <c r="M256" s="397" t="n"/>
      <c r="N256" s="397" t="n"/>
      <c r="O256" s="397" t="n"/>
      <c r="P256" s="397" t="n"/>
      <c r="Q256" s="397" t="n"/>
      <c r="R256" s="397" t="n"/>
      <c r="S256" s="397" t="n"/>
      <c r="T256" s="397" t="n"/>
      <c r="U256" s="397" t="n"/>
      <c r="V256" s="397" t="n"/>
      <c r="W256" s="397" t="n"/>
      <c r="X256" s="397" t="n"/>
      <c r="Y256" s="397" t="n"/>
      <c r="Z256" s="397" t="n"/>
      <c r="AA256" s="400" t="n"/>
      <c r="AB256" s="400" t="n"/>
      <c r="AC256" s="400" t="n"/>
    </row>
    <row r="257" ht="37.5" customHeight="1">
      <c r="A257" s="63" t="inlineStr">
        <is>
          <t>SU003422</t>
        </is>
      </c>
      <c r="B257" s="63" t="inlineStr">
        <is>
          <t>P004256</t>
        </is>
      </c>
      <c r="C257" s="36" t="n">
        <v>4301011869</v>
      </c>
      <c r="D257" s="401" t="n">
        <v>4680115884847</v>
      </c>
      <c r="E257" s="646" t="n"/>
      <c r="F257" s="685" t="n">
        <v>2.5</v>
      </c>
      <c r="G257" s="37" t="n">
        <v>6</v>
      </c>
      <c r="H257" s="685" t="n">
        <v>15</v>
      </c>
      <c r="I257" s="685" t="n">
        <v>15.48</v>
      </c>
      <c r="J257" s="37" t="n">
        <v>48</v>
      </c>
      <c r="K257" s="37" t="inlineStr">
        <is>
          <t>8</t>
        </is>
      </c>
      <c r="L257" s="37" t="inlineStr"/>
      <c r="M257" s="38" t="inlineStr">
        <is>
          <t>СК2</t>
        </is>
      </c>
      <c r="N257" s="38" t="n"/>
      <c r="O257" s="37" t="n">
        <v>60</v>
      </c>
      <c r="P257" s="80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257" s="687" t="n"/>
      <c r="R257" s="687" t="n"/>
      <c r="S257" s="687" t="n"/>
      <c r="T257" s="688" t="n"/>
      <c r="U257" s="39" t="inlineStr"/>
      <c r="V257" s="39" t="inlineStr"/>
      <c r="W257" s="40" t="inlineStr">
        <is>
          <t>кг</t>
        </is>
      </c>
      <c r="X257" s="689" t="n">
        <v>0</v>
      </c>
      <c r="Y257" s="690">
        <f>IFERROR(IF(X257="",0,CEILING((X257/$H257),1)*$H257),"")</f>
        <v/>
      </c>
      <c r="Z257" s="41">
        <f>IFERROR(IF(Y257=0,"",ROUNDUP(Y257/H257,0)*0.02175),"")</f>
        <v/>
      </c>
      <c r="AA257" s="68" t="inlineStr"/>
      <c r="AB257" s="69" t="inlineStr"/>
      <c r="AC257" s="308" t="inlineStr">
        <is>
          <t>ЕАЭС N RU Д-RU.РА02.В.61644/24, ЕАЭС N RU Д-RU.РА09.В.97015/24, ЕАЭС N RU Д-RU.РА10.В.04696/24</t>
        </is>
      </c>
      <c r="AG257" s="78" t="n"/>
      <c r="AJ257" s="84" t="inlineStr"/>
      <c r="AK257" s="84" t="n">
        <v>0</v>
      </c>
      <c r="BB257" s="309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27" customHeight="1">
      <c r="A258" s="63" t="inlineStr">
        <is>
          <t>SU003423</t>
        </is>
      </c>
      <c r="B258" s="63" t="inlineStr">
        <is>
          <t>P004257</t>
        </is>
      </c>
      <c r="C258" s="36" t="n">
        <v>4301011870</v>
      </c>
      <c r="D258" s="401" t="n">
        <v>4680115884854</v>
      </c>
      <c r="E258" s="646" t="n"/>
      <c r="F258" s="685" t="n">
        <v>2.5</v>
      </c>
      <c r="G258" s="37" t="n">
        <v>6</v>
      </c>
      <c r="H258" s="685" t="n">
        <v>15</v>
      </c>
      <c r="I258" s="685" t="n">
        <v>15.48</v>
      </c>
      <c r="J258" s="37" t="n">
        <v>48</v>
      </c>
      <c r="K258" s="37" t="inlineStr">
        <is>
          <t>8</t>
        </is>
      </c>
      <c r="L258" s="37" t="inlineStr"/>
      <c r="M258" s="38" t="inlineStr">
        <is>
          <t>СК2</t>
        </is>
      </c>
      <c r="N258" s="38" t="n"/>
      <c r="O258" s="37" t="n">
        <v>60</v>
      </c>
      <c r="P258" s="806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258" s="687" t="n"/>
      <c r="R258" s="687" t="n"/>
      <c r="S258" s="687" t="n"/>
      <c r="T258" s="688" t="n"/>
      <c r="U258" s="39" t="inlineStr"/>
      <c r="V258" s="39" t="inlineStr"/>
      <c r="W258" s="40" t="inlineStr">
        <is>
          <t>кг</t>
        </is>
      </c>
      <c r="X258" s="689" t="n">
        <v>0</v>
      </c>
      <c r="Y258" s="690">
        <f>IFERROR(IF(X258="",0,CEILING((X258/$H258),1)*$H258),"")</f>
        <v/>
      </c>
      <c r="Z258" s="41">
        <f>IFERROR(IF(Y258=0,"",ROUNDUP(Y258/H258,0)*0.02175),"")</f>
        <v/>
      </c>
      <c r="AA258" s="68" t="inlineStr"/>
      <c r="AB258" s="69" t="inlineStr"/>
      <c r="AC258" s="310" t="inlineStr">
        <is>
          <t>ЕАЭС N RU Д-RU.РА02.В.61635/24, ЕАЭС N RU Д-RU.РА09.В.95694/24</t>
        </is>
      </c>
      <c r="AG258" s="78" t="n"/>
      <c r="AJ258" s="84" t="inlineStr"/>
      <c r="AK258" s="84" t="n">
        <v>0</v>
      </c>
      <c r="BB258" s="311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37.5" customHeight="1">
      <c r="A259" s="63" t="inlineStr">
        <is>
          <t>SU003420</t>
        </is>
      </c>
      <c r="B259" s="63" t="inlineStr">
        <is>
          <t>P004252</t>
        </is>
      </c>
      <c r="C259" s="36" t="n">
        <v>4301011867</v>
      </c>
      <c r="D259" s="401" t="n">
        <v>4680115884830</v>
      </c>
      <c r="E259" s="646" t="n"/>
      <c r="F259" s="685" t="n">
        <v>2.5</v>
      </c>
      <c r="G259" s="37" t="n">
        <v>6</v>
      </c>
      <c r="H259" s="685" t="n">
        <v>15</v>
      </c>
      <c r="I259" s="685" t="n">
        <v>15.48</v>
      </c>
      <c r="J259" s="37" t="n">
        <v>48</v>
      </c>
      <c r="K259" s="37" t="inlineStr">
        <is>
          <t>8</t>
        </is>
      </c>
      <c r="L259" s="37" t="inlineStr"/>
      <c r="M259" s="38" t="inlineStr">
        <is>
          <t>СК2</t>
        </is>
      </c>
      <c r="N259" s="38" t="n"/>
      <c r="O259" s="37" t="n">
        <v>60</v>
      </c>
      <c r="P259" s="807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259" s="687" t="n"/>
      <c r="R259" s="687" t="n"/>
      <c r="S259" s="687" t="n"/>
      <c r="T259" s="688" t="n"/>
      <c r="U259" s="39" t="inlineStr"/>
      <c r="V259" s="39" t="inlineStr"/>
      <c r="W259" s="40" t="inlineStr">
        <is>
          <t>кг</t>
        </is>
      </c>
      <c r="X259" s="689" t="n">
        <v>300</v>
      </c>
      <c r="Y259" s="690">
        <f>IFERROR(IF(X259="",0,CEILING((X259/$H259),1)*$H259),"")</f>
        <v/>
      </c>
      <c r="Z259" s="41">
        <f>IFERROR(IF(Y259=0,"",ROUNDUP(Y259/H259,0)*0.02175),"")</f>
        <v/>
      </c>
      <c r="AA259" s="68" t="inlineStr"/>
      <c r="AB259" s="69" t="inlineStr"/>
      <c r="AC259" s="312" t="inlineStr">
        <is>
          <t>ЕАЭС N RU Д-RU.РА02.В.61660/24, ЕАЭС N RU Д-RU.РА10.В.85286/23, ЕАЭС N RU Д-RU.РА10.В.85449/23</t>
        </is>
      </c>
      <c r="AG259" s="78" t="n"/>
      <c r="AJ259" s="84" t="inlineStr"/>
      <c r="AK259" s="84" t="n">
        <v>0</v>
      </c>
      <c r="BB259" s="313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SU002787</t>
        </is>
      </c>
      <c r="B260" s="63" t="inlineStr">
        <is>
          <t>P003189</t>
        </is>
      </c>
      <c r="C260" s="36" t="n">
        <v>4301011433</v>
      </c>
      <c r="D260" s="401" t="n">
        <v>4680115882638</v>
      </c>
      <c r="E260" s="646" t="n"/>
      <c r="F260" s="685" t="n">
        <v>0.4</v>
      </c>
      <c r="G260" s="37" t="n">
        <v>10</v>
      </c>
      <c r="H260" s="685" t="n">
        <v>4</v>
      </c>
      <c r="I260" s="685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90</v>
      </c>
      <c r="P260" s="80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260" s="687" t="n"/>
      <c r="R260" s="687" t="n"/>
      <c r="S260" s="687" t="n"/>
      <c r="T260" s="688" t="n"/>
      <c r="U260" s="39" t="inlineStr"/>
      <c r="V260" s="39" t="inlineStr"/>
      <c r="W260" s="40" t="inlineStr">
        <is>
          <t>кг</t>
        </is>
      </c>
      <c r="X260" s="689" t="n">
        <v>0</v>
      </c>
      <c r="Y260" s="690">
        <f>IFERROR(IF(X260="",0,CEILING((X260/$H260),1)*$H260),"")</f>
        <v/>
      </c>
      <c r="Z260" s="41">
        <f>IFERROR(IF(Y260=0,"",ROUNDUP(Y260/H260,0)*0.00902),"")</f>
        <v/>
      </c>
      <c r="AA260" s="68" t="inlineStr"/>
      <c r="AB260" s="69" t="inlineStr"/>
      <c r="AC260" s="314" t="inlineStr">
        <is>
          <t>ЕАЭС N RU Д-RU.РА05.В.17033/23</t>
        </is>
      </c>
      <c r="AG260" s="78" t="n"/>
      <c r="AJ260" s="84" t="inlineStr"/>
      <c r="AK260" s="84" t="n">
        <v>0</v>
      </c>
      <c r="BB260" s="315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SU003432</t>
        </is>
      </c>
      <c r="B261" s="63" t="inlineStr">
        <is>
          <t>P004347</t>
        </is>
      </c>
      <c r="C261" s="36" t="n">
        <v>4301011952</v>
      </c>
      <c r="D261" s="401" t="n">
        <v>4680115884922</v>
      </c>
      <c r="E261" s="646" t="n"/>
      <c r="F261" s="685" t="n">
        <v>0.5</v>
      </c>
      <c r="G261" s="37" t="n">
        <v>10</v>
      </c>
      <c r="H261" s="685" t="n">
        <v>5</v>
      </c>
      <c r="I261" s="685" t="n">
        <v>5.21</v>
      </c>
      <c r="J261" s="37" t="n">
        <v>132</v>
      </c>
      <c r="K261" s="37" t="inlineStr">
        <is>
          <t>12</t>
        </is>
      </c>
      <c r="L261" s="37" t="inlineStr"/>
      <c r="M261" s="38" t="inlineStr">
        <is>
          <t>СК2</t>
        </is>
      </c>
      <c r="N261" s="38" t="n"/>
      <c r="O261" s="37" t="n">
        <v>60</v>
      </c>
      <c r="P261" s="80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261" s="687" t="n"/>
      <c r="R261" s="687" t="n"/>
      <c r="S261" s="687" t="n"/>
      <c r="T261" s="688" t="n"/>
      <c r="U261" s="39" t="inlineStr"/>
      <c r="V261" s="39" t="inlineStr"/>
      <c r="W261" s="40" t="inlineStr">
        <is>
          <t>кг</t>
        </is>
      </c>
      <c r="X261" s="689" t="n">
        <v>200</v>
      </c>
      <c r="Y261" s="690">
        <f>IFERROR(IF(X261="",0,CEILING((X261/$H261),1)*$H261),"")</f>
        <v/>
      </c>
      <c r="Z261" s="41">
        <f>IFERROR(IF(Y261=0,"",ROUNDUP(Y261/H261,0)*0.00902),"")</f>
        <v/>
      </c>
      <c r="AA261" s="68" t="inlineStr"/>
      <c r="AB261" s="69" t="inlineStr"/>
      <c r="AC261" s="316" t="inlineStr">
        <is>
          <t>ЕАЭС N RU Д-RU.РА02.В.61635/24, ЕАЭС N RU Д-RU.РА09.В.95694/24</t>
        </is>
      </c>
      <c r="AG261" s="78" t="n"/>
      <c r="AJ261" s="84" t="inlineStr"/>
      <c r="AK261" s="84" t="n">
        <v>0</v>
      </c>
      <c r="BB261" s="317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 ht="37.5" customHeight="1">
      <c r="A262" s="63" t="inlineStr">
        <is>
          <t>SU003421</t>
        </is>
      </c>
      <c r="B262" s="63" t="inlineStr">
        <is>
          <t>P004253</t>
        </is>
      </c>
      <c r="C262" s="36" t="n">
        <v>4301011868</v>
      </c>
      <c r="D262" s="401" t="n">
        <v>4680115884861</v>
      </c>
      <c r="E262" s="646" t="n"/>
      <c r="F262" s="685" t="n">
        <v>0.5</v>
      </c>
      <c r="G262" s="37" t="n">
        <v>10</v>
      </c>
      <c r="H262" s="685" t="n">
        <v>5</v>
      </c>
      <c r="I262" s="685" t="n">
        <v>5.21</v>
      </c>
      <c r="J262" s="37" t="n">
        <v>132</v>
      </c>
      <c r="K262" s="37" t="inlineStr">
        <is>
          <t>12</t>
        </is>
      </c>
      <c r="L262" s="37" t="inlineStr"/>
      <c r="M262" s="38" t="inlineStr">
        <is>
          <t>СК2</t>
        </is>
      </c>
      <c r="N262" s="38" t="n"/>
      <c r="O262" s="37" t="n">
        <v>60</v>
      </c>
      <c r="P262" s="810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262" s="687" t="n"/>
      <c r="R262" s="687" t="n"/>
      <c r="S262" s="687" t="n"/>
      <c r="T262" s="688" t="n"/>
      <c r="U262" s="39" t="inlineStr"/>
      <c r="V262" s="39" t="inlineStr"/>
      <c r="W262" s="40" t="inlineStr">
        <is>
          <t>кг</t>
        </is>
      </c>
      <c r="X262" s="689" t="n">
        <v>0</v>
      </c>
      <c r="Y262" s="690">
        <f>IFERROR(IF(X262="",0,CEILING((X262/$H262),1)*$H262),"")</f>
        <v/>
      </c>
      <c r="Z262" s="41">
        <f>IFERROR(IF(Y262=0,"",ROUNDUP(Y262/H262,0)*0.00902),"")</f>
        <v/>
      </c>
      <c r="AA262" s="68" t="inlineStr"/>
      <c r="AB262" s="69" t="inlineStr"/>
      <c r="AC262" s="318" t="inlineStr">
        <is>
          <t>ЕАЭС N RU Д-RU.РА02.В.61660/24, ЕАЭС N RU Д-RU.РА10.В.85286/23, ЕАЭС N RU Д-RU.РА10.В.85449/23</t>
        </is>
      </c>
      <c r="AG262" s="78" t="n"/>
      <c r="AJ262" s="84" t="inlineStr"/>
      <c r="AK262" s="84" t="n">
        <v>0</v>
      </c>
      <c r="BB262" s="319" t="inlineStr">
        <is>
          <t>КИ</t>
        </is>
      </c>
      <c r="BM262" s="78">
        <f>IFERROR(X262*I262/H262,"0")</f>
        <v/>
      </c>
      <c r="BN262" s="78">
        <f>IFERROR(Y262*I262/H262,"0")</f>
        <v/>
      </c>
      <c r="BO262" s="78">
        <f>IFERROR(1/J262*(X262/H262),"0")</f>
        <v/>
      </c>
      <c r="BP262" s="78">
        <f>IFERROR(1/J262*(Y262/H262),"0")</f>
        <v/>
      </c>
    </row>
    <row r="263">
      <c r="A263" s="410" t="n"/>
      <c r="B263" s="397" t="n"/>
      <c r="C263" s="397" t="n"/>
      <c r="D263" s="397" t="n"/>
      <c r="E263" s="397" t="n"/>
      <c r="F263" s="397" t="n"/>
      <c r="G263" s="397" t="n"/>
      <c r="H263" s="397" t="n"/>
      <c r="I263" s="397" t="n"/>
      <c r="J263" s="397" t="n"/>
      <c r="K263" s="397" t="n"/>
      <c r="L263" s="397" t="n"/>
      <c r="M263" s="397" t="n"/>
      <c r="N263" s="397" t="n"/>
      <c r="O263" s="692" t="n"/>
      <c r="P263" s="693" t="inlineStr">
        <is>
          <t>Итого</t>
        </is>
      </c>
      <c r="Q263" s="654" t="n"/>
      <c r="R263" s="654" t="n"/>
      <c r="S263" s="654" t="n"/>
      <c r="T263" s="654" t="n"/>
      <c r="U263" s="654" t="n"/>
      <c r="V263" s="655" t="n"/>
      <c r="W263" s="42" t="inlineStr">
        <is>
          <t>кор</t>
        </is>
      </c>
      <c r="X263" s="694">
        <f>IFERROR(X257/H257,"0")+IFERROR(X258/H258,"0")+IFERROR(X259/H259,"0")+IFERROR(X260/H260,"0")+IFERROR(X261/H261,"0")+IFERROR(X262/H262,"0")</f>
        <v/>
      </c>
      <c r="Y263" s="694">
        <f>IFERROR(Y257/H257,"0")+IFERROR(Y258/H258,"0")+IFERROR(Y259/H259,"0")+IFERROR(Y260/H260,"0")+IFERROR(Y261/H261,"0")+IFERROR(Y262/H262,"0")</f>
        <v/>
      </c>
      <c r="Z263" s="694">
        <f>IFERROR(IF(Z257="",0,Z257),"0")+IFERROR(IF(Z258="",0,Z258),"0")+IFERROR(IF(Z259="",0,Z259),"0")+IFERROR(IF(Z260="",0,Z260),"0")+IFERROR(IF(Z261="",0,Z261),"0")+IFERROR(IF(Z262="",0,Z262),"0")</f>
        <v/>
      </c>
      <c r="AA263" s="695" t="n"/>
      <c r="AB263" s="695" t="n"/>
      <c r="AC263" s="695" t="n"/>
    </row>
    <row r="264">
      <c r="A264" s="397" t="n"/>
      <c r="B264" s="397" t="n"/>
      <c r="C264" s="397" t="n"/>
      <c r="D264" s="397" t="n"/>
      <c r="E264" s="397" t="n"/>
      <c r="F264" s="397" t="n"/>
      <c r="G264" s="397" t="n"/>
      <c r="H264" s="397" t="n"/>
      <c r="I264" s="397" t="n"/>
      <c r="J264" s="397" t="n"/>
      <c r="K264" s="397" t="n"/>
      <c r="L264" s="397" t="n"/>
      <c r="M264" s="397" t="n"/>
      <c r="N264" s="397" t="n"/>
      <c r="O264" s="692" t="n"/>
      <c r="P264" s="693" t="inlineStr">
        <is>
          <t>Итого</t>
        </is>
      </c>
      <c r="Q264" s="654" t="n"/>
      <c r="R264" s="654" t="n"/>
      <c r="S264" s="654" t="n"/>
      <c r="T264" s="654" t="n"/>
      <c r="U264" s="654" t="n"/>
      <c r="V264" s="655" t="n"/>
      <c r="W264" s="42" t="inlineStr">
        <is>
          <t>кг</t>
        </is>
      </c>
      <c r="X264" s="694">
        <f>IFERROR(SUM(X257:X262),"0")</f>
        <v/>
      </c>
      <c r="Y264" s="694">
        <f>IFERROR(SUM(Y257:Y262),"0")</f>
        <v/>
      </c>
      <c r="Z264" s="42" t="n"/>
      <c r="AA264" s="695" t="n"/>
      <c r="AB264" s="695" t="n"/>
      <c r="AC264" s="695" t="n"/>
    </row>
    <row r="265" ht="14.25" customHeight="1">
      <c r="A265" s="400" t="inlineStr">
        <is>
          <t>Ветчины</t>
        </is>
      </c>
      <c r="B265" s="397" t="n"/>
      <c r="C265" s="397" t="n"/>
      <c r="D265" s="397" t="n"/>
      <c r="E265" s="397" t="n"/>
      <c r="F265" s="397" t="n"/>
      <c r="G265" s="397" t="n"/>
      <c r="H265" s="397" t="n"/>
      <c r="I265" s="397" t="n"/>
      <c r="J265" s="397" t="n"/>
      <c r="K265" s="397" t="n"/>
      <c r="L265" s="397" t="n"/>
      <c r="M265" s="397" t="n"/>
      <c r="N265" s="397" t="n"/>
      <c r="O265" s="397" t="n"/>
      <c r="P265" s="397" t="n"/>
      <c r="Q265" s="397" t="n"/>
      <c r="R265" s="397" t="n"/>
      <c r="S265" s="397" t="n"/>
      <c r="T265" s="397" t="n"/>
      <c r="U265" s="397" t="n"/>
      <c r="V265" s="397" t="n"/>
      <c r="W265" s="397" t="n"/>
      <c r="X265" s="397" t="n"/>
      <c r="Y265" s="397" t="n"/>
      <c r="Z265" s="397" t="n"/>
      <c r="AA265" s="400" t="n"/>
      <c r="AB265" s="400" t="n"/>
      <c r="AC265" s="400" t="n"/>
    </row>
    <row r="266" ht="27" customHeight="1">
      <c r="A266" s="63" t="inlineStr">
        <is>
          <t>SU000126</t>
        </is>
      </c>
      <c r="B266" s="63" t="inlineStr">
        <is>
          <t>P002555</t>
        </is>
      </c>
      <c r="C266" s="36" t="n">
        <v>4301020178</v>
      </c>
      <c r="D266" s="401" t="n">
        <v>4607091383980</v>
      </c>
      <c r="E266" s="646" t="n"/>
      <c r="F266" s="685" t="n">
        <v>2.5</v>
      </c>
      <c r="G266" s="37" t="n">
        <v>6</v>
      </c>
      <c r="H266" s="685" t="n">
        <v>15</v>
      </c>
      <c r="I266" s="685" t="n">
        <v>15.48</v>
      </c>
      <c r="J266" s="37" t="n">
        <v>48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50</v>
      </c>
      <c r="P266" s="8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266" s="687" t="n"/>
      <c r="R266" s="687" t="n"/>
      <c r="S266" s="687" t="n"/>
      <c r="T266" s="688" t="n"/>
      <c r="U266" s="39" t="inlineStr"/>
      <c r="V266" s="39" t="inlineStr"/>
      <c r="W266" s="40" t="inlineStr">
        <is>
          <t>кг</t>
        </is>
      </c>
      <c r="X266" s="689" t="n">
        <v>200</v>
      </c>
      <c r="Y266" s="690">
        <f>IFERROR(IF(X266="",0,CEILING((X266/$H266),1)*$H266),"")</f>
        <v/>
      </c>
      <c r="Z266" s="41">
        <f>IFERROR(IF(Y266=0,"",ROUNDUP(Y266/H266,0)*0.02175),"")</f>
        <v/>
      </c>
      <c r="AA266" s="68" t="inlineStr"/>
      <c r="AB266" s="69" t="inlineStr"/>
      <c r="AC266" s="320" t="inlineStr">
        <is>
          <t>ЕАЭС № RU Д- RU.АБ75.В.01032/20</t>
        </is>
      </c>
      <c r="AG266" s="78" t="n"/>
      <c r="AJ266" s="84" t="inlineStr"/>
      <c r="AK266" s="84" t="n">
        <v>0</v>
      </c>
      <c r="BB266" s="321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16.5" customHeight="1">
      <c r="A267" s="63" t="inlineStr">
        <is>
          <t>SU002027</t>
        </is>
      </c>
      <c r="B267" s="63" t="inlineStr">
        <is>
          <t>P002556</t>
        </is>
      </c>
      <c r="C267" s="36" t="n">
        <v>4301020179</v>
      </c>
      <c r="D267" s="401" t="n">
        <v>4607091384178</v>
      </c>
      <c r="E267" s="646" t="n"/>
      <c r="F267" s="685" t="n">
        <v>0.4</v>
      </c>
      <c r="G267" s="37" t="n">
        <v>10</v>
      </c>
      <c r="H267" s="685" t="n">
        <v>4</v>
      </c>
      <c r="I267" s="685" t="n">
        <v>4.21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50</v>
      </c>
      <c r="P267" s="8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267" s="687" t="n"/>
      <c r="R267" s="687" t="n"/>
      <c r="S267" s="687" t="n"/>
      <c r="T267" s="688" t="n"/>
      <c r="U267" s="39" t="inlineStr"/>
      <c r="V267" s="39" t="inlineStr"/>
      <c r="W267" s="40" t="inlineStr">
        <is>
          <t>кг</t>
        </is>
      </c>
      <c r="X267" s="689" t="n">
        <v>0</v>
      </c>
      <c r="Y267" s="690">
        <f>IFERROR(IF(X267="",0,CEILING((X267/$H267),1)*$H267),"")</f>
        <v/>
      </c>
      <c r="Z267" s="41">
        <f>IFERROR(IF(Y267=0,"",ROUNDUP(Y267/H267,0)*0.00902),"")</f>
        <v/>
      </c>
      <c r="AA267" s="68" t="inlineStr"/>
      <c r="AB267" s="69" t="inlineStr"/>
      <c r="AC267" s="322" t="inlineStr">
        <is>
          <t>ЕАЭС № RU Д- RU.АБ75.В.01032/20</t>
        </is>
      </c>
      <c r="AG267" s="78" t="n"/>
      <c r="AJ267" s="84" t="inlineStr"/>
      <c r="AK267" s="84" t="n">
        <v>0</v>
      </c>
      <c r="BB267" s="323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>
      <c r="A268" s="410" t="n"/>
      <c r="B268" s="397" t="n"/>
      <c r="C268" s="397" t="n"/>
      <c r="D268" s="397" t="n"/>
      <c r="E268" s="397" t="n"/>
      <c r="F268" s="397" t="n"/>
      <c r="G268" s="397" t="n"/>
      <c r="H268" s="397" t="n"/>
      <c r="I268" s="397" t="n"/>
      <c r="J268" s="397" t="n"/>
      <c r="K268" s="397" t="n"/>
      <c r="L268" s="397" t="n"/>
      <c r="M268" s="397" t="n"/>
      <c r="N268" s="397" t="n"/>
      <c r="O268" s="692" t="n"/>
      <c r="P268" s="693" t="inlineStr">
        <is>
          <t>Итого</t>
        </is>
      </c>
      <c r="Q268" s="654" t="n"/>
      <c r="R268" s="654" t="n"/>
      <c r="S268" s="654" t="n"/>
      <c r="T268" s="654" t="n"/>
      <c r="U268" s="654" t="n"/>
      <c r="V268" s="655" t="n"/>
      <c r="W268" s="42" t="inlineStr">
        <is>
          <t>кор</t>
        </is>
      </c>
      <c r="X268" s="694">
        <f>IFERROR(X266/H266,"0")+IFERROR(X267/H267,"0")</f>
        <v/>
      </c>
      <c r="Y268" s="694">
        <f>IFERROR(Y266/H266,"0")+IFERROR(Y267/H267,"0")</f>
        <v/>
      </c>
      <c r="Z268" s="694">
        <f>IFERROR(IF(Z266="",0,Z266),"0")+IFERROR(IF(Z267="",0,Z267),"0")</f>
        <v/>
      </c>
      <c r="AA268" s="695" t="n"/>
      <c r="AB268" s="695" t="n"/>
      <c r="AC268" s="695" t="n"/>
    </row>
    <row r="269">
      <c r="A269" s="397" t="n"/>
      <c r="B269" s="397" t="n"/>
      <c r="C269" s="397" t="n"/>
      <c r="D269" s="397" t="n"/>
      <c r="E269" s="397" t="n"/>
      <c r="F269" s="397" t="n"/>
      <c r="G269" s="397" t="n"/>
      <c r="H269" s="397" t="n"/>
      <c r="I269" s="397" t="n"/>
      <c r="J269" s="397" t="n"/>
      <c r="K269" s="397" t="n"/>
      <c r="L269" s="397" t="n"/>
      <c r="M269" s="397" t="n"/>
      <c r="N269" s="397" t="n"/>
      <c r="O269" s="692" t="n"/>
      <c r="P269" s="693" t="inlineStr">
        <is>
          <t>Итого</t>
        </is>
      </c>
      <c r="Q269" s="654" t="n"/>
      <c r="R269" s="654" t="n"/>
      <c r="S269" s="654" t="n"/>
      <c r="T269" s="654" t="n"/>
      <c r="U269" s="654" t="n"/>
      <c r="V269" s="655" t="n"/>
      <c r="W269" s="42" t="inlineStr">
        <is>
          <t>кг</t>
        </is>
      </c>
      <c r="X269" s="694">
        <f>IFERROR(SUM(X266:X267),"0")</f>
        <v/>
      </c>
      <c r="Y269" s="694">
        <f>IFERROR(SUM(Y266:Y267),"0")</f>
        <v/>
      </c>
      <c r="Z269" s="42" t="n"/>
      <c r="AA269" s="695" t="n"/>
      <c r="AB269" s="695" t="n"/>
      <c r="AC269" s="695" t="n"/>
    </row>
    <row r="270" ht="14.25" customHeight="1">
      <c r="A270" s="400" t="inlineStr">
        <is>
          <t>Сосиски</t>
        </is>
      </c>
      <c r="B270" s="397" t="n"/>
      <c r="C270" s="397" t="n"/>
      <c r="D270" s="397" t="n"/>
      <c r="E270" s="397" t="n"/>
      <c r="F270" s="397" t="n"/>
      <c r="G270" s="397" t="n"/>
      <c r="H270" s="397" t="n"/>
      <c r="I270" s="397" t="n"/>
      <c r="J270" s="397" t="n"/>
      <c r="K270" s="397" t="n"/>
      <c r="L270" s="397" t="n"/>
      <c r="M270" s="397" t="n"/>
      <c r="N270" s="397" t="n"/>
      <c r="O270" s="397" t="n"/>
      <c r="P270" s="397" t="n"/>
      <c r="Q270" s="397" t="n"/>
      <c r="R270" s="397" t="n"/>
      <c r="S270" s="397" t="n"/>
      <c r="T270" s="397" t="n"/>
      <c r="U270" s="397" t="n"/>
      <c r="V270" s="397" t="n"/>
      <c r="W270" s="397" t="n"/>
      <c r="X270" s="397" t="n"/>
      <c r="Y270" s="397" t="n"/>
      <c r="Z270" s="397" t="n"/>
      <c r="AA270" s="400" t="n"/>
      <c r="AB270" s="400" t="n"/>
      <c r="AC270" s="400" t="n"/>
    </row>
    <row r="271" ht="27" customHeight="1">
      <c r="A271" s="63" t="inlineStr">
        <is>
          <t>SU003161</t>
        </is>
      </c>
      <c r="B271" s="63" t="inlineStr">
        <is>
          <t>P004847</t>
        </is>
      </c>
      <c r="C271" s="36" t="n">
        <v>4301051903</v>
      </c>
      <c r="D271" s="401" t="n">
        <v>4607091383928</v>
      </c>
      <c r="E271" s="646" t="n"/>
      <c r="F271" s="685" t="n">
        <v>1.5</v>
      </c>
      <c r="G271" s="37" t="n">
        <v>6</v>
      </c>
      <c r="H271" s="685" t="n">
        <v>9</v>
      </c>
      <c r="I271" s="685" t="n">
        <v>9.525</v>
      </c>
      <c r="J271" s="37" t="n">
        <v>64</v>
      </c>
      <c r="K271" s="37" t="inlineStr">
        <is>
          <t>8</t>
        </is>
      </c>
      <c r="L271" s="37" t="inlineStr"/>
      <c r="M271" s="38" t="inlineStr">
        <is>
          <t>СК3</t>
        </is>
      </c>
      <c r="N271" s="38" t="n"/>
      <c r="O271" s="37" t="n">
        <v>40</v>
      </c>
      <c r="P271" s="813">
        <f>HYPERLINK("https://abi.ru/products/Охлажденные/Особый рецепт/Особая/Сосиски/P004847/","Сосиски «Датские» Весовой п/а ТМ «Особый рецепт»")</f>
        <v/>
      </c>
      <c r="Q271" s="687" t="n"/>
      <c r="R271" s="687" t="n"/>
      <c r="S271" s="687" t="n"/>
      <c r="T271" s="688" t="n"/>
      <c r="U271" s="39" t="inlineStr"/>
      <c r="V271" s="39" t="inlineStr"/>
      <c r="W271" s="40" t="inlineStr">
        <is>
          <t>кг</t>
        </is>
      </c>
      <c r="X271" s="689" t="n">
        <v>0</v>
      </c>
      <c r="Y271" s="690">
        <f>IFERROR(IF(X271="",0,CEILING((X271/$H271),1)*$H271),"")</f>
        <v/>
      </c>
      <c r="Z271" s="41">
        <f>IFERROR(IF(Y271=0,"",ROUNDUP(Y271/H271,0)*0.01898),"")</f>
        <v/>
      </c>
      <c r="AA271" s="68" t="inlineStr"/>
      <c r="AB271" s="69" t="inlineStr"/>
      <c r="AC271" s="324" t="inlineStr">
        <is>
          <t>ЕАЭС N RU Д-RU.РА01.В.87343/24, ЕАЭС N RU Д-RU.РА01.В.87437/24</t>
        </is>
      </c>
      <c r="AG271" s="78" t="n"/>
      <c r="AJ271" s="84" t="inlineStr"/>
      <c r="AK271" s="84" t="n">
        <v>0</v>
      </c>
      <c r="BB271" s="325" t="inlineStr">
        <is>
          <t>КИ</t>
        </is>
      </c>
      <c r="BM271" s="78">
        <f>IFERROR(X271*I271/H271,"0")</f>
        <v/>
      </c>
      <c r="BN271" s="78">
        <f>IFERROR(Y271*I271/H271,"0")</f>
        <v/>
      </c>
      <c r="BO271" s="78">
        <f>IFERROR(1/J271*(X271/H271),"0")</f>
        <v/>
      </c>
      <c r="BP271" s="78">
        <f>IFERROR(1/J271*(Y271/H271),"0")</f>
        <v/>
      </c>
    </row>
    <row r="272" ht="27" customHeight="1">
      <c r="A272" s="63" t="inlineStr">
        <is>
          <t>SU000246</t>
        </is>
      </c>
      <c r="B272" s="63" t="inlineStr">
        <is>
          <t>P004843</t>
        </is>
      </c>
      <c r="C272" s="36" t="n">
        <v>4301051897</v>
      </c>
      <c r="D272" s="401" t="n">
        <v>4607091384260</v>
      </c>
      <c r="E272" s="646" t="n"/>
      <c r="F272" s="685" t="n">
        <v>1.5</v>
      </c>
      <c r="G272" s="37" t="n">
        <v>6</v>
      </c>
      <c r="H272" s="685" t="n">
        <v>9</v>
      </c>
      <c r="I272" s="685" t="n">
        <v>9.519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СК3</t>
        </is>
      </c>
      <c r="N272" s="38" t="n"/>
      <c r="O272" s="37" t="n">
        <v>40</v>
      </c>
      <c r="P272" s="814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272" s="687" t="n"/>
      <c r="R272" s="687" t="n"/>
      <c r="S272" s="687" t="n"/>
      <c r="T272" s="688" t="n"/>
      <c r="U272" s="39" t="inlineStr"/>
      <c r="V272" s="39" t="inlineStr"/>
      <c r="W272" s="40" t="inlineStr">
        <is>
          <t>кг</t>
        </is>
      </c>
      <c r="X272" s="689" t="n">
        <v>0</v>
      </c>
      <c r="Y272" s="690">
        <f>IFERROR(IF(X272="",0,CEILING((X272/$H272),1)*$H272),"")</f>
        <v/>
      </c>
      <c r="Z272" s="41">
        <f>IFERROR(IF(Y272=0,"",ROUNDUP(Y272/H272,0)*0.01898),"")</f>
        <v/>
      </c>
      <c r="AA272" s="68" t="inlineStr"/>
      <c r="AB272" s="69" t="inlineStr"/>
      <c r="AC272" s="326" t="inlineStr">
        <is>
          <t>ЕАЭС N RU Д-RU.РА03.В.23071/24, ЕАЭС N RU Д-RU.РА03.В.25758/24</t>
        </is>
      </c>
      <c r="AG272" s="78" t="n"/>
      <c r="AJ272" s="84" t="inlineStr"/>
      <c r="AK272" s="84" t="n">
        <v>0</v>
      </c>
      <c r="BB272" s="327" t="inlineStr">
        <is>
          <t>КИ</t>
        </is>
      </c>
      <c r="BM272" s="78">
        <f>IFERROR(X272*I272/H272,"0")</f>
        <v/>
      </c>
      <c r="BN272" s="78">
        <f>IFERROR(Y272*I272/H272,"0")</f>
        <v/>
      </c>
      <c r="BO272" s="78">
        <f>IFERROR(1/J272*(X272/H272),"0")</f>
        <v/>
      </c>
      <c r="BP272" s="78">
        <f>IFERROR(1/J272*(Y272/H272),"0")</f>
        <v/>
      </c>
    </row>
    <row r="273">
      <c r="A273" s="410" t="n"/>
      <c r="B273" s="397" t="n"/>
      <c r="C273" s="397" t="n"/>
      <c r="D273" s="397" t="n"/>
      <c r="E273" s="397" t="n"/>
      <c r="F273" s="397" t="n"/>
      <c r="G273" s="397" t="n"/>
      <c r="H273" s="397" t="n"/>
      <c r="I273" s="397" t="n"/>
      <c r="J273" s="397" t="n"/>
      <c r="K273" s="397" t="n"/>
      <c r="L273" s="397" t="n"/>
      <c r="M273" s="397" t="n"/>
      <c r="N273" s="397" t="n"/>
      <c r="O273" s="692" t="n"/>
      <c r="P273" s="693" t="inlineStr">
        <is>
          <t>Итого</t>
        </is>
      </c>
      <c r="Q273" s="654" t="n"/>
      <c r="R273" s="654" t="n"/>
      <c r="S273" s="654" t="n"/>
      <c r="T273" s="654" t="n"/>
      <c r="U273" s="654" t="n"/>
      <c r="V273" s="655" t="n"/>
      <c r="W273" s="42" t="inlineStr">
        <is>
          <t>кор</t>
        </is>
      </c>
      <c r="X273" s="694">
        <f>IFERROR(X271/H271,"0")+IFERROR(X272/H272,"0")</f>
        <v/>
      </c>
      <c r="Y273" s="694">
        <f>IFERROR(Y271/H271,"0")+IFERROR(Y272/H272,"0")</f>
        <v/>
      </c>
      <c r="Z273" s="694">
        <f>IFERROR(IF(Z271="",0,Z271),"0")+IFERROR(IF(Z272="",0,Z272),"0")</f>
        <v/>
      </c>
      <c r="AA273" s="695" t="n"/>
      <c r="AB273" s="695" t="n"/>
      <c r="AC273" s="695" t="n"/>
    </row>
    <row r="274">
      <c r="A274" s="397" t="n"/>
      <c r="B274" s="397" t="n"/>
      <c r="C274" s="397" t="n"/>
      <c r="D274" s="397" t="n"/>
      <c r="E274" s="397" t="n"/>
      <c r="F274" s="397" t="n"/>
      <c r="G274" s="397" t="n"/>
      <c r="H274" s="397" t="n"/>
      <c r="I274" s="397" t="n"/>
      <c r="J274" s="397" t="n"/>
      <c r="K274" s="397" t="n"/>
      <c r="L274" s="397" t="n"/>
      <c r="M274" s="397" t="n"/>
      <c r="N274" s="397" t="n"/>
      <c r="O274" s="692" t="n"/>
      <c r="P274" s="693" t="inlineStr">
        <is>
          <t>Итого</t>
        </is>
      </c>
      <c r="Q274" s="654" t="n"/>
      <c r="R274" s="654" t="n"/>
      <c r="S274" s="654" t="n"/>
      <c r="T274" s="654" t="n"/>
      <c r="U274" s="654" t="n"/>
      <c r="V274" s="655" t="n"/>
      <c r="W274" s="42" t="inlineStr">
        <is>
          <t>кг</t>
        </is>
      </c>
      <c r="X274" s="694">
        <f>IFERROR(SUM(X271:X272),"0")</f>
        <v/>
      </c>
      <c r="Y274" s="694">
        <f>IFERROR(SUM(Y271:Y272),"0")</f>
        <v/>
      </c>
      <c r="Z274" s="42" t="n"/>
      <c r="AA274" s="695" t="n"/>
      <c r="AB274" s="695" t="n"/>
      <c r="AC274" s="695" t="n"/>
    </row>
    <row r="275" ht="14.25" customHeight="1">
      <c r="A275" s="400" t="inlineStr">
        <is>
          <t>Сардельки</t>
        </is>
      </c>
      <c r="B275" s="397" t="n"/>
      <c r="C275" s="397" t="n"/>
      <c r="D275" s="397" t="n"/>
      <c r="E275" s="397" t="n"/>
      <c r="F275" s="397" t="n"/>
      <c r="G275" s="397" t="n"/>
      <c r="H275" s="397" t="n"/>
      <c r="I275" s="397" t="n"/>
      <c r="J275" s="397" t="n"/>
      <c r="K275" s="397" t="n"/>
      <c r="L275" s="397" t="n"/>
      <c r="M275" s="397" t="n"/>
      <c r="N275" s="397" t="n"/>
      <c r="O275" s="397" t="n"/>
      <c r="P275" s="397" t="n"/>
      <c r="Q275" s="397" t="n"/>
      <c r="R275" s="397" t="n"/>
      <c r="S275" s="397" t="n"/>
      <c r="T275" s="397" t="n"/>
      <c r="U275" s="397" t="n"/>
      <c r="V275" s="397" t="n"/>
      <c r="W275" s="397" t="n"/>
      <c r="X275" s="397" t="n"/>
      <c r="Y275" s="397" t="n"/>
      <c r="Z275" s="397" t="n"/>
      <c r="AA275" s="400" t="n"/>
      <c r="AB275" s="400" t="n"/>
      <c r="AC275" s="400" t="n"/>
    </row>
    <row r="276" ht="16.5" customHeight="1">
      <c r="A276" s="63" t="inlineStr">
        <is>
          <t>SU002287</t>
        </is>
      </c>
      <c r="B276" s="63" t="inlineStr">
        <is>
          <t>P005080</t>
        </is>
      </c>
      <c r="C276" s="36" t="n">
        <v>4301060524</v>
      </c>
      <c r="D276" s="401" t="n">
        <v>4607091384673</v>
      </c>
      <c r="E276" s="646" t="n"/>
      <c r="F276" s="685" t="n">
        <v>1.5</v>
      </c>
      <c r="G276" s="37" t="n">
        <v>6</v>
      </c>
      <c r="H276" s="685" t="n">
        <v>9</v>
      </c>
      <c r="I276" s="685" t="n">
        <v>9.519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СК3</t>
        </is>
      </c>
      <c r="N276" s="38" t="n"/>
      <c r="O276" s="37" t="n">
        <v>40</v>
      </c>
      <c r="P276" s="815" t="inlineStr">
        <is>
          <t>Сардельки «Сочные» Весовой п/а ТМ «Особый рецепт»</t>
        </is>
      </c>
      <c r="Q276" s="687" t="n"/>
      <c r="R276" s="687" t="n"/>
      <c r="S276" s="687" t="n"/>
      <c r="T276" s="688" t="n"/>
      <c r="U276" s="39" t="inlineStr"/>
      <c r="V276" s="39" t="inlineStr"/>
      <c r="W276" s="40" t="inlineStr">
        <is>
          <t>кг</t>
        </is>
      </c>
      <c r="X276" s="689" t="n">
        <v>0</v>
      </c>
      <c r="Y276" s="690">
        <f>IFERROR(IF(X276="",0,CEILING((X276/$H276),1)*$H276),"")</f>
        <v/>
      </c>
      <c r="Z276" s="41">
        <f>IFERROR(IF(Y276=0,"",ROUNDUP(Y276/H276,0)*0.01898),"")</f>
        <v/>
      </c>
      <c r="AA276" s="68" t="inlineStr"/>
      <c r="AB276" s="69" t="inlineStr"/>
      <c r="AC276" s="328" t="inlineStr">
        <is>
          <t>ЕАЭС N RU Д-RU.РА01.В.87692/24</t>
        </is>
      </c>
      <c r="AG276" s="78" t="n"/>
      <c r="AJ276" s="84" t="inlineStr"/>
      <c r="AK276" s="84" t="n">
        <v>0</v>
      </c>
      <c r="BB276" s="329" t="inlineStr">
        <is>
          <t>КИ</t>
        </is>
      </c>
      <c r="BM276" s="78">
        <f>IFERROR(X276*I276/H276,"0")</f>
        <v/>
      </c>
      <c r="BN276" s="78">
        <f>IFERROR(Y276*I276/H276,"0")</f>
        <v/>
      </c>
      <c r="BO276" s="78">
        <f>IFERROR(1/J276*(X276/H276),"0")</f>
        <v/>
      </c>
      <c r="BP276" s="78">
        <f>IFERROR(1/J276*(Y276/H276),"0")</f>
        <v/>
      </c>
    </row>
    <row r="277">
      <c r="A277" s="410" t="n"/>
      <c r="B277" s="397" t="n"/>
      <c r="C277" s="397" t="n"/>
      <c r="D277" s="397" t="n"/>
      <c r="E277" s="397" t="n"/>
      <c r="F277" s="397" t="n"/>
      <c r="G277" s="397" t="n"/>
      <c r="H277" s="397" t="n"/>
      <c r="I277" s="397" t="n"/>
      <c r="J277" s="397" t="n"/>
      <c r="K277" s="397" t="n"/>
      <c r="L277" s="397" t="n"/>
      <c r="M277" s="397" t="n"/>
      <c r="N277" s="397" t="n"/>
      <c r="O277" s="692" t="n"/>
      <c r="P277" s="693" t="inlineStr">
        <is>
          <t>Итого</t>
        </is>
      </c>
      <c r="Q277" s="654" t="n"/>
      <c r="R277" s="654" t="n"/>
      <c r="S277" s="654" t="n"/>
      <c r="T277" s="654" t="n"/>
      <c r="U277" s="654" t="n"/>
      <c r="V277" s="655" t="n"/>
      <c r="W277" s="42" t="inlineStr">
        <is>
          <t>кор</t>
        </is>
      </c>
      <c r="X277" s="694">
        <f>IFERROR(X276/H276,"0")</f>
        <v/>
      </c>
      <c r="Y277" s="694">
        <f>IFERROR(Y276/H276,"0")</f>
        <v/>
      </c>
      <c r="Z277" s="694">
        <f>IFERROR(IF(Z276="",0,Z276),"0")</f>
        <v/>
      </c>
      <c r="AA277" s="695" t="n"/>
      <c r="AB277" s="695" t="n"/>
      <c r="AC277" s="695" t="n"/>
    </row>
    <row r="278">
      <c r="A278" s="397" t="n"/>
      <c r="B278" s="397" t="n"/>
      <c r="C278" s="397" t="n"/>
      <c r="D278" s="397" t="n"/>
      <c r="E278" s="397" t="n"/>
      <c r="F278" s="397" t="n"/>
      <c r="G278" s="397" t="n"/>
      <c r="H278" s="397" t="n"/>
      <c r="I278" s="397" t="n"/>
      <c r="J278" s="397" t="n"/>
      <c r="K278" s="397" t="n"/>
      <c r="L278" s="397" t="n"/>
      <c r="M278" s="397" t="n"/>
      <c r="N278" s="397" t="n"/>
      <c r="O278" s="692" t="n"/>
      <c r="P278" s="693" t="inlineStr">
        <is>
          <t>Итого</t>
        </is>
      </c>
      <c r="Q278" s="654" t="n"/>
      <c r="R278" s="654" t="n"/>
      <c r="S278" s="654" t="n"/>
      <c r="T278" s="654" t="n"/>
      <c r="U278" s="654" t="n"/>
      <c r="V278" s="655" t="n"/>
      <c r="W278" s="42" t="inlineStr">
        <is>
          <t>кг</t>
        </is>
      </c>
      <c r="X278" s="694">
        <f>IFERROR(SUM(X276:X276),"0")</f>
        <v/>
      </c>
      <c r="Y278" s="694">
        <f>IFERROR(SUM(Y276:Y276),"0")</f>
        <v/>
      </c>
      <c r="Z278" s="42" t="n"/>
      <c r="AA278" s="695" t="n"/>
      <c r="AB278" s="695" t="n"/>
      <c r="AC278" s="695" t="n"/>
    </row>
    <row r="279" ht="16.5" customHeight="1">
      <c r="A279" s="430" t="inlineStr">
        <is>
          <t>Особая Без свинины</t>
        </is>
      </c>
      <c r="B279" s="397" t="n"/>
      <c r="C279" s="397" t="n"/>
      <c r="D279" s="397" t="n"/>
      <c r="E279" s="397" t="n"/>
      <c r="F279" s="397" t="n"/>
      <c r="G279" s="397" t="n"/>
      <c r="H279" s="397" t="n"/>
      <c r="I279" s="397" t="n"/>
      <c r="J279" s="397" t="n"/>
      <c r="K279" s="397" t="n"/>
      <c r="L279" s="397" t="n"/>
      <c r="M279" s="397" t="n"/>
      <c r="N279" s="397" t="n"/>
      <c r="O279" s="397" t="n"/>
      <c r="P279" s="397" t="n"/>
      <c r="Q279" s="397" t="n"/>
      <c r="R279" s="397" t="n"/>
      <c r="S279" s="397" t="n"/>
      <c r="T279" s="397" t="n"/>
      <c r="U279" s="397" t="n"/>
      <c r="V279" s="397" t="n"/>
      <c r="W279" s="397" t="n"/>
      <c r="X279" s="397" t="n"/>
      <c r="Y279" s="397" t="n"/>
      <c r="Z279" s="397" t="n"/>
      <c r="AA279" s="430" t="n"/>
      <c r="AB279" s="430" t="n"/>
      <c r="AC279" s="430" t="n"/>
    </row>
    <row r="280" ht="14.25" customHeight="1">
      <c r="A280" s="400" t="inlineStr">
        <is>
          <t>Вареные колбасы</t>
        </is>
      </c>
      <c r="B280" s="397" t="n"/>
      <c r="C280" s="397" t="n"/>
      <c r="D280" s="397" t="n"/>
      <c r="E280" s="397" t="n"/>
      <c r="F280" s="397" t="n"/>
      <c r="G280" s="397" t="n"/>
      <c r="H280" s="397" t="n"/>
      <c r="I280" s="397" t="n"/>
      <c r="J280" s="397" t="n"/>
      <c r="K280" s="397" t="n"/>
      <c r="L280" s="397" t="n"/>
      <c r="M280" s="397" t="n"/>
      <c r="N280" s="397" t="n"/>
      <c r="O280" s="397" t="n"/>
      <c r="P280" s="397" t="n"/>
      <c r="Q280" s="397" t="n"/>
      <c r="R280" s="397" t="n"/>
      <c r="S280" s="397" t="n"/>
      <c r="T280" s="397" t="n"/>
      <c r="U280" s="397" t="n"/>
      <c r="V280" s="397" t="n"/>
      <c r="W280" s="397" t="n"/>
      <c r="X280" s="397" t="n"/>
      <c r="Y280" s="397" t="n"/>
      <c r="Z280" s="397" t="n"/>
      <c r="AA280" s="400" t="n"/>
      <c r="AB280" s="400" t="n"/>
      <c r="AC280" s="400" t="n"/>
    </row>
    <row r="281" ht="37.5" customHeight="1">
      <c r="A281" s="63" t="inlineStr">
        <is>
          <t>SU002899</t>
        </is>
      </c>
      <c r="B281" s="63" t="inlineStr">
        <is>
          <t>P004261</t>
        </is>
      </c>
      <c r="C281" s="36" t="n">
        <v>4301011873</v>
      </c>
      <c r="D281" s="401" t="n">
        <v>4680115881907</v>
      </c>
      <c r="E281" s="646" t="n"/>
      <c r="F281" s="685" t="n">
        <v>1.8</v>
      </c>
      <c r="G281" s="37" t="n">
        <v>6</v>
      </c>
      <c r="H281" s="685" t="n">
        <v>10.8</v>
      </c>
      <c r="I281" s="685" t="n">
        <v>11.235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СК2</t>
        </is>
      </c>
      <c r="N281" s="38" t="n"/>
      <c r="O281" s="37" t="n">
        <v>60</v>
      </c>
      <c r="P281" s="81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281" s="687" t="n"/>
      <c r="R281" s="687" t="n"/>
      <c r="S281" s="687" t="n"/>
      <c r="T281" s="688" t="n"/>
      <c r="U281" s="39" t="inlineStr"/>
      <c r="V281" s="39" t="inlineStr"/>
      <c r="W281" s="40" t="inlineStr">
        <is>
          <t>кг</t>
        </is>
      </c>
      <c r="X281" s="689" t="n">
        <v>0</v>
      </c>
      <c r="Y281" s="690">
        <f>IFERROR(IF(X281="",0,CEILING((X281/$H281),1)*$H281),"")</f>
        <v/>
      </c>
      <c r="Z281" s="41">
        <f>IFERROR(IF(Y281=0,"",ROUNDUP(Y281/H281,0)*0.01898),"")</f>
        <v/>
      </c>
      <c r="AA281" s="68" t="inlineStr"/>
      <c r="AB281" s="69" t="inlineStr"/>
      <c r="AC281" s="330" t="inlineStr">
        <is>
          <t>ЕАЭС N RU Д-RU.РА01.В.47907/24, ЕАЭС N RU Д-RU.РА09.В.95878/24, ЕАЭС N RU Д-RU.РА10.В.10927/24</t>
        </is>
      </c>
      <c r="AG281" s="78" t="n"/>
      <c r="AJ281" s="84" t="inlineStr"/>
      <c r="AK281" s="84" t="n">
        <v>0</v>
      </c>
      <c r="BB281" s="33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37.5" customHeight="1">
      <c r="A282" s="63" t="inlineStr">
        <is>
          <t>SU003425</t>
        </is>
      </c>
      <c r="B282" s="63" t="inlineStr">
        <is>
          <t>P004273</t>
        </is>
      </c>
      <c r="C282" s="36" t="n">
        <v>4301011875</v>
      </c>
      <c r="D282" s="401" t="n">
        <v>4680115884885</v>
      </c>
      <c r="E282" s="646" t="n"/>
      <c r="F282" s="685" t="n">
        <v>0.8</v>
      </c>
      <c r="G282" s="37" t="n">
        <v>15</v>
      </c>
      <c r="H282" s="685" t="n">
        <v>12</v>
      </c>
      <c r="I282" s="685" t="n">
        <v>12.435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СК2</t>
        </is>
      </c>
      <c r="N282" s="38" t="n"/>
      <c r="O282" s="37" t="n">
        <v>60</v>
      </c>
      <c r="P282" s="81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282" s="687" t="n"/>
      <c r="R282" s="687" t="n"/>
      <c r="S282" s="687" t="n"/>
      <c r="T282" s="688" t="n"/>
      <c r="U282" s="39" t="inlineStr"/>
      <c r="V282" s="39" t="inlineStr"/>
      <c r="W282" s="40" t="inlineStr">
        <is>
          <t>кг</t>
        </is>
      </c>
      <c r="X282" s="689" t="n">
        <v>200</v>
      </c>
      <c r="Y282" s="690">
        <f>IFERROR(IF(X282="",0,CEILING((X282/$H282),1)*$H282),"")</f>
        <v/>
      </c>
      <c r="Z282" s="41">
        <f>IFERROR(IF(Y282=0,"",ROUNDUP(Y282/H282,0)*0.01898),"")</f>
        <v/>
      </c>
      <c r="AA282" s="68" t="inlineStr"/>
      <c r="AB282" s="69" t="inlineStr"/>
      <c r="AC282" s="332" t="inlineStr">
        <is>
          <t>ЕАЭС N RU Д-RU.РА03.В.31251/24, ЕАЭС N RU Д-RU.РА09.В.96881/24, ЕАЭС N RU Д-RU.РА10.В.04488/24</t>
        </is>
      </c>
      <c r="AG282" s="78" t="n"/>
      <c r="AJ282" s="84" t="inlineStr"/>
      <c r="AK282" s="84" t="n">
        <v>0</v>
      </c>
      <c r="BB282" s="33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37.5" customHeight="1">
      <c r="A283" s="63" t="inlineStr">
        <is>
          <t>SU003426</t>
        </is>
      </c>
      <c r="B283" s="63" t="inlineStr">
        <is>
          <t>P004258</t>
        </is>
      </c>
      <c r="C283" s="36" t="n">
        <v>4301011871</v>
      </c>
      <c r="D283" s="401" t="n">
        <v>4680115884908</v>
      </c>
      <c r="E283" s="646" t="n"/>
      <c r="F283" s="685" t="n">
        <v>0.4</v>
      </c>
      <c r="G283" s="37" t="n">
        <v>10</v>
      </c>
      <c r="H283" s="685" t="n">
        <v>4</v>
      </c>
      <c r="I283" s="685" t="n">
        <v>4.21</v>
      </c>
      <c r="J283" s="37" t="n">
        <v>132</v>
      </c>
      <c r="K283" s="37" t="inlineStr">
        <is>
          <t>12</t>
        </is>
      </c>
      <c r="L283" s="37" t="inlineStr"/>
      <c r="M283" s="38" t="inlineStr">
        <is>
          <t>СК2</t>
        </is>
      </c>
      <c r="N283" s="38" t="n"/>
      <c r="O283" s="37" t="n">
        <v>60</v>
      </c>
      <c r="P283" s="818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283" s="687" t="n"/>
      <c r="R283" s="687" t="n"/>
      <c r="S283" s="687" t="n"/>
      <c r="T283" s="688" t="n"/>
      <c r="U283" s="39" t="inlineStr"/>
      <c r="V283" s="39" t="inlineStr"/>
      <c r="W283" s="40" t="inlineStr">
        <is>
          <t>кг</t>
        </is>
      </c>
      <c r="X283" s="689" t="n">
        <v>100</v>
      </c>
      <c r="Y283" s="690">
        <f>IFERROR(IF(X283="",0,CEILING((X283/$H283),1)*$H283),"")</f>
        <v/>
      </c>
      <c r="Z283" s="41">
        <f>IFERROR(IF(Y283=0,"",ROUNDUP(Y283/H283,0)*0.00902),"")</f>
        <v/>
      </c>
      <c r="AA283" s="68" t="inlineStr"/>
      <c r="AB283" s="69" t="inlineStr"/>
      <c r="AC283" s="334" t="inlineStr">
        <is>
          <t>ЕАЭС N RU Д-RU.РА03.В.31251/24, ЕАЭС N RU Д-RU.РА09.В.96881/24, ЕАЭС N RU Д-RU.РА10.В.04488/24</t>
        </is>
      </c>
      <c r="AG283" s="78" t="n"/>
      <c r="AJ283" s="84" t="inlineStr"/>
      <c r="AK283" s="84" t="n">
        <v>0</v>
      </c>
      <c r="BB283" s="33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>
      <c r="A284" s="410" t="n"/>
      <c r="B284" s="397" t="n"/>
      <c r="C284" s="397" t="n"/>
      <c r="D284" s="397" t="n"/>
      <c r="E284" s="397" t="n"/>
      <c r="F284" s="397" t="n"/>
      <c r="G284" s="397" t="n"/>
      <c r="H284" s="397" t="n"/>
      <c r="I284" s="397" t="n"/>
      <c r="J284" s="397" t="n"/>
      <c r="K284" s="397" t="n"/>
      <c r="L284" s="397" t="n"/>
      <c r="M284" s="397" t="n"/>
      <c r="N284" s="397" t="n"/>
      <c r="O284" s="692" t="n"/>
      <c r="P284" s="693" t="inlineStr">
        <is>
          <t>Итого</t>
        </is>
      </c>
      <c r="Q284" s="654" t="n"/>
      <c r="R284" s="654" t="n"/>
      <c r="S284" s="654" t="n"/>
      <c r="T284" s="654" t="n"/>
      <c r="U284" s="654" t="n"/>
      <c r="V284" s="655" t="n"/>
      <c r="W284" s="42" t="inlineStr">
        <is>
          <t>кор</t>
        </is>
      </c>
      <c r="X284" s="694">
        <f>IFERROR(X281/H281,"0")+IFERROR(X282/H282,"0")+IFERROR(X283/H283,"0")</f>
        <v/>
      </c>
      <c r="Y284" s="694">
        <f>IFERROR(Y281/H281,"0")+IFERROR(Y282/H282,"0")+IFERROR(Y283/H283,"0")</f>
        <v/>
      </c>
      <c r="Z284" s="694">
        <f>IFERROR(IF(Z281="",0,Z281),"0")+IFERROR(IF(Z282="",0,Z282),"0")+IFERROR(IF(Z283="",0,Z283),"0")</f>
        <v/>
      </c>
      <c r="AA284" s="695" t="n"/>
      <c r="AB284" s="695" t="n"/>
      <c r="AC284" s="695" t="n"/>
    </row>
    <row r="285">
      <c r="A285" s="397" t="n"/>
      <c r="B285" s="397" t="n"/>
      <c r="C285" s="397" t="n"/>
      <c r="D285" s="397" t="n"/>
      <c r="E285" s="397" t="n"/>
      <c r="F285" s="397" t="n"/>
      <c r="G285" s="397" t="n"/>
      <c r="H285" s="397" t="n"/>
      <c r="I285" s="397" t="n"/>
      <c r="J285" s="397" t="n"/>
      <c r="K285" s="397" t="n"/>
      <c r="L285" s="397" t="n"/>
      <c r="M285" s="397" t="n"/>
      <c r="N285" s="397" t="n"/>
      <c r="O285" s="692" t="n"/>
      <c r="P285" s="693" t="inlineStr">
        <is>
          <t>Итого</t>
        </is>
      </c>
      <c r="Q285" s="654" t="n"/>
      <c r="R285" s="654" t="n"/>
      <c r="S285" s="654" t="n"/>
      <c r="T285" s="654" t="n"/>
      <c r="U285" s="654" t="n"/>
      <c r="V285" s="655" t="n"/>
      <c r="W285" s="42" t="inlineStr">
        <is>
          <t>кг</t>
        </is>
      </c>
      <c r="X285" s="694">
        <f>IFERROR(SUM(X281:X283),"0")</f>
        <v/>
      </c>
      <c r="Y285" s="694">
        <f>IFERROR(SUM(Y281:Y283),"0")</f>
        <v/>
      </c>
      <c r="Z285" s="42" t="n"/>
      <c r="AA285" s="695" t="n"/>
      <c r="AB285" s="695" t="n"/>
      <c r="AC285" s="695" t="n"/>
    </row>
    <row r="286" ht="14.25" customHeight="1">
      <c r="A286" s="400" t="inlineStr">
        <is>
          <t>Копченые колбасы</t>
        </is>
      </c>
      <c r="B286" s="397" t="n"/>
      <c r="C286" s="397" t="n"/>
      <c r="D286" s="397" t="n"/>
      <c r="E286" s="397" t="n"/>
      <c r="F286" s="397" t="n"/>
      <c r="G286" s="397" t="n"/>
      <c r="H286" s="397" t="n"/>
      <c r="I286" s="397" t="n"/>
      <c r="J286" s="397" t="n"/>
      <c r="K286" s="397" t="n"/>
      <c r="L286" s="397" t="n"/>
      <c r="M286" s="397" t="n"/>
      <c r="N286" s="397" t="n"/>
      <c r="O286" s="397" t="n"/>
      <c r="P286" s="397" t="n"/>
      <c r="Q286" s="397" t="n"/>
      <c r="R286" s="397" t="n"/>
      <c r="S286" s="397" t="n"/>
      <c r="T286" s="397" t="n"/>
      <c r="U286" s="397" t="n"/>
      <c r="V286" s="397" t="n"/>
      <c r="W286" s="397" t="n"/>
      <c r="X286" s="397" t="n"/>
      <c r="Y286" s="397" t="n"/>
      <c r="Z286" s="397" t="n"/>
      <c r="AA286" s="400" t="n"/>
      <c r="AB286" s="400" t="n"/>
      <c r="AC286" s="400" t="n"/>
    </row>
    <row r="287" ht="27" customHeight="1">
      <c r="A287" s="63" t="inlineStr">
        <is>
          <t>SU002360</t>
        </is>
      </c>
      <c r="B287" s="63" t="inlineStr">
        <is>
          <t>P004227</t>
        </is>
      </c>
      <c r="C287" s="36" t="n">
        <v>4301031303</v>
      </c>
      <c r="D287" s="401" t="n">
        <v>4607091384802</v>
      </c>
      <c r="E287" s="646" t="n"/>
      <c r="F287" s="685" t="n">
        <v>0.73</v>
      </c>
      <c r="G287" s="37" t="n">
        <v>6</v>
      </c>
      <c r="H287" s="685" t="n">
        <v>4.38</v>
      </c>
      <c r="I287" s="685" t="n">
        <v>4.65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СК2</t>
        </is>
      </c>
      <c r="N287" s="38" t="n"/>
      <c r="O287" s="37" t="n">
        <v>35</v>
      </c>
      <c r="P287" s="81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287" s="687" t="n"/>
      <c r="R287" s="687" t="n"/>
      <c r="S287" s="687" t="n"/>
      <c r="T287" s="688" t="n"/>
      <c r="U287" s="39" t="inlineStr"/>
      <c r="V287" s="39" t="inlineStr"/>
      <c r="W287" s="40" t="inlineStr">
        <is>
          <t>кг</t>
        </is>
      </c>
      <c r="X287" s="689" t="n">
        <v>0</v>
      </c>
      <c r="Y287" s="690">
        <f>IFERROR(IF(X287="",0,CEILING((X287/$H287),1)*$H287),"")</f>
        <v/>
      </c>
      <c r="Z287" s="41">
        <f>IFERROR(IF(Y287=0,"",ROUNDUP(Y287/H287,0)*0.00902),"")</f>
        <v/>
      </c>
      <c r="AA287" s="68" t="inlineStr"/>
      <c r="AB287" s="69" t="inlineStr"/>
      <c r="AC287" s="336" t="inlineStr">
        <is>
          <t>ЕАЭС N RU Д-RU.РА02.В.61652/24</t>
        </is>
      </c>
      <c r="AG287" s="78" t="n"/>
      <c r="AJ287" s="84" t="inlineStr"/>
      <c r="AK287" s="84" t="n">
        <v>0</v>
      </c>
      <c r="BB287" s="337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>
      <c r="A288" s="410" t="n"/>
      <c r="B288" s="397" t="n"/>
      <c r="C288" s="397" t="n"/>
      <c r="D288" s="397" t="n"/>
      <c r="E288" s="397" t="n"/>
      <c r="F288" s="397" t="n"/>
      <c r="G288" s="397" t="n"/>
      <c r="H288" s="397" t="n"/>
      <c r="I288" s="397" t="n"/>
      <c r="J288" s="397" t="n"/>
      <c r="K288" s="397" t="n"/>
      <c r="L288" s="397" t="n"/>
      <c r="M288" s="397" t="n"/>
      <c r="N288" s="397" t="n"/>
      <c r="O288" s="692" t="n"/>
      <c r="P288" s="693" t="inlineStr">
        <is>
          <t>Итого</t>
        </is>
      </c>
      <c r="Q288" s="654" t="n"/>
      <c r="R288" s="654" t="n"/>
      <c r="S288" s="654" t="n"/>
      <c r="T288" s="654" t="n"/>
      <c r="U288" s="654" t="n"/>
      <c r="V288" s="655" t="n"/>
      <c r="W288" s="42" t="inlineStr">
        <is>
          <t>кор</t>
        </is>
      </c>
      <c r="X288" s="694">
        <f>IFERROR(X287/H287,"0")</f>
        <v/>
      </c>
      <c r="Y288" s="694">
        <f>IFERROR(Y287/H287,"0")</f>
        <v/>
      </c>
      <c r="Z288" s="694">
        <f>IFERROR(IF(Z287="",0,Z287),"0")</f>
        <v/>
      </c>
      <c r="AA288" s="695" t="n"/>
      <c r="AB288" s="695" t="n"/>
      <c r="AC288" s="695" t="n"/>
    </row>
    <row r="289">
      <c r="A289" s="397" t="n"/>
      <c r="B289" s="397" t="n"/>
      <c r="C289" s="397" t="n"/>
      <c r="D289" s="397" t="n"/>
      <c r="E289" s="397" t="n"/>
      <c r="F289" s="397" t="n"/>
      <c r="G289" s="397" t="n"/>
      <c r="H289" s="397" t="n"/>
      <c r="I289" s="397" t="n"/>
      <c r="J289" s="397" t="n"/>
      <c r="K289" s="397" t="n"/>
      <c r="L289" s="397" t="n"/>
      <c r="M289" s="397" t="n"/>
      <c r="N289" s="397" t="n"/>
      <c r="O289" s="692" t="n"/>
      <c r="P289" s="693" t="inlineStr">
        <is>
          <t>Итого</t>
        </is>
      </c>
      <c r="Q289" s="654" t="n"/>
      <c r="R289" s="654" t="n"/>
      <c r="S289" s="654" t="n"/>
      <c r="T289" s="654" t="n"/>
      <c r="U289" s="654" t="n"/>
      <c r="V289" s="655" t="n"/>
      <c r="W289" s="42" t="inlineStr">
        <is>
          <t>кг</t>
        </is>
      </c>
      <c r="X289" s="694">
        <f>IFERROR(SUM(X287:X287),"0")</f>
        <v/>
      </c>
      <c r="Y289" s="694">
        <f>IFERROR(SUM(Y287:Y287),"0")</f>
        <v/>
      </c>
      <c r="Z289" s="42" t="n"/>
      <c r="AA289" s="695" t="n"/>
      <c r="AB289" s="695" t="n"/>
      <c r="AC289" s="695" t="n"/>
    </row>
    <row r="290" ht="14.25" customHeight="1">
      <c r="A290" s="400" t="inlineStr">
        <is>
          <t>Сосиски</t>
        </is>
      </c>
      <c r="B290" s="397" t="n"/>
      <c r="C290" s="397" t="n"/>
      <c r="D290" s="397" t="n"/>
      <c r="E290" s="397" t="n"/>
      <c r="F290" s="397" t="n"/>
      <c r="G290" s="397" t="n"/>
      <c r="H290" s="397" t="n"/>
      <c r="I290" s="397" t="n"/>
      <c r="J290" s="397" t="n"/>
      <c r="K290" s="397" t="n"/>
      <c r="L290" s="397" t="n"/>
      <c r="M290" s="397" t="n"/>
      <c r="N290" s="397" t="n"/>
      <c r="O290" s="397" t="n"/>
      <c r="P290" s="397" t="n"/>
      <c r="Q290" s="397" t="n"/>
      <c r="R290" s="397" t="n"/>
      <c r="S290" s="397" t="n"/>
      <c r="T290" s="397" t="n"/>
      <c r="U290" s="397" t="n"/>
      <c r="V290" s="397" t="n"/>
      <c r="W290" s="397" t="n"/>
      <c r="X290" s="397" t="n"/>
      <c r="Y290" s="397" t="n"/>
      <c r="Z290" s="397" t="n"/>
      <c r="AA290" s="400" t="n"/>
      <c r="AB290" s="400" t="n"/>
      <c r="AC290" s="400" t="n"/>
    </row>
    <row r="291" ht="27" customHeight="1">
      <c r="A291" s="63" t="inlineStr">
        <is>
          <t>SU002074</t>
        </is>
      </c>
      <c r="B291" s="63" t="inlineStr">
        <is>
          <t>P004844</t>
        </is>
      </c>
      <c r="C291" s="36" t="n">
        <v>4301051899</v>
      </c>
      <c r="D291" s="401" t="n">
        <v>4607091384246</v>
      </c>
      <c r="E291" s="646" t="n"/>
      <c r="F291" s="685" t="n">
        <v>1.5</v>
      </c>
      <c r="G291" s="37" t="n">
        <v>6</v>
      </c>
      <c r="H291" s="685" t="n">
        <v>9</v>
      </c>
      <c r="I291" s="685" t="n">
        <v>9.519</v>
      </c>
      <c r="J291" s="37" t="n">
        <v>64</v>
      </c>
      <c r="K291" s="37" t="inlineStr">
        <is>
          <t>8</t>
        </is>
      </c>
      <c r="L291" s="37" t="inlineStr"/>
      <c r="M291" s="38" t="inlineStr">
        <is>
          <t>СК3</t>
        </is>
      </c>
      <c r="N291" s="38" t="n"/>
      <c r="O291" s="37" t="n">
        <v>40</v>
      </c>
      <c r="P291" s="820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291" s="687" t="n"/>
      <c r="R291" s="687" t="n"/>
      <c r="S291" s="687" t="n"/>
      <c r="T291" s="688" t="n"/>
      <c r="U291" s="39" t="inlineStr"/>
      <c r="V291" s="39" t="inlineStr"/>
      <c r="W291" s="40" t="inlineStr">
        <is>
          <t>кг</t>
        </is>
      </c>
      <c r="X291" s="689" t="n">
        <v>400</v>
      </c>
      <c r="Y291" s="690">
        <f>IFERROR(IF(X291="",0,CEILING((X291/$H291),1)*$H291),"")</f>
        <v/>
      </c>
      <c r="Z291" s="41">
        <f>IFERROR(IF(Y291=0,"",ROUNDUP(Y291/H291,0)*0.01898),"")</f>
        <v/>
      </c>
      <c r="AA291" s="68" t="inlineStr"/>
      <c r="AB291" s="69" t="inlineStr"/>
      <c r="AC291" s="338" t="inlineStr">
        <is>
          <t>ЕАЭС N RU Д-RU.РА03.В.21982/24, ЕАЭС N RU Д-RU.РА03.В.22955/24</t>
        </is>
      </c>
      <c r="AG291" s="78" t="n"/>
      <c r="AJ291" s="84" t="inlineStr"/>
      <c r="AK291" s="84" t="n">
        <v>0</v>
      </c>
      <c r="BB291" s="339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 ht="27" customHeight="1">
      <c r="A292" s="63" t="inlineStr">
        <is>
          <t>SU002205</t>
        </is>
      </c>
      <c r="B292" s="63" t="inlineStr">
        <is>
          <t>P003969</t>
        </is>
      </c>
      <c r="C292" s="36" t="n">
        <v>4301051660</v>
      </c>
      <c r="D292" s="401" t="n">
        <v>4607091384253</v>
      </c>
      <c r="E292" s="646" t="n"/>
      <c r="F292" s="685" t="n">
        <v>0.4</v>
      </c>
      <c r="G292" s="37" t="n">
        <v>6</v>
      </c>
      <c r="H292" s="685" t="n">
        <v>2.4</v>
      </c>
      <c r="I292" s="685" t="n">
        <v>2.664</v>
      </c>
      <c r="J292" s="37" t="n">
        <v>182</v>
      </c>
      <c r="K292" s="37" t="inlineStr">
        <is>
          <t>14</t>
        </is>
      </c>
      <c r="L292" s="37" t="inlineStr"/>
      <c r="M292" s="38" t="inlineStr">
        <is>
          <t>СК3</t>
        </is>
      </c>
      <c r="N292" s="38" t="n"/>
      <c r="O292" s="37" t="n">
        <v>40</v>
      </c>
      <c r="P292" s="82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292" s="687" t="n"/>
      <c r="R292" s="687" t="n"/>
      <c r="S292" s="687" t="n"/>
      <c r="T292" s="688" t="n"/>
      <c r="U292" s="39" t="inlineStr"/>
      <c r="V292" s="39" t="inlineStr"/>
      <c r="W292" s="40" t="inlineStr">
        <is>
          <t>кг</t>
        </is>
      </c>
      <c r="X292" s="689" t="n">
        <v>0</v>
      </c>
      <c r="Y292" s="690">
        <f>IFERROR(IF(X292="",0,CEILING((X292/$H292),1)*$H292),"")</f>
        <v/>
      </c>
      <c r="Z292" s="41">
        <f>IFERROR(IF(Y292=0,"",ROUNDUP(Y292/H292,0)*0.00651),"")</f>
        <v/>
      </c>
      <c r="AA292" s="68" t="inlineStr"/>
      <c r="AB292" s="69" t="inlineStr"/>
      <c r="AC292" s="340" t="inlineStr">
        <is>
          <t>ЕАЭС N RU Д-RU.РА03.В.21982/24, ЕАЭС N RU Д-RU.РА03.В.22955/24</t>
        </is>
      </c>
      <c r="AG292" s="78" t="n"/>
      <c r="AJ292" s="84" t="inlineStr"/>
      <c r="AK292" s="84" t="n">
        <v>0</v>
      </c>
      <c r="BB292" s="341" t="inlineStr">
        <is>
          <t>КИ</t>
        </is>
      </c>
      <c r="BM292" s="78">
        <f>IFERROR(X292*I292/H292,"0")</f>
        <v/>
      </c>
      <c r="BN292" s="78">
        <f>IFERROR(Y292*I292/H292,"0")</f>
        <v/>
      </c>
      <c r="BO292" s="78">
        <f>IFERROR(1/J292*(X292/H292),"0")</f>
        <v/>
      </c>
      <c r="BP292" s="78">
        <f>IFERROR(1/J292*(Y292/H292),"0")</f>
        <v/>
      </c>
    </row>
    <row r="293">
      <c r="A293" s="410" t="n"/>
      <c r="B293" s="397" t="n"/>
      <c r="C293" s="397" t="n"/>
      <c r="D293" s="397" t="n"/>
      <c r="E293" s="397" t="n"/>
      <c r="F293" s="397" t="n"/>
      <c r="G293" s="397" t="n"/>
      <c r="H293" s="397" t="n"/>
      <c r="I293" s="397" t="n"/>
      <c r="J293" s="397" t="n"/>
      <c r="K293" s="397" t="n"/>
      <c r="L293" s="397" t="n"/>
      <c r="M293" s="397" t="n"/>
      <c r="N293" s="397" t="n"/>
      <c r="O293" s="692" t="n"/>
      <c r="P293" s="693" t="inlineStr">
        <is>
          <t>Итого</t>
        </is>
      </c>
      <c r="Q293" s="654" t="n"/>
      <c r="R293" s="654" t="n"/>
      <c r="S293" s="654" t="n"/>
      <c r="T293" s="654" t="n"/>
      <c r="U293" s="654" t="n"/>
      <c r="V293" s="655" t="n"/>
      <c r="W293" s="42" t="inlineStr">
        <is>
          <t>кор</t>
        </is>
      </c>
      <c r="X293" s="694">
        <f>IFERROR(X291/H291,"0")+IFERROR(X292/H292,"0")</f>
        <v/>
      </c>
      <c r="Y293" s="694">
        <f>IFERROR(Y291/H291,"0")+IFERROR(Y292/H292,"0")</f>
        <v/>
      </c>
      <c r="Z293" s="694">
        <f>IFERROR(IF(Z291="",0,Z291),"0")+IFERROR(IF(Z292="",0,Z292),"0")</f>
        <v/>
      </c>
      <c r="AA293" s="695" t="n"/>
      <c r="AB293" s="695" t="n"/>
      <c r="AC293" s="695" t="n"/>
    </row>
    <row r="294">
      <c r="A294" s="397" t="n"/>
      <c r="B294" s="397" t="n"/>
      <c r="C294" s="397" t="n"/>
      <c r="D294" s="397" t="n"/>
      <c r="E294" s="397" t="n"/>
      <c r="F294" s="397" t="n"/>
      <c r="G294" s="397" t="n"/>
      <c r="H294" s="397" t="n"/>
      <c r="I294" s="397" t="n"/>
      <c r="J294" s="397" t="n"/>
      <c r="K294" s="397" t="n"/>
      <c r="L294" s="397" t="n"/>
      <c r="M294" s="397" t="n"/>
      <c r="N294" s="397" t="n"/>
      <c r="O294" s="692" t="n"/>
      <c r="P294" s="693" t="inlineStr">
        <is>
          <t>Итого</t>
        </is>
      </c>
      <c r="Q294" s="654" t="n"/>
      <c r="R294" s="654" t="n"/>
      <c r="S294" s="654" t="n"/>
      <c r="T294" s="654" t="n"/>
      <c r="U294" s="654" t="n"/>
      <c r="V294" s="655" t="n"/>
      <c r="W294" s="42" t="inlineStr">
        <is>
          <t>кг</t>
        </is>
      </c>
      <c r="X294" s="694">
        <f>IFERROR(SUM(X291:X292),"0")</f>
        <v/>
      </c>
      <c r="Y294" s="694">
        <f>IFERROR(SUM(Y291:Y292),"0")</f>
        <v/>
      </c>
      <c r="Z294" s="42" t="n"/>
      <c r="AA294" s="695" t="n"/>
      <c r="AB294" s="695" t="n"/>
      <c r="AC294" s="695" t="n"/>
    </row>
    <row r="295" ht="14.25" customHeight="1">
      <c r="A295" s="400" t="inlineStr">
        <is>
          <t>Сардельки</t>
        </is>
      </c>
      <c r="B295" s="397" t="n"/>
      <c r="C295" s="397" t="n"/>
      <c r="D295" s="397" t="n"/>
      <c r="E295" s="397" t="n"/>
      <c r="F295" s="397" t="n"/>
      <c r="G295" s="397" t="n"/>
      <c r="H295" s="397" t="n"/>
      <c r="I295" s="397" t="n"/>
      <c r="J295" s="397" t="n"/>
      <c r="K295" s="397" t="n"/>
      <c r="L295" s="397" t="n"/>
      <c r="M295" s="397" t="n"/>
      <c r="N295" s="397" t="n"/>
      <c r="O295" s="397" t="n"/>
      <c r="P295" s="397" t="n"/>
      <c r="Q295" s="397" t="n"/>
      <c r="R295" s="397" t="n"/>
      <c r="S295" s="397" t="n"/>
      <c r="T295" s="397" t="n"/>
      <c r="U295" s="397" t="n"/>
      <c r="V295" s="397" t="n"/>
      <c r="W295" s="397" t="n"/>
      <c r="X295" s="397" t="n"/>
      <c r="Y295" s="397" t="n"/>
      <c r="Z295" s="397" t="n"/>
      <c r="AA295" s="400" t="n"/>
      <c r="AB295" s="400" t="n"/>
      <c r="AC295" s="400" t="n"/>
    </row>
    <row r="296" ht="27" customHeight="1">
      <c r="A296" s="63" t="inlineStr">
        <is>
          <t>SU002472</t>
        </is>
      </c>
      <c r="B296" s="63" t="inlineStr">
        <is>
          <t>P004846</t>
        </is>
      </c>
      <c r="C296" s="36" t="n">
        <v>4301060441</v>
      </c>
      <c r="D296" s="401" t="n">
        <v>4607091389357</v>
      </c>
      <c r="E296" s="646" t="n"/>
      <c r="F296" s="685" t="n">
        <v>1.5</v>
      </c>
      <c r="G296" s="37" t="n">
        <v>6</v>
      </c>
      <c r="H296" s="685" t="n">
        <v>9</v>
      </c>
      <c r="I296" s="685" t="n">
        <v>9.435</v>
      </c>
      <c r="J296" s="37" t="n">
        <v>64</v>
      </c>
      <c r="K296" s="37" t="inlineStr">
        <is>
          <t>8</t>
        </is>
      </c>
      <c r="L296" s="37" t="inlineStr"/>
      <c r="M296" s="38" t="inlineStr">
        <is>
          <t>СК3</t>
        </is>
      </c>
      <c r="N296" s="38" t="n"/>
      <c r="O296" s="37" t="n">
        <v>40</v>
      </c>
      <c r="P296" s="822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296" s="687" t="n"/>
      <c r="R296" s="687" t="n"/>
      <c r="S296" s="687" t="n"/>
      <c r="T296" s="688" t="n"/>
      <c r="U296" s="39" t="inlineStr"/>
      <c r="V296" s="39" t="inlineStr"/>
      <c r="W296" s="40" t="inlineStr">
        <is>
          <t>кг</t>
        </is>
      </c>
      <c r="X296" s="689" t="n">
        <v>320</v>
      </c>
      <c r="Y296" s="690">
        <f>IFERROR(IF(X296="",0,CEILING((X296/$H296),1)*$H296),"")</f>
        <v/>
      </c>
      <c r="Z296" s="41">
        <f>IFERROR(IF(Y296=0,"",ROUNDUP(Y296/H296,0)*0.01898),"")</f>
        <v/>
      </c>
      <c r="AA296" s="68" t="inlineStr"/>
      <c r="AB296" s="69" t="inlineStr"/>
      <c r="AC296" s="342" t="inlineStr">
        <is>
          <t>ЕАЭС N RU Д-RU.РА01.В.99587/24, ЕАЭС N RU Д-RU.РА01.В.99708/24</t>
        </is>
      </c>
      <c r="AG296" s="78" t="n"/>
      <c r="AJ296" s="84" t="inlineStr"/>
      <c r="AK296" s="84" t="n">
        <v>0</v>
      </c>
      <c r="BB296" s="343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>
      <c r="A297" s="410" t="n"/>
      <c r="B297" s="397" t="n"/>
      <c r="C297" s="397" t="n"/>
      <c r="D297" s="397" t="n"/>
      <c r="E297" s="397" t="n"/>
      <c r="F297" s="397" t="n"/>
      <c r="G297" s="397" t="n"/>
      <c r="H297" s="397" t="n"/>
      <c r="I297" s="397" t="n"/>
      <c r="J297" s="397" t="n"/>
      <c r="K297" s="397" t="n"/>
      <c r="L297" s="397" t="n"/>
      <c r="M297" s="397" t="n"/>
      <c r="N297" s="397" t="n"/>
      <c r="O297" s="692" t="n"/>
      <c r="P297" s="693" t="inlineStr">
        <is>
          <t>Итого</t>
        </is>
      </c>
      <c r="Q297" s="654" t="n"/>
      <c r="R297" s="654" t="n"/>
      <c r="S297" s="654" t="n"/>
      <c r="T297" s="654" t="n"/>
      <c r="U297" s="654" t="n"/>
      <c r="V297" s="655" t="n"/>
      <c r="W297" s="42" t="inlineStr">
        <is>
          <t>кор</t>
        </is>
      </c>
      <c r="X297" s="694">
        <f>IFERROR(X296/H296,"0")</f>
        <v/>
      </c>
      <c r="Y297" s="694">
        <f>IFERROR(Y296/H296,"0")</f>
        <v/>
      </c>
      <c r="Z297" s="694">
        <f>IFERROR(IF(Z296="",0,Z296),"0")</f>
        <v/>
      </c>
      <c r="AA297" s="695" t="n"/>
      <c r="AB297" s="695" t="n"/>
      <c r="AC297" s="695" t="n"/>
    </row>
    <row r="298">
      <c r="A298" s="397" t="n"/>
      <c r="B298" s="397" t="n"/>
      <c r="C298" s="397" t="n"/>
      <c r="D298" s="397" t="n"/>
      <c r="E298" s="397" t="n"/>
      <c r="F298" s="397" t="n"/>
      <c r="G298" s="397" t="n"/>
      <c r="H298" s="397" t="n"/>
      <c r="I298" s="397" t="n"/>
      <c r="J298" s="397" t="n"/>
      <c r="K298" s="397" t="n"/>
      <c r="L298" s="397" t="n"/>
      <c r="M298" s="397" t="n"/>
      <c r="N298" s="397" t="n"/>
      <c r="O298" s="692" t="n"/>
      <c r="P298" s="693" t="inlineStr">
        <is>
          <t>Итого</t>
        </is>
      </c>
      <c r="Q298" s="654" t="n"/>
      <c r="R298" s="654" t="n"/>
      <c r="S298" s="654" t="n"/>
      <c r="T298" s="654" t="n"/>
      <c r="U298" s="654" t="n"/>
      <c r="V298" s="655" t="n"/>
      <c r="W298" s="42" t="inlineStr">
        <is>
          <t>кг</t>
        </is>
      </c>
      <c r="X298" s="694">
        <f>IFERROR(SUM(X296:X296),"0")</f>
        <v/>
      </c>
      <c r="Y298" s="694">
        <f>IFERROR(SUM(Y296:Y296),"0")</f>
        <v/>
      </c>
      <c r="Z298" s="42" t="n"/>
      <c r="AA298" s="695" t="n"/>
      <c r="AB298" s="695" t="n"/>
      <c r="AC298" s="695" t="n"/>
    </row>
    <row r="299" ht="27.75" customHeight="1">
      <c r="A299" s="429" t="inlineStr">
        <is>
          <t>Баварушка</t>
        </is>
      </c>
      <c r="B299" s="684" t="n"/>
      <c r="C299" s="684" t="n"/>
      <c r="D299" s="684" t="n"/>
      <c r="E299" s="684" t="n"/>
      <c r="F299" s="684" t="n"/>
      <c r="G299" s="684" t="n"/>
      <c r="H299" s="684" t="n"/>
      <c r="I299" s="684" t="n"/>
      <c r="J299" s="684" t="n"/>
      <c r="K299" s="684" t="n"/>
      <c r="L299" s="684" t="n"/>
      <c r="M299" s="684" t="n"/>
      <c r="N299" s="684" t="n"/>
      <c r="O299" s="684" t="n"/>
      <c r="P299" s="684" t="n"/>
      <c r="Q299" s="684" t="n"/>
      <c r="R299" s="684" t="n"/>
      <c r="S299" s="684" t="n"/>
      <c r="T299" s="684" t="n"/>
      <c r="U299" s="684" t="n"/>
      <c r="V299" s="684" t="n"/>
      <c r="W299" s="684" t="n"/>
      <c r="X299" s="684" t="n"/>
      <c r="Y299" s="684" t="n"/>
      <c r="Z299" s="684" t="n"/>
      <c r="AA299" s="54" t="n"/>
      <c r="AB299" s="54" t="n"/>
      <c r="AC299" s="54" t="n"/>
    </row>
    <row r="300" ht="16.5" customHeight="1">
      <c r="A300" s="430" t="inlineStr">
        <is>
          <t>Филейбургская</t>
        </is>
      </c>
      <c r="B300" s="397" t="n"/>
      <c r="C300" s="397" t="n"/>
      <c r="D300" s="397" t="n"/>
      <c r="E300" s="397" t="n"/>
      <c r="F300" s="397" t="n"/>
      <c r="G300" s="397" t="n"/>
      <c r="H300" s="397" t="n"/>
      <c r="I300" s="397" t="n"/>
      <c r="J300" s="397" t="n"/>
      <c r="K300" s="397" t="n"/>
      <c r="L300" s="397" t="n"/>
      <c r="M300" s="397" t="n"/>
      <c r="N300" s="397" t="n"/>
      <c r="O300" s="397" t="n"/>
      <c r="P300" s="397" t="n"/>
      <c r="Q300" s="397" t="n"/>
      <c r="R300" s="397" t="n"/>
      <c r="S300" s="397" t="n"/>
      <c r="T300" s="397" t="n"/>
      <c r="U300" s="397" t="n"/>
      <c r="V300" s="397" t="n"/>
      <c r="W300" s="397" t="n"/>
      <c r="X300" s="397" t="n"/>
      <c r="Y300" s="397" t="n"/>
      <c r="Z300" s="397" t="n"/>
      <c r="AA300" s="430" t="n"/>
      <c r="AB300" s="430" t="n"/>
      <c r="AC300" s="430" t="n"/>
    </row>
    <row r="301" ht="14.25" customHeight="1">
      <c r="A301" s="400" t="inlineStr">
        <is>
          <t>Копченые колбасы</t>
        </is>
      </c>
      <c r="B301" s="397" t="n"/>
      <c r="C301" s="397" t="n"/>
      <c r="D301" s="397" t="n"/>
      <c r="E301" s="397" t="n"/>
      <c r="F301" s="397" t="n"/>
      <c r="G301" s="397" t="n"/>
      <c r="H301" s="397" t="n"/>
      <c r="I301" s="397" t="n"/>
      <c r="J301" s="397" t="n"/>
      <c r="K301" s="397" t="n"/>
      <c r="L301" s="397" t="n"/>
      <c r="M301" s="397" t="n"/>
      <c r="N301" s="397" t="n"/>
      <c r="O301" s="397" t="n"/>
      <c r="P301" s="397" t="n"/>
      <c r="Q301" s="397" t="n"/>
      <c r="R301" s="397" t="n"/>
      <c r="S301" s="397" t="n"/>
      <c r="T301" s="397" t="n"/>
      <c r="U301" s="397" t="n"/>
      <c r="V301" s="397" t="n"/>
      <c r="W301" s="397" t="n"/>
      <c r="X301" s="397" t="n"/>
      <c r="Y301" s="397" t="n"/>
      <c r="Z301" s="397" t="n"/>
      <c r="AA301" s="400" t="n"/>
      <c r="AB301" s="400" t="n"/>
      <c r="AC301" s="400" t="n"/>
    </row>
    <row r="302" ht="27" customHeight="1">
      <c r="A302" s="63" t="inlineStr">
        <is>
          <t>SU002614</t>
        </is>
      </c>
      <c r="B302" s="63" t="inlineStr">
        <is>
          <t>P004898</t>
        </is>
      </c>
      <c r="C302" s="36" t="n">
        <v>4301031405</v>
      </c>
      <c r="D302" s="401" t="n">
        <v>4680115886100</v>
      </c>
      <c r="E302" s="646" t="n"/>
      <c r="F302" s="685" t="n">
        <v>0.9</v>
      </c>
      <c r="G302" s="37" t="n">
        <v>6</v>
      </c>
      <c r="H302" s="685" t="n">
        <v>5.4</v>
      </c>
      <c r="I302" s="685" t="n">
        <v>5.61</v>
      </c>
      <c r="J302" s="37" t="n">
        <v>132</v>
      </c>
      <c r="K302" s="37" t="inlineStr">
        <is>
          <t>12</t>
        </is>
      </c>
      <c r="L302" s="37" t="inlineStr"/>
      <c r="M302" s="38" t="inlineStr">
        <is>
          <t>СК2</t>
        </is>
      </c>
      <c r="N302" s="38" t="n"/>
      <c r="O302" s="37" t="n">
        <v>50</v>
      </c>
      <c r="P302" s="823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02" s="687" t="n"/>
      <c r="R302" s="687" t="n"/>
      <c r="S302" s="687" t="n"/>
      <c r="T302" s="688" t="n"/>
      <c r="U302" s="39" t="inlineStr"/>
      <c r="V302" s="39" t="inlineStr"/>
      <c r="W302" s="40" t="inlineStr">
        <is>
          <t>кг</t>
        </is>
      </c>
      <c r="X302" s="689" t="n">
        <v>0</v>
      </c>
      <c r="Y302" s="690">
        <f>IFERROR(IF(X302="",0,CEILING((X302/$H302),1)*$H302),"")</f>
        <v/>
      </c>
      <c r="Z302" s="41">
        <f>IFERROR(IF(Y302=0,"",ROUNDUP(Y302/H302,0)*0.00902),"")</f>
        <v/>
      </c>
      <c r="AA302" s="68" t="inlineStr"/>
      <c r="AB302" s="69" t="inlineStr"/>
      <c r="AC302" s="344" t="inlineStr">
        <is>
          <t>ЕАЭС N RU Д-RU.РА02.В.65596/23</t>
        </is>
      </c>
      <c r="AG302" s="78" t="n"/>
      <c r="AJ302" s="84" t="inlineStr"/>
      <c r="AK302" s="84" t="n">
        <v>0</v>
      </c>
      <c r="BB302" s="345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 ht="27" customHeight="1">
      <c r="A303" s="63" t="inlineStr">
        <is>
          <t>SU002615</t>
        </is>
      </c>
      <c r="B303" s="63" t="inlineStr">
        <is>
          <t>P004687</t>
        </is>
      </c>
      <c r="C303" s="36" t="n">
        <v>4301031382</v>
      </c>
      <c r="D303" s="401" t="n">
        <v>4680115886117</v>
      </c>
      <c r="E303" s="646" t="n"/>
      <c r="F303" s="685" t="n">
        <v>0.9</v>
      </c>
      <c r="G303" s="37" t="n">
        <v>6</v>
      </c>
      <c r="H303" s="685" t="n">
        <v>5.4</v>
      </c>
      <c r="I303" s="685" t="n">
        <v>5.61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СК2</t>
        </is>
      </c>
      <c r="N303" s="38" t="n"/>
      <c r="O303" s="37" t="n">
        <v>50</v>
      </c>
      <c r="P303" s="824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03" s="687" t="n"/>
      <c r="R303" s="687" t="n"/>
      <c r="S303" s="687" t="n"/>
      <c r="T303" s="688" t="n"/>
      <c r="U303" s="39" t="inlineStr"/>
      <c r="V303" s="39" t="inlineStr"/>
      <c r="W303" s="40" t="inlineStr">
        <is>
          <t>кг</t>
        </is>
      </c>
      <c r="X303" s="689" t="n">
        <v>0</v>
      </c>
      <c r="Y303" s="690">
        <f>IFERROR(IF(X303="",0,CEILING((X303/$H303),1)*$H303),"")</f>
        <v/>
      </c>
      <c r="Z303" s="41">
        <f>IFERROR(IF(Y303=0,"",ROUNDUP(Y303/H303,0)*0.00902),"")</f>
        <v/>
      </c>
      <c r="AA303" s="68" t="inlineStr"/>
      <c r="AB303" s="69" t="inlineStr"/>
      <c r="AC303" s="346" t="inlineStr">
        <is>
          <t>ЕАЭС N RU Д-RU.РА02.В.66942/23</t>
        </is>
      </c>
      <c r="AG303" s="78" t="n"/>
      <c r="AJ303" s="84" t="inlineStr"/>
      <c r="AK303" s="84" t="n">
        <v>0</v>
      </c>
      <c r="BB303" s="347" t="inlineStr">
        <is>
          <t>КИ</t>
        </is>
      </c>
      <c r="BM303" s="78">
        <f>IFERROR(X303*I303/H303,"0")</f>
        <v/>
      </c>
      <c r="BN303" s="78">
        <f>IFERROR(Y303*I303/H303,"0")</f>
        <v/>
      </c>
      <c r="BO303" s="78">
        <f>IFERROR(1/J303*(X303/H303),"0")</f>
        <v/>
      </c>
      <c r="BP303" s="78">
        <f>IFERROR(1/J303*(Y303/H303),"0")</f>
        <v/>
      </c>
    </row>
    <row r="304" ht="27" customHeight="1">
      <c r="A304" s="63" t="inlineStr">
        <is>
          <t>SU002615</t>
        </is>
      </c>
      <c r="B304" s="63" t="inlineStr">
        <is>
          <t>P004899</t>
        </is>
      </c>
      <c r="C304" s="36" t="n">
        <v>4301031406</v>
      </c>
      <c r="D304" s="401" t="n">
        <v>4680115886117</v>
      </c>
      <c r="E304" s="646" t="n"/>
      <c r="F304" s="685" t="n">
        <v>0.9</v>
      </c>
      <c r="G304" s="37" t="n">
        <v>6</v>
      </c>
      <c r="H304" s="685" t="n">
        <v>5.4</v>
      </c>
      <c r="I304" s="685" t="n">
        <v>5.61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СК2</t>
        </is>
      </c>
      <c r="N304" s="38" t="n"/>
      <c r="O304" s="37" t="n">
        <v>50</v>
      </c>
      <c r="P304" s="825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04" s="687" t="n"/>
      <c r="R304" s="687" t="n"/>
      <c r="S304" s="687" t="n"/>
      <c r="T304" s="688" t="n"/>
      <c r="U304" s="39" t="inlineStr"/>
      <c r="V304" s="39" t="inlineStr"/>
      <c r="W304" s="40" t="inlineStr">
        <is>
          <t>кг</t>
        </is>
      </c>
      <c r="X304" s="689" t="n">
        <v>0</v>
      </c>
      <c r="Y304" s="690">
        <f>IFERROR(IF(X304="",0,CEILING((X304/$H304),1)*$H304),"")</f>
        <v/>
      </c>
      <c r="Z304" s="41">
        <f>IFERROR(IF(Y304=0,"",ROUNDUP(Y304/H304,0)*0.00902),"")</f>
        <v/>
      </c>
      <c r="AA304" s="68" t="inlineStr"/>
      <c r="AB304" s="69" t="inlineStr"/>
      <c r="AC304" s="348" t="inlineStr">
        <is>
          <t>ЕАЭС N RU Д-RU.РА02.В.66942/23</t>
        </is>
      </c>
      <c r="AG304" s="78" t="n"/>
      <c r="AJ304" s="84" t="inlineStr"/>
      <c r="AK304" s="84" t="n">
        <v>0</v>
      </c>
      <c r="BB304" s="349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SU002606</t>
        </is>
      </c>
      <c r="B305" s="63" t="inlineStr">
        <is>
          <t>P004521</t>
        </is>
      </c>
      <c r="C305" s="36" t="n">
        <v>4301031358</v>
      </c>
      <c r="D305" s="401" t="n">
        <v>4607091389531</v>
      </c>
      <c r="E305" s="646" t="n"/>
      <c r="F305" s="685" t="n">
        <v>0.35</v>
      </c>
      <c r="G305" s="37" t="n">
        <v>6</v>
      </c>
      <c r="H305" s="685" t="n">
        <v>2.1</v>
      </c>
      <c r="I305" s="685" t="n">
        <v>2.23</v>
      </c>
      <c r="J305" s="37" t="n">
        <v>234</v>
      </c>
      <c r="K305" s="37" t="inlineStr">
        <is>
          <t>18</t>
        </is>
      </c>
      <c r="L305" s="37" t="inlineStr"/>
      <c r="M305" s="38" t="inlineStr">
        <is>
          <t>СК2</t>
        </is>
      </c>
      <c r="N305" s="38" t="n"/>
      <c r="O305" s="37" t="n">
        <v>50</v>
      </c>
      <c r="P305" s="82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305" s="687" t="n"/>
      <c r="R305" s="687" t="n"/>
      <c r="S305" s="687" t="n"/>
      <c r="T305" s="688" t="n"/>
      <c r="U305" s="39" t="inlineStr"/>
      <c r="V305" s="39" t="inlineStr"/>
      <c r="W305" s="40" t="inlineStr">
        <is>
          <t>кг</t>
        </is>
      </c>
      <c r="X305" s="689" t="n">
        <v>0</v>
      </c>
      <c r="Y305" s="690">
        <f>IFERROR(IF(X305="",0,CEILING((X305/$H305),1)*$H305),"")</f>
        <v/>
      </c>
      <c r="Z305" s="41">
        <f>IFERROR(IF(Y305=0,"",ROUNDUP(Y305/H305,0)*0.00502),"")</f>
        <v/>
      </c>
      <c r="AA305" s="68" t="inlineStr"/>
      <c r="AB305" s="69" t="inlineStr"/>
      <c r="AC305" s="350" t="inlineStr">
        <is>
          <t>ЕАЭС N RU Д-RU.РА02.В.66890/23</t>
        </is>
      </c>
      <c r="AG305" s="78" t="n"/>
      <c r="AJ305" s="84" t="inlineStr"/>
      <c r="AK305" s="84" t="n">
        <v>0</v>
      </c>
      <c r="BB305" s="351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>
      <c r="A306" s="410" t="n"/>
      <c r="B306" s="397" t="n"/>
      <c r="C306" s="397" t="n"/>
      <c r="D306" s="397" t="n"/>
      <c r="E306" s="397" t="n"/>
      <c r="F306" s="397" t="n"/>
      <c r="G306" s="397" t="n"/>
      <c r="H306" s="397" t="n"/>
      <c r="I306" s="397" t="n"/>
      <c r="J306" s="397" t="n"/>
      <c r="K306" s="397" t="n"/>
      <c r="L306" s="397" t="n"/>
      <c r="M306" s="397" t="n"/>
      <c r="N306" s="397" t="n"/>
      <c r="O306" s="692" t="n"/>
      <c r="P306" s="693" t="inlineStr">
        <is>
          <t>Итого</t>
        </is>
      </c>
      <c r="Q306" s="654" t="n"/>
      <c r="R306" s="654" t="n"/>
      <c r="S306" s="654" t="n"/>
      <c r="T306" s="654" t="n"/>
      <c r="U306" s="654" t="n"/>
      <c r="V306" s="655" t="n"/>
      <c r="W306" s="42" t="inlineStr">
        <is>
          <t>кор</t>
        </is>
      </c>
      <c r="X306" s="694">
        <f>IFERROR(X302/H302,"0")+IFERROR(X303/H303,"0")+IFERROR(X304/H304,"0")+IFERROR(X305/H305,"0")</f>
        <v/>
      </c>
      <c r="Y306" s="694">
        <f>IFERROR(Y302/H302,"0")+IFERROR(Y303/H303,"0")+IFERROR(Y304/H304,"0")+IFERROR(Y305/H305,"0")</f>
        <v/>
      </c>
      <c r="Z306" s="694">
        <f>IFERROR(IF(Z302="",0,Z302),"0")+IFERROR(IF(Z303="",0,Z303),"0")+IFERROR(IF(Z304="",0,Z304),"0")+IFERROR(IF(Z305="",0,Z305),"0")</f>
        <v/>
      </c>
      <c r="AA306" s="695" t="n"/>
      <c r="AB306" s="695" t="n"/>
      <c r="AC306" s="695" t="n"/>
    </row>
    <row r="307">
      <c r="A307" s="397" t="n"/>
      <c r="B307" s="397" t="n"/>
      <c r="C307" s="397" t="n"/>
      <c r="D307" s="397" t="n"/>
      <c r="E307" s="397" t="n"/>
      <c r="F307" s="397" t="n"/>
      <c r="G307" s="397" t="n"/>
      <c r="H307" s="397" t="n"/>
      <c r="I307" s="397" t="n"/>
      <c r="J307" s="397" t="n"/>
      <c r="K307" s="397" t="n"/>
      <c r="L307" s="397" t="n"/>
      <c r="M307" s="397" t="n"/>
      <c r="N307" s="397" t="n"/>
      <c r="O307" s="692" t="n"/>
      <c r="P307" s="693" t="inlineStr">
        <is>
          <t>Итого</t>
        </is>
      </c>
      <c r="Q307" s="654" t="n"/>
      <c r="R307" s="654" t="n"/>
      <c r="S307" s="654" t="n"/>
      <c r="T307" s="654" t="n"/>
      <c r="U307" s="654" t="n"/>
      <c r="V307" s="655" t="n"/>
      <c r="W307" s="42" t="inlineStr">
        <is>
          <t>кг</t>
        </is>
      </c>
      <c r="X307" s="694">
        <f>IFERROR(SUM(X302:X305),"0")</f>
        <v/>
      </c>
      <c r="Y307" s="694">
        <f>IFERROR(SUM(Y302:Y305),"0")</f>
        <v/>
      </c>
      <c r="Z307" s="42" t="n"/>
      <c r="AA307" s="695" t="n"/>
      <c r="AB307" s="695" t="n"/>
      <c r="AC307" s="695" t="n"/>
    </row>
    <row r="308" ht="14.25" customHeight="1">
      <c r="A308" s="400" t="inlineStr">
        <is>
          <t>Сосиски</t>
        </is>
      </c>
      <c r="B308" s="397" t="n"/>
      <c r="C308" s="397" t="n"/>
      <c r="D308" s="397" t="n"/>
      <c r="E308" s="397" t="n"/>
      <c r="F308" s="397" t="n"/>
      <c r="G308" s="397" t="n"/>
      <c r="H308" s="397" t="n"/>
      <c r="I308" s="397" t="n"/>
      <c r="J308" s="397" t="n"/>
      <c r="K308" s="397" t="n"/>
      <c r="L308" s="397" t="n"/>
      <c r="M308" s="397" t="n"/>
      <c r="N308" s="397" t="n"/>
      <c r="O308" s="397" t="n"/>
      <c r="P308" s="397" t="n"/>
      <c r="Q308" s="397" t="n"/>
      <c r="R308" s="397" t="n"/>
      <c r="S308" s="397" t="n"/>
      <c r="T308" s="397" t="n"/>
      <c r="U308" s="397" t="n"/>
      <c r="V308" s="397" t="n"/>
      <c r="W308" s="397" t="n"/>
      <c r="X308" s="397" t="n"/>
      <c r="Y308" s="397" t="n"/>
      <c r="Z308" s="397" t="n"/>
      <c r="AA308" s="400" t="n"/>
      <c r="AB308" s="400" t="n"/>
      <c r="AC308" s="400" t="n"/>
    </row>
    <row r="309" ht="27" customHeight="1">
      <c r="A309" s="63" t="inlineStr">
        <is>
          <t>SU002285</t>
        </is>
      </c>
      <c r="B309" s="63" t="inlineStr">
        <is>
          <t>P002969</t>
        </is>
      </c>
      <c r="C309" s="36" t="n">
        <v>4301051284</v>
      </c>
      <c r="D309" s="401" t="n">
        <v>4607091384352</v>
      </c>
      <c r="E309" s="646" t="n"/>
      <c r="F309" s="685" t="n">
        <v>0.6</v>
      </c>
      <c r="G309" s="37" t="n">
        <v>4</v>
      </c>
      <c r="H309" s="685" t="n">
        <v>2.4</v>
      </c>
      <c r="I309" s="685" t="n">
        <v>2.646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СК3</t>
        </is>
      </c>
      <c r="N309" s="38" t="n"/>
      <c r="O309" s="37" t="n">
        <v>45</v>
      </c>
      <c r="P309" s="82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309" s="687" t="n"/>
      <c r="R309" s="687" t="n"/>
      <c r="S309" s="687" t="n"/>
      <c r="T309" s="688" t="n"/>
      <c r="U309" s="39" t="inlineStr"/>
      <c r="V309" s="39" t="inlineStr"/>
      <c r="W309" s="40" t="inlineStr">
        <is>
          <t>кг</t>
        </is>
      </c>
      <c r="X309" s="689" t="n">
        <v>80</v>
      </c>
      <c r="Y309" s="690">
        <f>IFERROR(IF(X309="",0,CEILING((X309/$H309),1)*$H309),"")</f>
        <v/>
      </c>
      <c r="Z309" s="41">
        <f>IFERROR(IF(Y309=0,"",ROUNDUP(Y309/H309,0)*0.00902),"")</f>
        <v/>
      </c>
      <c r="AA309" s="68" t="inlineStr"/>
      <c r="AB309" s="69" t="inlineStr"/>
      <c r="AC309" s="352" t="inlineStr">
        <is>
          <t>ЕАЭС N RU Д-RU.РА02.В.28328/22</t>
        </is>
      </c>
      <c r="AG309" s="78" t="n"/>
      <c r="AJ309" s="84" t="inlineStr"/>
      <c r="AK309" s="84" t="n">
        <v>0</v>
      </c>
      <c r="BB309" s="35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SU002557</t>
        </is>
      </c>
      <c r="B310" s="63" t="inlineStr">
        <is>
          <t>P003318</t>
        </is>
      </c>
      <c r="C310" s="36" t="n">
        <v>4301051431</v>
      </c>
      <c r="D310" s="401" t="n">
        <v>4607091389654</v>
      </c>
      <c r="E310" s="646" t="n"/>
      <c r="F310" s="685" t="n">
        <v>0.33</v>
      </c>
      <c r="G310" s="37" t="n">
        <v>6</v>
      </c>
      <c r="H310" s="685" t="n">
        <v>1.98</v>
      </c>
      <c r="I310" s="685" t="n">
        <v>2.238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СК3</t>
        </is>
      </c>
      <c r="N310" s="38" t="n"/>
      <c r="O310" s="37" t="n">
        <v>45</v>
      </c>
      <c r="P310" s="82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310" s="687" t="n"/>
      <c r="R310" s="687" t="n"/>
      <c r="S310" s="687" t="n"/>
      <c r="T310" s="688" t="n"/>
      <c r="U310" s="39" t="inlineStr"/>
      <c r="V310" s="39" t="inlineStr"/>
      <c r="W310" s="40" t="inlineStr">
        <is>
          <t>кг</t>
        </is>
      </c>
      <c r="X310" s="689" t="n">
        <v>0</v>
      </c>
      <c r="Y310" s="690">
        <f>IFERROR(IF(X310="",0,CEILING((X310/$H310),1)*$H310),"")</f>
        <v/>
      </c>
      <c r="Z310" s="41">
        <f>IFERROR(IF(Y310=0,"",ROUNDUP(Y310/H310,0)*0.00651),"")</f>
        <v/>
      </c>
      <c r="AA310" s="68" t="inlineStr"/>
      <c r="AB310" s="69" t="inlineStr"/>
      <c r="AC310" s="354" t="inlineStr">
        <is>
          <t>ЕАЭС N RU Д-RU.РА01.В.79709/21</t>
        </is>
      </c>
      <c r="AG310" s="78" t="n"/>
      <c r="AJ310" s="84" t="inlineStr"/>
      <c r="AK310" s="84" t="n">
        <v>0</v>
      </c>
      <c r="BB310" s="35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410" t="n"/>
      <c r="B311" s="397" t="n"/>
      <c r="C311" s="397" t="n"/>
      <c r="D311" s="397" t="n"/>
      <c r="E311" s="397" t="n"/>
      <c r="F311" s="397" t="n"/>
      <c r="G311" s="397" t="n"/>
      <c r="H311" s="397" t="n"/>
      <c r="I311" s="397" t="n"/>
      <c r="J311" s="397" t="n"/>
      <c r="K311" s="397" t="n"/>
      <c r="L311" s="397" t="n"/>
      <c r="M311" s="397" t="n"/>
      <c r="N311" s="397" t="n"/>
      <c r="O311" s="692" t="n"/>
      <c r="P311" s="693" t="inlineStr">
        <is>
          <t>Итого</t>
        </is>
      </c>
      <c r="Q311" s="654" t="n"/>
      <c r="R311" s="654" t="n"/>
      <c r="S311" s="654" t="n"/>
      <c r="T311" s="654" t="n"/>
      <c r="U311" s="654" t="n"/>
      <c r="V311" s="655" t="n"/>
      <c r="W311" s="42" t="inlineStr">
        <is>
          <t>кор</t>
        </is>
      </c>
      <c r="X311" s="694">
        <f>IFERROR(X309/H309,"0")+IFERROR(X310/H310,"0")</f>
        <v/>
      </c>
      <c r="Y311" s="694">
        <f>IFERROR(Y309/H309,"0")+IFERROR(Y310/H310,"0")</f>
        <v/>
      </c>
      <c r="Z311" s="694">
        <f>IFERROR(IF(Z309="",0,Z309),"0")+IFERROR(IF(Z310="",0,Z310),"0")</f>
        <v/>
      </c>
      <c r="AA311" s="695" t="n"/>
      <c r="AB311" s="695" t="n"/>
      <c r="AC311" s="695" t="n"/>
    </row>
    <row r="312">
      <c r="A312" s="397" t="n"/>
      <c r="B312" s="397" t="n"/>
      <c r="C312" s="397" t="n"/>
      <c r="D312" s="397" t="n"/>
      <c r="E312" s="397" t="n"/>
      <c r="F312" s="397" t="n"/>
      <c r="G312" s="397" t="n"/>
      <c r="H312" s="397" t="n"/>
      <c r="I312" s="397" t="n"/>
      <c r="J312" s="397" t="n"/>
      <c r="K312" s="397" t="n"/>
      <c r="L312" s="397" t="n"/>
      <c r="M312" s="397" t="n"/>
      <c r="N312" s="397" t="n"/>
      <c r="O312" s="692" t="n"/>
      <c r="P312" s="693" t="inlineStr">
        <is>
          <t>Итого</t>
        </is>
      </c>
      <c r="Q312" s="654" t="n"/>
      <c r="R312" s="654" t="n"/>
      <c r="S312" s="654" t="n"/>
      <c r="T312" s="654" t="n"/>
      <c r="U312" s="654" t="n"/>
      <c r="V312" s="655" t="n"/>
      <c r="W312" s="42" t="inlineStr">
        <is>
          <t>кг</t>
        </is>
      </c>
      <c r="X312" s="694">
        <f>IFERROR(SUM(X309:X310),"0")</f>
        <v/>
      </c>
      <c r="Y312" s="694">
        <f>IFERROR(SUM(Y309:Y310),"0")</f>
        <v/>
      </c>
      <c r="Z312" s="42" t="n"/>
      <c r="AA312" s="695" t="n"/>
      <c r="AB312" s="695" t="n"/>
      <c r="AC312" s="695" t="n"/>
    </row>
    <row r="313" ht="16.5" customHeight="1">
      <c r="A313" s="430" t="inlineStr">
        <is>
          <t>Балыкбургская</t>
        </is>
      </c>
      <c r="B313" s="397" t="n"/>
      <c r="C313" s="397" t="n"/>
      <c r="D313" s="397" t="n"/>
      <c r="E313" s="397" t="n"/>
      <c r="F313" s="397" t="n"/>
      <c r="G313" s="397" t="n"/>
      <c r="H313" s="397" t="n"/>
      <c r="I313" s="397" t="n"/>
      <c r="J313" s="397" t="n"/>
      <c r="K313" s="397" t="n"/>
      <c r="L313" s="397" t="n"/>
      <c r="M313" s="397" t="n"/>
      <c r="N313" s="397" t="n"/>
      <c r="O313" s="397" t="n"/>
      <c r="P313" s="397" t="n"/>
      <c r="Q313" s="397" t="n"/>
      <c r="R313" s="397" t="n"/>
      <c r="S313" s="397" t="n"/>
      <c r="T313" s="397" t="n"/>
      <c r="U313" s="397" t="n"/>
      <c r="V313" s="397" t="n"/>
      <c r="W313" s="397" t="n"/>
      <c r="X313" s="397" t="n"/>
      <c r="Y313" s="397" t="n"/>
      <c r="Z313" s="397" t="n"/>
      <c r="AA313" s="430" t="n"/>
      <c r="AB313" s="430" t="n"/>
      <c r="AC313" s="430" t="n"/>
    </row>
    <row r="314" ht="14.25" customHeight="1">
      <c r="A314" s="400" t="inlineStr">
        <is>
          <t>Ветчины</t>
        </is>
      </c>
      <c r="B314" s="397" t="n"/>
      <c r="C314" s="397" t="n"/>
      <c r="D314" s="397" t="n"/>
      <c r="E314" s="397" t="n"/>
      <c r="F314" s="397" t="n"/>
      <c r="G314" s="397" t="n"/>
      <c r="H314" s="397" t="n"/>
      <c r="I314" s="397" t="n"/>
      <c r="J314" s="397" t="n"/>
      <c r="K314" s="397" t="n"/>
      <c r="L314" s="397" t="n"/>
      <c r="M314" s="397" t="n"/>
      <c r="N314" s="397" t="n"/>
      <c r="O314" s="397" t="n"/>
      <c r="P314" s="397" t="n"/>
      <c r="Q314" s="397" t="n"/>
      <c r="R314" s="397" t="n"/>
      <c r="S314" s="397" t="n"/>
      <c r="T314" s="397" t="n"/>
      <c r="U314" s="397" t="n"/>
      <c r="V314" s="397" t="n"/>
      <c r="W314" s="397" t="n"/>
      <c r="X314" s="397" t="n"/>
      <c r="Y314" s="397" t="n"/>
      <c r="Z314" s="397" t="n"/>
      <c r="AA314" s="400" t="n"/>
      <c r="AB314" s="400" t="n"/>
      <c r="AC314" s="400" t="n"/>
    </row>
    <row r="315" ht="27" customHeight="1">
      <c r="A315" s="63" t="inlineStr">
        <is>
          <t>SU003500</t>
        </is>
      </c>
      <c r="B315" s="63" t="inlineStr">
        <is>
          <t>P004400</t>
        </is>
      </c>
      <c r="C315" s="36" t="n">
        <v>4301020319</v>
      </c>
      <c r="D315" s="401" t="n">
        <v>4680115885240</v>
      </c>
      <c r="E315" s="646" t="n"/>
      <c r="F315" s="685" t="n">
        <v>0.35</v>
      </c>
      <c r="G315" s="37" t="n">
        <v>6</v>
      </c>
      <c r="H315" s="685" t="n">
        <v>2.1</v>
      </c>
      <c r="I315" s="685" t="n">
        <v>2.31</v>
      </c>
      <c r="J315" s="37" t="n">
        <v>182</v>
      </c>
      <c r="K315" s="37" t="inlineStr">
        <is>
          <t>14</t>
        </is>
      </c>
      <c r="L315" s="37" t="inlineStr"/>
      <c r="M315" s="38" t="inlineStr">
        <is>
          <t>СК2</t>
        </is>
      </c>
      <c r="N315" s="38" t="n"/>
      <c r="O315" s="37" t="n">
        <v>40</v>
      </c>
      <c r="P315" s="829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315" s="687" t="n"/>
      <c r="R315" s="687" t="n"/>
      <c r="S315" s="687" t="n"/>
      <c r="T315" s="688" t="n"/>
      <c r="U315" s="39" t="inlineStr"/>
      <c r="V315" s="39" t="inlineStr"/>
      <c r="W315" s="40" t="inlineStr">
        <is>
          <t>кг</t>
        </is>
      </c>
      <c r="X315" s="689" t="n">
        <v>0</v>
      </c>
      <c r="Y315" s="690">
        <f>IFERROR(IF(X315="",0,CEILING((X315/$H315),1)*$H315),"")</f>
        <v/>
      </c>
      <c r="Z315" s="41">
        <f>IFERROR(IF(Y315=0,"",ROUNDUP(Y315/H315,0)*0.00651),"")</f>
        <v/>
      </c>
      <c r="AA315" s="68" t="inlineStr"/>
      <c r="AB315" s="69" t="inlineStr"/>
      <c r="AC315" s="356" t="inlineStr">
        <is>
          <t>ЕАЭС N RU Д-RU.РА01.В.42181/22</t>
        </is>
      </c>
      <c r="AG315" s="78" t="n"/>
      <c r="AJ315" s="84" t="inlineStr"/>
      <c r="AK315" s="84" t="n">
        <v>0</v>
      </c>
      <c r="BB315" s="35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>
      <c r="A316" s="410" t="n"/>
      <c r="B316" s="397" t="n"/>
      <c r="C316" s="397" t="n"/>
      <c r="D316" s="397" t="n"/>
      <c r="E316" s="397" t="n"/>
      <c r="F316" s="397" t="n"/>
      <c r="G316" s="397" t="n"/>
      <c r="H316" s="397" t="n"/>
      <c r="I316" s="397" t="n"/>
      <c r="J316" s="397" t="n"/>
      <c r="K316" s="397" t="n"/>
      <c r="L316" s="397" t="n"/>
      <c r="M316" s="397" t="n"/>
      <c r="N316" s="397" t="n"/>
      <c r="O316" s="692" t="n"/>
      <c r="P316" s="693" t="inlineStr">
        <is>
          <t>Итого</t>
        </is>
      </c>
      <c r="Q316" s="654" t="n"/>
      <c r="R316" s="654" t="n"/>
      <c r="S316" s="654" t="n"/>
      <c r="T316" s="654" t="n"/>
      <c r="U316" s="654" t="n"/>
      <c r="V316" s="655" t="n"/>
      <c r="W316" s="42" t="inlineStr">
        <is>
          <t>кор</t>
        </is>
      </c>
      <c r="X316" s="694">
        <f>IFERROR(X315/H315,"0")</f>
        <v/>
      </c>
      <c r="Y316" s="694">
        <f>IFERROR(Y315/H315,"0")</f>
        <v/>
      </c>
      <c r="Z316" s="694">
        <f>IFERROR(IF(Z315="",0,Z315),"0")</f>
        <v/>
      </c>
      <c r="AA316" s="695" t="n"/>
      <c r="AB316" s="695" t="n"/>
      <c r="AC316" s="695" t="n"/>
    </row>
    <row r="317">
      <c r="A317" s="397" t="n"/>
      <c r="B317" s="397" t="n"/>
      <c r="C317" s="397" t="n"/>
      <c r="D317" s="397" t="n"/>
      <c r="E317" s="397" t="n"/>
      <c r="F317" s="397" t="n"/>
      <c r="G317" s="397" t="n"/>
      <c r="H317" s="397" t="n"/>
      <c r="I317" s="397" t="n"/>
      <c r="J317" s="397" t="n"/>
      <c r="K317" s="397" t="n"/>
      <c r="L317" s="397" t="n"/>
      <c r="M317" s="397" t="n"/>
      <c r="N317" s="397" t="n"/>
      <c r="O317" s="692" t="n"/>
      <c r="P317" s="693" t="inlineStr">
        <is>
          <t>Итого</t>
        </is>
      </c>
      <c r="Q317" s="654" t="n"/>
      <c r="R317" s="654" t="n"/>
      <c r="S317" s="654" t="n"/>
      <c r="T317" s="654" t="n"/>
      <c r="U317" s="654" t="n"/>
      <c r="V317" s="655" t="n"/>
      <c r="W317" s="42" t="inlineStr">
        <is>
          <t>кг</t>
        </is>
      </c>
      <c r="X317" s="694">
        <f>IFERROR(SUM(X315:X315),"0")</f>
        <v/>
      </c>
      <c r="Y317" s="694">
        <f>IFERROR(SUM(Y315:Y315),"0")</f>
        <v/>
      </c>
      <c r="Z317" s="42" t="n"/>
      <c r="AA317" s="695" t="n"/>
      <c r="AB317" s="695" t="n"/>
      <c r="AC317" s="695" t="n"/>
    </row>
    <row r="318" ht="14.25" customHeight="1">
      <c r="A318" s="400" t="inlineStr">
        <is>
          <t>Копченые колбасы</t>
        </is>
      </c>
      <c r="B318" s="397" t="n"/>
      <c r="C318" s="397" t="n"/>
      <c r="D318" s="397" t="n"/>
      <c r="E318" s="397" t="n"/>
      <c r="F318" s="397" t="n"/>
      <c r="G318" s="397" t="n"/>
      <c r="H318" s="397" t="n"/>
      <c r="I318" s="397" t="n"/>
      <c r="J318" s="397" t="n"/>
      <c r="K318" s="397" t="n"/>
      <c r="L318" s="397" t="n"/>
      <c r="M318" s="397" t="n"/>
      <c r="N318" s="397" t="n"/>
      <c r="O318" s="397" t="n"/>
      <c r="P318" s="397" t="n"/>
      <c r="Q318" s="397" t="n"/>
      <c r="R318" s="397" t="n"/>
      <c r="S318" s="397" t="n"/>
      <c r="T318" s="397" t="n"/>
      <c r="U318" s="397" t="n"/>
      <c r="V318" s="397" t="n"/>
      <c r="W318" s="397" t="n"/>
      <c r="X318" s="397" t="n"/>
      <c r="Y318" s="397" t="n"/>
      <c r="Z318" s="397" t="n"/>
      <c r="AA318" s="400" t="n"/>
      <c r="AB318" s="400" t="n"/>
      <c r="AC318" s="400" t="n"/>
    </row>
    <row r="319" ht="27" customHeight="1">
      <c r="A319" s="63" t="inlineStr">
        <is>
          <t>SU002612</t>
        </is>
      </c>
      <c r="B319" s="63" t="inlineStr">
        <is>
          <t>P004896</t>
        </is>
      </c>
      <c r="C319" s="36" t="n">
        <v>4301031403</v>
      </c>
      <c r="D319" s="401" t="n">
        <v>4680115886094</v>
      </c>
      <c r="E319" s="646" t="n"/>
      <c r="F319" s="685" t="n">
        <v>0.9</v>
      </c>
      <c r="G319" s="37" t="n">
        <v>6</v>
      </c>
      <c r="H319" s="685" t="n">
        <v>5.4</v>
      </c>
      <c r="I319" s="685" t="n">
        <v>5.61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СК1</t>
        </is>
      </c>
      <c r="N319" s="38" t="n"/>
      <c r="O319" s="37" t="n">
        <v>50</v>
      </c>
      <c r="P319" s="830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319" s="687" t="n"/>
      <c r="R319" s="687" t="n"/>
      <c r="S319" s="687" t="n"/>
      <c r="T319" s="688" t="n"/>
      <c r="U319" s="39" t="inlineStr"/>
      <c r="V319" s="39" t="inlineStr"/>
      <c r="W319" s="40" t="inlineStr">
        <is>
          <t>кг</t>
        </is>
      </c>
      <c r="X319" s="689" t="n">
        <v>0</v>
      </c>
      <c r="Y319" s="690">
        <f>IFERROR(IF(X319="",0,CEILING((X319/$H319),1)*$H319),"")</f>
        <v/>
      </c>
      <c r="Z319" s="41">
        <f>IFERROR(IF(Y319=0,"",ROUNDUP(Y319/H319,0)*0.00902),"")</f>
        <v/>
      </c>
      <c r="AA319" s="68" t="inlineStr"/>
      <c r="AB319" s="69" t="inlineStr"/>
      <c r="AC319" s="358" t="inlineStr">
        <is>
          <t>ЕАЭС N RU Д-RU.РА02.В.65356/23, ЕАЭС N RU Д-RU.РА02.В.66890/23</t>
        </is>
      </c>
      <c r="AG319" s="78" t="n"/>
      <c r="AJ319" s="84" t="inlineStr"/>
      <c r="AK319" s="84" t="n">
        <v>0</v>
      </c>
      <c r="BB319" s="359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>
      <c r="A320" s="410" t="n"/>
      <c r="B320" s="397" t="n"/>
      <c r="C320" s="397" t="n"/>
      <c r="D320" s="397" t="n"/>
      <c r="E320" s="397" t="n"/>
      <c r="F320" s="397" t="n"/>
      <c r="G320" s="397" t="n"/>
      <c r="H320" s="397" t="n"/>
      <c r="I320" s="397" t="n"/>
      <c r="J320" s="397" t="n"/>
      <c r="K320" s="397" t="n"/>
      <c r="L320" s="397" t="n"/>
      <c r="M320" s="397" t="n"/>
      <c r="N320" s="397" t="n"/>
      <c r="O320" s="692" t="n"/>
      <c r="P320" s="693" t="inlineStr">
        <is>
          <t>Итого</t>
        </is>
      </c>
      <c r="Q320" s="654" t="n"/>
      <c r="R320" s="654" t="n"/>
      <c r="S320" s="654" t="n"/>
      <c r="T320" s="654" t="n"/>
      <c r="U320" s="654" t="n"/>
      <c r="V320" s="655" t="n"/>
      <c r="W320" s="42" t="inlineStr">
        <is>
          <t>кор</t>
        </is>
      </c>
      <c r="X320" s="694">
        <f>IFERROR(X319/H319,"0")</f>
        <v/>
      </c>
      <c r="Y320" s="694">
        <f>IFERROR(Y319/H319,"0")</f>
        <v/>
      </c>
      <c r="Z320" s="694">
        <f>IFERROR(IF(Z319="",0,Z319),"0")</f>
        <v/>
      </c>
      <c r="AA320" s="695" t="n"/>
      <c r="AB320" s="695" t="n"/>
      <c r="AC320" s="695" t="n"/>
    </row>
    <row r="321">
      <c r="A321" s="397" t="n"/>
      <c r="B321" s="397" t="n"/>
      <c r="C321" s="397" t="n"/>
      <c r="D321" s="397" t="n"/>
      <c r="E321" s="397" t="n"/>
      <c r="F321" s="397" t="n"/>
      <c r="G321" s="397" t="n"/>
      <c r="H321" s="397" t="n"/>
      <c r="I321" s="397" t="n"/>
      <c r="J321" s="397" t="n"/>
      <c r="K321" s="397" t="n"/>
      <c r="L321" s="397" t="n"/>
      <c r="M321" s="397" t="n"/>
      <c r="N321" s="397" t="n"/>
      <c r="O321" s="692" t="n"/>
      <c r="P321" s="693" t="inlineStr">
        <is>
          <t>Итого</t>
        </is>
      </c>
      <c r="Q321" s="654" t="n"/>
      <c r="R321" s="654" t="n"/>
      <c r="S321" s="654" t="n"/>
      <c r="T321" s="654" t="n"/>
      <c r="U321" s="654" t="n"/>
      <c r="V321" s="655" t="n"/>
      <c r="W321" s="42" t="inlineStr">
        <is>
          <t>кг</t>
        </is>
      </c>
      <c r="X321" s="694">
        <f>IFERROR(SUM(X319:X319),"0")</f>
        <v/>
      </c>
      <c r="Y321" s="694">
        <f>IFERROR(SUM(Y319:Y319),"0")</f>
        <v/>
      </c>
      <c r="Z321" s="42" t="n"/>
      <c r="AA321" s="695" t="n"/>
      <c r="AB321" s="695" t="n"/>
      <c r="AC321" s="695" t="n"/>
    </row>
    <row r="322" ht="27.75" customHeight="1">
      <c r="A322" s="429" t="inlineStr">
        <is>
          <t>Дугушка</t>
        </is>
      </c>
      <c r="B322" s="684" t="n"/>
      <c r="C322" s="684" t="n"/>
      <c r="D322" s="684" t="n"/>
      <c r="E322" s="684" t="n"/>
      <c r="F322" s="684" t="n"/>
      <c r="G322" s="684" t="n"/>
      <c r="H322" s="684" t="n"/>
      <c r="I322" s="684" t="n"/>
      <c r="J322" s="684" t="n"/>
      <c r="K322" s="684" t="n"/>
      <c r="L322" s="684" t="n"/>
      <c r="M322" s="684" t="n"/>
      <c r="N322" s="684" t="n"/>
      <c r="O322" s="684" t="n"/>
      <c r="P322" s="684" t="n"/>
      <c r="Q322" s="684" t="n"/>
      <c r="R322" s="684" t="n"/>
      <c r="S322" s="684" t="n"/>
      <c r="T322" s="684" t="n"/>
      <c r="U322" s="684" t="n"/>
      <c r="V322" s="684" t="n"/>
      <c r="W322" s="684" t="n"/>
      <c r="X322" s="684" t="n"/>
      <c r="Y322" s="684" t="n"/>
      <c r="Z322" s="684" t="n"/>
      <c r="AA322" s="54" t="n"/>
      <c r="AB322" s="54" t="n"/>
      <c r="AC322" s="54" t="n"/>
    </row>
    <row r="323" ht="16.5" customHeight="1">
      <c r="A323" s="430" t="inlineStr">
        <is>
          <t>Дугушка</t>
        </is>
      </c>
      <c r="B323" s="397" t="n"/>
      <c r="C323" s="397" t="n"/>
      <c r="D323" s="397" t="n"/>
      <c r="E323" s="397" t="n"/>
      <c r="F323" s="397" t="n"/>
      <c r="G323" s="397" t="n"/>
      <c r="H323" s="397" t="n"/>
      <c r="I323" s="397" t="n"/>
      <c r="J323" s="397" t="n"/>
      <c r="K323" s="397" t="n"/>
      <c r="L323" s="397" t="n"/>
      <c r="M323" s="397" t="n"/>
      <c r="N323" s="397" t="n"/>
      <c r="O323" s="397" t="n"/>
      <c r="P323" s="397" t="n"/>
      <c r="Q323" s="397" t="n"/>
      <c r="R323" s="397" t="n"/>
      <c r="S323" s="397" t="n"/>
      <c r="T323" s="397" t="n"/>
      <c r="U323" s="397" t="n"/>
      <c r="V323" s="397" t="n"/>
      <c r="W323" s="397" t="n"/>
      <c r="X323" s="397" t="n"/>
      <c r="Y323" s="397" t="n"/>
      <c r="Z323" s="397" t="n"/>
      <c r="AA323" s="430" t="n"/>
      <c r="AB323" s="430" t="n"/>
      <c r="AC323" s="430" t="n"/>
    </row>
    <row r="324" ht="14.25" customHeight="1">
      <c r="A324" s="400" t="inlineStr">
        <is>
          <t>Вареные колбасы</t>
        </is>
      </c>
      <c r="B324" s="397" t="n"/>
      <c r="C324" s="397" t="n"/>
      <c r="D324" s="397" t="n"/>
      <c r="E324" s="397" t="n"/>
      <c r="F324" s="397" t="n"/>
      <c r="G324" s="397" t="n"/>
      <c r="H324" s="397" t="n"/>
      <c r="I324" s="397" t="n"/>
      <c r="J324" s="397" t="n"/>
      <c r="K324" s="397" t="n"/>
      <c r="L324" s="397" t="n"/>
      <c r="M324" s="397" t="n"/>
      <c r="N324" s="397" t="n"/>
      <c r="O324" s="397" t="n"/>
      <c r="P324" s="397" t="n"/>
      <c r="Q324" s="397" t="n"/>
      <c r="R324" s="397" t="n"/>
      <c r="S324" s="397" t="n"/>
      <c r="T324" s="397" t="n"/>
      <c r="U324" s="397" t="n"/>
      <c r="V324" s="397" t="n"/>
      <c r="W324" s="397" t="n"/>
      <c r="X324" s="397" t="n"/>
      <c r="Y324" s="397" t="n"/>
      <c r="Z324" s="397" t="n"/>
      <c r="AA324" s="400" t="n"/>
      <c r="AB324" s="400" t="n"/>
      <c r="AC324" s="400" t="n"/>
    </row>
    <row r="325" ht="27" customHeight="1">
      <c r="A325" s="63" t="inlineStr">
        <is>
          <t>SU002011</t>
        </is>
      </c>
      <c r="B325" s="63" t="inlineStr">
        <is>
          <t>P004028</t>
        </is>
      </c>
      <c r="C325" s="36" t="n">
        <v>4301011795</v>
      </c>
      <c r="D325" s="401" t="n">
        <v>4607091389067</v>
      </c>
      <c r="E325" s="646" t="n"/>
      <c r="F325" s="685" t="n">
        <v>0.88</v>
      </c>
      <c r="G325" s="37" t="n">
        <v>6</v>
      </c>
      <c r="H325" s="685" t="n">
        <v>5.28</v>
      </c>
      <c r="I325" s="685" t="n">
        <v>5.64</v>
      </c>
      <c r="J325" s="37" t="n">
        <v>104</v>
      </c>
      <c r="K325" s="37" t="inlineStr">
        <is>
          <t>8</t>
        </is>
      </c>
      <c r="L325" s="37" t="inlineStr"/>
      <c r="M325" s="38" t="inlineStr">
        <is>
          <t>СК1</t>
        </is>
      </c>
      <c r="N325" s="38" t="n"/>
      <c r="O325" s="37" t="n">
        <v>60</v>
      </c>
      <c r="P325" s="831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325" s="687" t="n"/>
      <c r="R325" s="687" t="n"/>
      <c r="S325" s="687" t="n"/>
      <c r="T325" s="688" t="n"/>
      <c r="U325" s="39" t="inlineStr"/>
      <c r="V325" s="39" t="inlineStr"/>
      <c r="W325" s="40" t="inlineStr">
        <is>
          <t>кг</t>
        </is>
      </c>
      <c r="X325" s="689" t="n">
        <v>0</v>
      </c>
      <c r="Y325" s="690">
        <f>IFERROR(IF(X325="",0,CEILING((X325/$H325),1)*$H325),"")</f>
        <v/>
      </c>
      <c r="Z325" s="41">
        <f>IFERROR(IF(Y325=0,"",ROUNDUP(Y325/H325,0)*0.01196),"")</f>
        <v/>
      </c>
      <c r="AA325" s="68" t="inlineStr"/>
      <c r="AB325" s="69" t="inlineStr"/>
      <c r="AC325" s="360" t="inlineStr">
        <is>
          <t>ЕАЭС N RU Д-RU.РА02.В.51456/25</t>
        </is>
      </c>
      <c r="AG325" s="78" t="n"/>
      <c r="AJ325" s="84" t="inlineStr"/>
      <c r="AK325" s="84" t="n">
        <v>0</v>
      </c>
      <c r="BB325" s="361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 ht="27" customHeight="1">
      <c r="A326" s="63" t="inlineStr">
        <is>
          <t>SU002634</t>
        </is>
      </c>
      <c r="B326" s="63" t="inlineStr">
        <is>
          <t>P002989</t>
        </is>
      </c>
      <c r="C326" s="36" t="n">
        <v>4301011376</v>
      </c>
      <c r="D326" s="401" t="n">
        <v>4680115885226</v>
      </c>
      <c r="E326" s="646" t="n"/>
      <c r="F326" s="685" t="n">
        <v>0.88</v>
      </c>
      <c r="G326" s="37" t="n">
        <v>6</v>
      </c>
      <c r="H326" s="685" t="n">
        <v>5.28</v>
      </c>
      <c r="I326" s="685" t="n">
        <v>5.64</v>
      </c>
      <c r="J326" s="37" t="n">
        <v>104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60</v>
      </c>
      <c r="P326" s="83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326" s="687" t="n"/>
      <c r="R326" s="687" t="n"/>
      <c r="S326" s="687" t="n"/>
      <c r="T326" s="688" t="n"/>
      <c r="U326" s="39" t="inlineStr"/>
      <c r="V326" s="39" t="inlineStr"/>
      <c r="W326" s="40" t="inlineStr">
        <is>
          <t>кг</t>
        </is>
      </c>
      <c r="X326" s="689" t="n">
        <v>200</v>
      </c>
      <c r="Y326" s="690">
        <f>IFERROR(IF(X326="",0,CEILING((X326/$H326),1)*$H326),"")</f>
        <v/>
      </c>
      <c r="Z326" s="41">
        <f>IFERROR(IF(Y326=0,"",ROUNDUP(Y326/H326,0)*0.01196),"")</f>
        <v/>
      </c>
      <c r="AA326" s="68" t="inlineStr"/>
      <c r="AB326" s="69" t="inlineStr"/>
      <c r="AC326" s="362" t="inlineStr">
        <is>
          <t>ЕАЭС N RU Д-RU.РА03.В.56116/24</t>
        </is>
      </c>
      <c r="AG326" s="78" t="n"/>
      <c r="AJ326" s="84" t="inlineStr"/>
      <c r="AK326" s="84" t="n">
        <v>0</v>
      </c>
      <c r="BB326" s="363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 ht="16.5" customHeight="1">
      <c r="A327" s="63" t="inlineStr">
        <is>
          <t>SU002998</t>
        </is>
      </c>
      <c r="B327" s="63" t="inlineStr">
        <is>
          <t>P004033</t>
        </is>
      </c>
      <c r="C327" s="36" t="n">
        <v>4301011774</v>
      </c>
      <c r="D327" s="401" t="n">
        <v>4680115884502</v>
      </c>
      <c r="E327" s="646" t="n"/>
      <c r="F327" s="685" t="n">
        <v>0.88</v>
      </c>
      <c r="G327" s="37" t="n">
        <v>6</v>
      </c>
      <c r="H327" s="685" t="n">
        <v>5.28</v>
      </c>
      <c r="I327" s="685" t="n">
        <v>5.64</v>
      </c>
      <c r="J327" s="37" t="n">
        <v>104</v>
      </c>
      <c r="K327" s="37" t="inlineStr">
        <is>
          <t>8</t>
        </is>
      </c>
      <c r="L327" s="37" t="inlineStr"/>
      <c r="M327" s="38" t="inlineStr">
        <is>
          <t>СК1</t>
        </is>
      </c>
      <c r="N327" s="38" t="n"/>
      <c r="O327" s="37" t="n">
        <v>60</v>
      </c>
      <c r="P327" s="83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327" s="687" t="n"/>
      <c r="R327" s="687" t="n"/>
      <c r="S327" s="687" t="n"/>
      <c r="T327" s="688" t="n"/>
      <c r="U327" s="39" t="inlineStr"/>
      <c r="V327" s="39" t="inlineStr"/>
      <c r="W327" s="40" t="inlineStr">
        <is>
          <t>кг</t>
        </is>
      </c>
      <c r="X327" s="689" t="n">
        <v>0</v>
      </c>
      <c r="Y327" s="690">
        <f>IFERROR(IF(X327="",0,CEILING((X327/$H327),1)*$H327),"")</f>
        <v/>
      </c>
      <c r="Z327" s="41">
        <f>IFERROR(IF(Y327=0,"",ROUNDUP(Y327/H327,0)*0.01196),"")</f>
        <v/>
      </c>
      <c r="AA327" s="68" t="inlineStr"/>
      <c r="AB327" s="69" t="inlineStr"/>
      <c r="AC327" s="364" t="inlineStr">
        <is>
          <t>ЕАЭС N RU Д-RU.РА10.В.33801/23</t>
        </is>
      </c>
      <c r="AG327" s="78" t="n"/>
      <c r="AJ327" s="84" t="inlineStr"/>
      <c r="AK327" s="84" t="n">
        <v>0</v>
      </c>
      <c r="BB327" s="365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27" customHeight="1">
      <c r="A328" s="63" t="inlineStr">
        <is>
          <t>SU002010</t>
        </is>
      </c>
      <c r="B328" s="63" t="inlineStr">
        <is>
          <t>P004030</t>
        </is>
      </c>
      <c r="C328" s="36" t="n">
        <v>4301011771</v>
      </c>
      <c r="D328" s="401" t="n">
        <v>4607091389104</v>
      </c>
      <c r="E328" s="646" t="n"/>
      <c r="F328" s="685" t="n">
        <v>0.88</v>
      </c>
      <c r="G328" s="37" t="n">
        <v>6</v>
      </c>
      <c r="H328" s="685" t="n">
        <v>5.28</v>
      </c>
      <c r="I328" s="685" t="n">
        <v>5.64</v>
      </c>
      <c r="J328" s="37" t="n">
        <v>104</v>
      </c>
      <c r="K328" s="37" t="inlineStr">
        <is>
          <t>8</t>
        </is>
      </c>
      <c r="L328" s="37" t="inlineStr"/>
      <c r="M328" s="38" t="inlineStr">
        <is>
          <t>СК1</t>
        </is>
      </c>
      <c r="N328" s="38" t="n"/>
      <c r="O328" s="37" t="n">
        <v>60</v>
      </c>
      <c r="P328" s="83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328" s="687" t="n"/>
      <c r="R328" s="687" t="n"/>
      <c r="S328" s="687" t="n"/>
      <c r="T328" s="688" t="n"/>
      <c r="U328" s="39" t="inlineStr"/>
      <c r="V328" s="39" t="inlineStr"/>
      <c r="W328" s="40" t="inlineStr">
        <is>
          <t>кг</t>
        </is>
      </c>
      <c r="X328" s="689" t="n">
        <v>0</v>
      </c>
      <c r="Y328" s="690">
        <f>IFERROR(IF(X328="",0,CEILING((X328/$H328),1)*$H328),"")</f>
        <v/>
      </c>
      <c r="Z328" s="41">
        <f>IFERROR(IF(Y328=0,"",ROUNDUP(Y328/H328,0)*0.01196),"")</f>
        <v/>
      </c>
      <c r="AA328" s="68" t="inlineStr"/>
      <c r="AB328" s="69" t="inlineStr"/>
      <c r="AC328" s="366" t="inlineStr">
        <is>
          <t>ЕАЭС N RU Д-RU.РА07.В.78433/22</t>
        </is>
      </c>
      <c r="AG328" s="78" t="n"/>
      <c r="AJ328" s="84" t="inlineStr"/>
      <c r="AK328" s="84" t="n">
        <v>0</v>
      </c>
      <c r="BB328" s="367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 ht="16.5" customHeight="1">
      <c r="A329" s="63" t="inlineStr">
        <is>
          <t>SU002999</t>
        </is>
      </c>
      <c r="B329" s="63" t="inlineStr">
        <is>
          <t>P004045</t>
        </is>
      </c>
      <c r="C329" s="36" t="n">
        <v>4301011799</v>
      </c>
      <c r="D329" s="401" t="n">
        <v>4680115884519</v>
      </c>
      <c r="E329" s="646" t="n"/>
      <c r="F329" s="685" t="n">
        <v>0.88</v>
      </c>
      <c r="G329" s="37" t="n">
        <v>6</v>
      </c>
      <c r="H329" s="685" t="n">
        <v>5.28</v>
      </c>
      <c r="I329" s="685" t="n">
        <v>5.64</v>
      </c>
      <c r="J329" s="37" t="n">
        <v>104</v>
      </c>
      <c r="K329" s="37" t="inlineStr">
        <is>
          <t>8</t>
        </is>
      </c>
      <c r="L329" s="37" t="inlineStr"/>
      <c r="M329" s="38" t="inlineStr">
        <is>
          <t>СК3</t>
        </is>
      </c>
      <c r="N329" s="38" t="n"/>
      <c r="O329" s="37" t="n">
        <v>60</v>
      </c>
      <c r="P329" s="83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329" s="687" t="n"/>
      <c r="R329" s="687" t="n"/>
      <c r="S329" s="687" t="n"/>
      <c r="T329" s="688" t="n"/>
      <c r="U329" s="39" t="inlineStr"/>
      <c r="V329" s="39" t="inlineStr"/>
      <c r="W329" s="40" t="inlineStr">
        <is>
          <t>кг</t>
        </is>
      </c>
      <c r="X329" s="689" t="n">
        <v>0</v>
      </c>
      <c r="Y329" s="690">
        <f>IFERROR(IF(X329="",0,CEILING((X329/$H329),1)*$H329),"")</f>
        <v/>
      </c>
      <c r="Z329" s="41">
        <f>IFERROR(IF(Y329=0,"",ROUNDUP(Y329/H329,0)*0.01196),"")</f>
        <v/>
      </c>
      <c r="AA329" s="68" t="inlineStr"/>
      <c r="AB329" s="69" t="inlineStr"/>
      <c r="AC329" s="368" t="inlineStr">
        <is>
          <t>ЕАЭС N RU Д-RU.РА10.В.31672/23</t>
        </is>
      </c>
      <c r="AG329" s="78" t="n"/>
      <c r="AJ329" s="84" t="inlineStr"/>
      <c r="AK329" s="84" t="n">
        <v>0</v>
      </c>
      <c r="BB329" s="369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 ht="27" customHeight="1">
      <c r="A330" s="63" t="inlineStr">
        <is>
          <t>SU002632</t>
        </is>
      </c>
      <c r="B330" s="63" t="inlineStr">
        <is>
          <t>P004689</t>
        </is>
      </c>
      <c r="C330" s="36" t="n">
        <v>4301012035</v>
      </c>
      <c r="D330" s="401" t="n">
        <v>4680115880603</v>
      </c>
      <c r="E330" s="646" t="n"/>
      <c r="F330" s="685" t="n">
        <v>0.6</v>
      </c>
      <c r="G330" s="37" t="n">
        <v>8</v>
      </c>
      <c r="H330" s="685" t="n">
        <v>4.8</v>
      </c>
      <c r="I330" s="685" t="n">
        <v>6.93</v>
      </c>
      <c r="J330" s="37" t="n">
        <v>132</v>
      </c>
      <c r="K330" s="37" t="inlineStr">
        <is>
          <t>12</t>
        </is>
      </c>
      <c r="L330" s="37" t="inlineStr"/>
      <c r="M330" s="38" t="inlineStr">
        <is>
          <t>СК1</t>
        </is>
      </c>
      <c r="N330" s="38" t="n"/>
      <c r="O330" s="37" t="n">
        <v>60</v>
      </c>
      <c r="P330" s="83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330" s="687" t="n"/>
      <c r="R330" s="687" t="n"/>
      <c r="S330" s="687" t="n"/>
      <c r="T330" s="688" t="n"/>
      <c r="U330" s="39" t="inlineStr"/>
      <c r="V330" s="39" t="inlineStr"/>
      <c r="W330" s="40" t="inlineStr">
        <is>
          <t>кг</t>
        </is>
      </c>
      <c r="X330" s="689" t="n">
        <v>0</v>
      </c>
      <c r="Y330" s="690">
        <f>IFERROR(IF(X330="",0,CEILING((X330/$H330),1)*$H330),"")</f>
        <v/>
      </c>
      <c r="Z330" s="41">
        <f>IFERROR(IF(Y330=0,"",ROUNDUP(Y330/H330,0)*0.00902),"")</f>
        <v/>
      </c>
      <c r="AA330" s="68" t="inlineStr"/>
      <c r="AB330" s="69" t="inlineStr"/>
      <c r="AC330" s="370" t="inlineStr">
        <is>
          <t>ЕАЭС N RU Д-RU.РА02.В.51456/25</t>
        </is>
      </c>
      <c r="AG330" s="78" t="n"/>
      <c r="AJ330" s="84" t="inlineStr"/>
      <c r="AK330" s="84" t="n">
        <v>0</v>
      </c>
      <c r="BB330" s="371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 ht="27" customHeight="1">
      <c r="A331" s="63" t="inlineStr">
        <is>
          <t>SU002635</t>
        </is>
      </c>
      <c r="B331" s="63" t="inlineStr">
        <is>
          <t>P004690</t>
        </is>
      </c>
      <c r="C331" s="36" t="n">
        <v>4301012036</v>
      </c>
      <c r="D331" s="401" t="n">
        <v>4680115882782</v>
      </c>
      <c r="E331" s="646" t="n"/>
      <c r="F331" s="685" t="n">
        <v>0.6</v>
      </c>
      <c r="G331" s="37" t="n">
        <v>8</v>
      </c>
      <c r="H331" s="685" t="n">
        <v>4.8</v>
      </c>
      <c r="I331" s="685" t="n">
        <v>6.96</v>
      </c>
      <c r="J331" s="37" t="n">
        <v>120</v>
      </c>
      <c r="K331" s="37" t="inlineStr">
        <is>
          <t>12</t>
        </is>
      </c>
      <c r="L331" s="37" t="inlineStr"/>
      <c r="M331" s="38" t="inlineStr">
        <is>
          <t>СК1</t>
        </is>
      </c>
      <c r="N331" s="38" t="n"/>
      <c r="O331" s="37" t="n">
        <v>60</v>
      </c>
      <c r="P331" s="837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331" s="687" t="n"/>
      <c r="R331" s="687" t="n"/>
      <c r="S331" s="687" t="n"/>
      <c r="T331" s="688" t="n"/>
      <c r="U331" s="39" t="inlineStr"/>
      <c r="V331" s="39" t="inlineStr"/>
      <c r="W331" s="40" t="inlineStr">
        <is>
          <t>кг</t>
        </is>
      </c>
      <c r="X331" s="689" t="n">
        <v>0</v>
      </c>
      <c r="Y331" s="690">
        <f>IFERROR(IF(X331="",0,CEILING((X331/$H331),1)*$H331),"")</f>
        <v/>
      </c>
      <c r="Z331" s="41">
        <f>IFERROR(IF(Y331=0,"",ROUNDUP(Y331/H331,0)*0.00937),"")</f>
        <v/>
      </c>
      <c r="AA331" s="68" t="inlineStr"/>
      <c r="AB331" s="69" t="inlineStr"/>
      <c r="AC331" s="372" t="inlineStr">
        <is>
          <t>ЕАЭС N RU Д-RU.РА02.В.51764/24</t>
        </is>
      </c>
      <c r="AG331" s="78" t="n"/>
      <c r="AJ331" s="84" t="inlineStr"/>
      <c r="AK331" s="84" t="n">
        <v>0</v>
      </c>
      <c r="BB331" s="373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 ht="27" customHeight="1">
      <c r="A332" s="63" t="inlineStr">
        <is>
          <t>SU002631</t>
        </is>
      </c>
      <c r="B332" s="63" t="inlineStr">
        <is>
          <t>P004688</t>
        </is>
      </c>
      <c r="C332" s="36" t="n">
        <v>4301012034</v>
      </c>
      <c r="D332" s="401" t="n">
        <v>4607091389982</v>
      </c>
      <c r="E332" s="646" t="n"/>
      <c r="F332" s="685" t="n">
        <v>0.6</v>
      </c>
      <c r="G332" s="37" t="n">
        <v>8</v>
      </c>
      <c r="H332" s="685" t="n">
        <v>4.8</v>
      </c>
      <c r="I332" s="685" t="n">
        <v>6.96</v>
      </c>
      <c r="J332" s="37" t="n">
        <v>120</v>
      </c>
      <c r="K332" s="37" t="inlineStr">
        <is>
          <t>12</t>
        </is>
      </c>
      <c r="L332" s="37" t="inlineStr"/>
      <c r="M332" s="38" t="inlineStr">
        <is>
          <t>СК1</t>
        </is>
      </c>
      <c r="N332" s="38" t="n"/>
      <c r="O332" s="37" t="n">
        <v>60</v>
      </c>
      <c r="P332" s="83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332" s="687" t="n"/>
      <c r="R332" s="687" t="n"/>
      <c r="S332" s="687" t="n"/>
      <c r="T332" s="688" t="n"/>
      <c r="U332" s="39" t="inlineStr"/>
      <c r="V332" s="39" t="inlineStr"/>
      <c r="W332" s="40" t="inlineStr">
        <is>
          <t>кг</t>
        </is>
      </c>
      <c r="X332" s="689" t="n">
        <v>0</v>
      </c>
      <c r="Y332" s="690">
        <f>IFERROR(IF(X332="",0,CEILING((X332/$H332),1)*$H332),"")</f>
        <v/>
      </c>
      <c r="Z332" s="41">
        <f>IFERROR(IF(Y332=0,"",ROUNDUP(Y332/H332,0)*0.00937),"")</f>
        <v/>
      </c>
      <c r="AA332" s="68" t="inlineStr"/>
      <c r="AB332" s="69" t="inlineStr"/>
      <c r="AC332" s="374" t="inlineStr">
        <is>
          <t>ЕАЭС N RU Д-RU.РА07.В.78433/22</t>
        </is>
      </c>
      <c r="AG332" s="78" t="n"/>
      <c r="AJ332" s="84" t="inlineStr"/>
      <c r="AK332" s="84" t="n">
        <v>0</v>
      </c>
      <c r="BB332" s="375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>
      <c r="A333" s="410" t="n"/>
      <c r="B333" s="397" t="n"/>
      <c r="C333" s="397" t="n"/>
      <c r="D333" s="397" t="n"/>
      <c r="E333" s="397" t="n"/>
      <c r="F333" s="397" t="n"/>
      <c r="G333" s="397" t="n"/>
      <c r="H333" s="397" t="n"/>
      <c r="I333" s="397" t="n"/>
      <c r="J333" s="397" t="n"/>
      <c r="K333" s="397" t="n"/>
      <c r="L333" s="397" t="n"/>
      <c r="M333" s="397" t="n"/>
      <c r="N333" s="397" t="n"/>
      <c r="O333" s="692" t="n"/>
      <c r="P333" s="693" t="inlineStr">
        <is>
          <t>Итого</t>
        </is>
      </c>
      <c r="Q333" s="654" t="n"/>
      <c r="R333" s="654" t="n"/>
      <c r="S333" s="654" t="n"/>
      <c r="T333" s="654" t="n"/>
      <c r="U333" s="654" t="n"/>
      <c r="V333" s="655" t="n"/>
      <c r="W333" s="42" t="inlineStr">
        <is>
          <t>кор</t>
        </is>
      </c>
      <c r="X333" s="694">
        <f>IFERROR(X325/H325,"0")+IFERROR(X326/H326,"0")+IFERROR(X327/H327,"0")+IFERROR(X328/H328,"0")+IFERROR(X329/H329,"0")+IFERROR(X330/H330,"0")+IFERROR(X331/H331,"0")+IFERROR(X332/H332,"0")</f>
        <v/>
      </c>
      <c r="Y333" s="694">
        <f>IFERROR(Y325/H325,"0")+IFERROR(Y326/H326,"0")+IFERROR(Y327/H327,"0")+IFERROR(Y328/H328,"0")+IFERROR(Y329/H329,"0")+IFERROR(Y330/H330,"0")+IFERROR(Y331/H331,"0")+IFERROR(Y332/H332,"0")</f>
        <v/>
      </c>
      <c r="Z333" s="694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/>
      </c>
      <c r="AA333" s="695" t="n"/>
      <c r="AB333" s="695" t="n"/>
      <c r="AC333" s="695" t="n"/>
    </row>
    <row r="334">
      <c r="A334" s="397" t="n"/>
      <c r="B334" s="397" t="n"/>
      <c r="C334" s="397" t="n"/>
      <c r="D334" s="397" t="n"/>
      <c r="E334" s="397" t="n"/>
      <c r="F334" s="397" t="n"/>
      <c r="G334" s="397" t="n"/>
      <c r="H334" s="397" t="n"/>
      <c r="I334" s="397" t="n"/>
      <c r="J334" s="397" t="n"/>
      <c r="K334" s="397" t="n"/>
      <c r="L334" s="397" t="n"/>
      <c r="M334" s="397" t="n"/>
      <c r="N334" s="397" t="n"/>
      <c r="O334" s="692" t="n"/>
      <c r="P334" s="693" t="inlineStr">
        <is>
          <t>Итого</t>
        </is>
      </c>
      <c r="Q334" s="654" t="n"/>
      <c r="R334" s="654" t="n"/>
      <c r="S334" s="654" t="n"/>
      <c r="T334" s="654" t="n"/>
      <c r="U334" s="654" t="n"/>
      <c r="V334" s="655" t="n"/>
      <c r="W334" s="42" t="inlineStr">
        <is>
          <t>кг</t>
        </is>
      </c>
      <c r="X334" s="694">
        <f>IFERROR(SUM(X325:X332),"0")</f>
        <v/>
      </c>
      <c r="Y334" s="694">
        <f>IFERROR(SUM(Y325:Y332),"0")</f>
        <v/>
      </c>
      <c r="Z334" s="42" t="n"/>
      <c r="AA334" s="695" t="n"/>
      <c r="AB334" s="695" t="n"/>
      <c r="AC334" s="695" t="n"/>
    </row>
    <row r="335" ht="14.25" customHeight="1">
      <c r="A335" s="400" t="inlineStr">
        <is>
          <t>Ветчины</t>
        </is>
      </c>
      <c r="B335" s="397" t="n"/>
      <c r="C335" s="397" t="n"/>
      <c r="D335" s="397" t="n"/>
      <c r="E335" s="397" t="n"/>
      <c r="F335" s="397" t="n"/>
      <c r="G335" s="397" t="n"/>
      <c r="H335" s="397" t="n"/>
      <c r="I335" s="397" t="n"/>
      <c r="J335" s="397" t="n"/>
      <c r="K335" s="397" t="n"/>
      <c r="L335" s="397" t="n"/>
      <c r="M335" s="397" t="n"/>
      <c r="N335" s="397" t="n"/>
      <c r="O335" s="397" t="n"/>
      <c r="P335" s="397" t="n"/>
      <c r="Q335" s="397" t="n"/>
      <c r="R335" s="397" t="n"/>
      <c r="S335" s="397" t="n"/>
      <c r="T335" s="397" t="n"/>
      <c r="U335" s="397" t="n"/>
      <c r="V335" s="397" t="n"/>
      <c r="W335" s="397" t="n"/>
      <c r="X335" s="397" t="n"/>
      <c r="Y335" s="397" t="n"/>
      <c r="Z335" s="397" t="n"/>
      <c r="AA335" s="400" t="n"/>
      <c r="AB335" s="400" t="n"/>
      <c r="AC335" s="400" t="n"/>
    </row>
    <row r="336" ht="16.5" customHeight="1">
      <c r="A336" s="63" t="inlineStr">
        <is>
          <t>SU002035</t>
        </is>
      </c>
      <c r="B336" s="63" t="inlineStr">
        <is>
          <t>P004460</t>
        </is>
      </c>
      <c r="C336" s="36" t="n">
        <v>4301020334</v>
      </c>
      <c r="D336" s="401" t="n">
        <v>4607091388930</v>
      </c>
      <c r="E336" s="646" t="n"/>
      <c r="F336" s="685" t="n">
        <v>0.88</v>
      </c>
      <c r="G336" s="37" t="n">
        <v>6</v>
      </c>
      <c r="H336" s="685" t="n">
        <v>5.28</v>
      </c>
      <c r="I336" s="685" t="n">
        <v>5.64</v>
      </c>
      <c r="J336" s="37" t="n">
        <v>104</v>
      </c>
      <c r="K336" s="37" t="inlineStr">
        <is>
          <t>8</t>
        </is>
      </c>
      <c r="L336" s="37" t="inlineStr"/>
      <c r="M336" s="38" t="inlineStr">
        <is>
          <t>СК3</t>
        </is>
      </c>
      <c r="N336" s="38" t="n"/>
      <c r="O336" s="37" t="n">
        <v>70</v>
      </c>
      <c r="P336" s="839">
        <f>HYPERLINK("https://abi.ru/products/Охлажденные/Дугушка/Дугушка/Ветчины/P004460/","Ветчины Дугушка Дугушка Вес б/о Дугушка")</f>
        <v/>
      </c>
      <c r="Q336" s="687" t="n"/>
      <c r="R336" s="687" t="n"/>
      <c r="S336" s="687" t="n"/>
      <c r="T336" s="688" t="n"/>
      <c r="U336" s="39" t="inlineStr"/>
      <c r="V336" s="39" t="inlineStr"/>
      <c r="W336" s="40" t="inlineStr">
        <is>
          <t>кг</t>
        </is>
      </c>
      <c r="X336" s="689" t="n">
        <v>200</v>
      </c>
      <c r="Y336" s="690">
        <f>IFERROR(IF(X336="",0,CEILING((X336/$H336),1)*$H336),"")</f>
        <v/>
      </c>
      <c r="Z336" s="41">
        <f>IFERROR(IF(Y336=0,"",ROUNDUP(Y336/H336,0)*0.01196),"")</f>
        <v/>
      </c>
      <c r="AA336" s="68" t="inlineStr"/>
      <c r="AB336" s="69" t="inlineStr"/>
      <c r="AC336" s="376" t="inlineStr">
        <is>
          <t>ЕАЭС N RU Д-RU.РА04.В.71599/24</t>
        </is>
      </c>
      <c r="AG336" s="78" t="n"/>
      <c r="AJ336" s="84" t="inlineStr"/>
      <c r="AK336" s="84" t="n">
        <v>0</v>
      </c>
      <c r="BB336" s="377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16.5" customHeight="1">
      <c r="A337" s="63" t="inlineStr">
        <is>
          <t>SU002643</t>
        </is>
      </c>
      <c r="B337" s="63" t="inlineStr">
        <is>
          <t>P004923</t>
        </is>
      </c>
      <c r="C337" s="36" t="n">
        <v>4301020385</v>
      </c>
      <c r="D337" s="401" t="n">
        <v>4680115880054</v>
      </c>
      <c r="E337" s="646" t="n"/>
      <c r="F337" s="685" t="n">
        <v>0.6</v>
      </c>
      <c r="G337" s="37" t="n">
        <v>8</v>
      </c>
      <c r="H337" s="685" t="n">
        <v>4.8</v>
      </c>
      <c r="I337" s="685" t="n">
        <v>6.93</v>
      </c>
      <c r="J337" s="37" t="n">
        <v>132</v>
      </c>
      <c r="K337" s="37" t="inlineStr">
        <is>
          <t>12</t>
        </is>
      </c>
      <c r="L337" s="37" t="inlineStr"/>
      <c r="M337" s="38" t="inlineStr">
        <is>
          <t>СК1</t>
        </is>
      </c>
      <c r="N337" s="38" t="n"/>
      <c r="O337" s="37" t="n">
        <v>70</v>
      </c>
      <c r="P337" s="840">
        <f>HYPERLINK("https://abi.ru/products/Охлажденные/Дугушка/Дугушка/Ветчины/P004923/","Ветчины «Дугушка» Фикс.вес 0,6 полиамид ТМ «Дугушка»")</f>
        <v/>
      </c>
      <c r="Q337" s="687" t="n"/>
      <c r="R337" s="687" t="n"/>
      <c r="S337" s="687" t="n"/>
      <c r="T337" s="688" t="n"/>
      <c r="U337" s="39" t="inlineStr"/>
      <c r="V337" s="39" t="inlineStr"/>
      <c r="W337" s="40" t="inlineStr">
        <is>
          <t>кг</t>
        </is>
      </c>
      <c r="X337" s="689" t="n">
        <v>0</v>
      </c>
      <c r="Y337" s="690">
        <f>IFERROR(IF(X337="",0,CEILING((X337/$H337),1)*$H337),"")</f>
        <v/>
      </c>
      <c r="Z337" s="41">
        <f>IFERROR(IF(Y337=0,"",ROUNDUP(Y337/H337,0)*0.00902),"")</f>
        <v/>
      </c>
      <c r="AA337" s="68" t="inlineStr"/>
      <c r="AB337" s="69" t="inlineStr"/>
      <c r="AC337" s="378" t="inlineStr">
        <is>
          <t>ЕАЭС N RU Д-RU.РА04.В.71599/24</t>
        </is>
      </c>
      <c r="AG337" s="78" t="n"/>
      <c r="AJ337" s="84" t="inlineStr"/>
      <c r="AK337" s="84" t="n">
        <v>0</v>
      </c>
      <c r="BB337" s="379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>
      <c r="A338" s="410" t="n"/>
      <c r="B338" s="397" t="n"/>
      <c r="C338" s="397" t="n"/>
      <c r="D338" s="397" t="n"/>
      <c r="E338" s="397" t="n"/>
      <c r="F338" s="397" t="n"/>
      <c r="G338" s="397" t="n"/>
      <c r="H338" s="397" t="n"/>
      <c r="I338" s="397" t="n"/>
      <c r="J338" s="397" t="n"/>
      <c r="K338" s="397" t="n"/>
      <c r="L338" s="397" t="n"/>
      <c r="M338" s="397" t="n"/>
      <c r="N338" s="397" t="n"/>
      <c r="O338" s="692" t="n"/>
      <c r="P338" s="693" t="inlineStr">
        <is>
          <t>Итого</t>
        </is>
      </c>
      <c r="Q338" s="654" t="n"/>
      <c r="R338" s="654" t="n"/>
      <c r="S338" s="654" t="n"/>
      <c r="T338" s="654" t="n"/>
      <c r="U338" s="654" t="n"/>
      <c r="V338" s="655" t="n"/>
      <c r="W338" s="42" t="inlineStr">
        <is>
          <t>кор</t>
        </is>
      </c>
      <c r="X338" s="694">
        <f>IFERROR(X336/H336,"0")+IFERROR(X337/H337,"0")</f>
        <v/>
      </c>
      <c r="Y338" s="694">
        <f>IFERROR(Y336/H336,"0")+IFERROR(Y337/H337,"0")</f>
        <v/>
      </c>
      <c r="Z338" s="694">
        <f>IFERROR(IF(Z336="",0,Z336),"0")+IFERROR(IF(Z337="",0,Z337),"0")</f>
        <v/>
      </c>
      <c r="AA338" s="695" t="n"/>
      <c r="AB338" s="695" t="n"/>
      <c r="AC338" s="695" t="n"/>
    </row>
    <row r="339">
      <c r="A339" s="397" t="n"/>
      <c r="B339" s="397" t="n"/>
      <c r="C339" s="397" t="n"/>
      <c r="D339" s="397" t="n"/>
      <c r="E339" s="397" t="n"/>
      <c r="F339" s="397" t="n"/>
      <c r="G339" s="397" t="n"/>
      <c r="H339" s="397" t="n"/>
      <c r="I339" s="397" t="n"/>
      <c r="J339" s="397" t="n"/>
      <c r="K339" s="397" t="n"/>
      <c r="L339" s="397" t="n"/>
      <c r="M339" s="397" t="n"/>
      <c r="N339" s="397" t="n"/>
      <c r="O339" s="692" t="n"/>
      <c r="P339" s="693" t="inlineStr">
        <is>
          <t>Итого</t>
        </is>
      </c>
      <c r="Q339" s="654" t="n"/>
      <c r="R339" s="654" t="n"/>
      <c r="S339" s="654" t="n"/>
      <c r="T339" s="654" t="n"/>
      <c r="U339" s="654" t="n"/>
      <c r="V339" s="655" t="n"/>
      <c r="W339" s="42" t="inlineStr">
        <is>
          <t>кг</t>
        </is>
      </c>
      <c r="X339" s="694">
        <f>IFERROR(SUM(X336:X337),"0")</f>
        <v/>
      </c>
      <c r="Y339" s="694">
        <f>IFERROR(SUM(Y336:Y337),"0")</f>
        <v/>
      </c>
      <c r="Z339" s="42" t="n"/>
      <c r="AA339" s="695" t="n"/>
      <c r="AB339" s="695" t="n"/>
      <c r="AC339" s="695" t="n"/>
    </row>
    <row r="340" ht="14.25" customHeight="1">
      <c r="A340" s="400" t="inlineStr">
        <is>
          <t>Копченые колбасы</t>
        </is>
      </c>
      <c r="B340" s="397" t="n"/>
      <c r="C340" s="397" t="n"/>
      <c r="D340" s="397" t="n"/>
      <c r="E340" s="397" t="n"/>
      <c r="F340" s="397" t="n"/>
      <c r="G340" s="397" t="n"/>
      <c r="H340" s="397" t="n"/>
      <c r="I340" s="397" t="n"/>
      <c r="J340" s="397" t="n"/>
      <c r="K340" s="397" t="n"/>
      <c r="L340" s="397" t="n"/>
      <c r="M340" s="397" t="n"/>
      <c r="N340" s="397" t="n"/>
      <c r="O340" s="397" t="n"/>
      <c r="P340" s="397" t="n"/>
      <c r="Q340" s="397" t="n"/>
      <c r="R340" s="397" t="n"/>
      <c r="S340" s="397" t="n"/>
      <c r="T340" s="397" t="n"/>
      <c r="U340" s="397" t="n"/>
      <c r="V340" s="397" t="n"/>
      <c r="W340" s="397" t="n"/>
      <c r="X340" s="397" t="n"/>
      <c r="Y340" s="397" t="n"/>
      <c r="Z340" s="397" t="n"/>
      <c r="AA340" s="400" t="n"/>
      <c r="AB340" s="400" t="n"/>
      <c r="AC340" s="400" t="n"/>
    </row>
    <row r="341" ht="27" customHeight="1">
      <c r="A341" s="63" t="inlineStr">
        <is>
          <t>SU002150</t>
        </is>
      </c>
      <c r="B341" s="63" t="inlineStr">
        <is>
          <t>P004465</t>
        </is>
      </c>
      <c r="C341" s="36" t="n">
        <v>4301031349</v>
      </c>
      <c r="D341" s="401" t="n">
        <v>4680115883116</v>
      </c>
      <c r="E341" s="646" t="n"/>
      <c r="F341" s="685" t="n">
        <v>0.88</v>
      </c>
      <c r="G341" s="37" t="n">
        <v>6</v>
      </c>
      <c r="H341" s="685" t="n">
        <v>5.28</v>
      </c>
      <c r="I341" s="685" t="n">
        <v>5.64</v>
      </c>
      <c r="J341" s="37" t="n">
        <v>104</v>
      </c>
      <c r="K341" s="37" t="inlineStr">
        <is>
          <t>8</t>
        </is>
      </c>
      <c r="L341" s="37" t="inlineStr"/>
      <c r="M341" s="38" t="inlineStr">
        <is>
          <t>СК1</t>
        </is>
      </c>
      <c r="N341" s="38" t="n"/>
      <c r="O341" s="37" t="n">
        <v>70</v>
      </c>
      <c r="P341" s="841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341" s="687" t="n"/>
      <c r="R341" s="687" t="n"/>
      <c r="S341" s="687" t="n"/>
      <c r="T341" s="688" t="n"/>
      <c r="U341" s="39" t="inlineStr"/>
      <c r="V341" s="39" t="inlineStr"/>
      <c r="W341" s="40" t="inlineStr">
        <is>
          <t>кг</t>
        </is>
      </c>
      <c r="X341" s="689" t="n">
        <v>0</v>
      </c>
      <c r="Y341" s="690">
        <f>IFERROR(IF(X341="",0,CEILING((X341/$H341),1)*$H341),"")</f>
        <v/>
      </c>
      <c r="Z341" s="41">
        <f>IFERROR(IF(Y341=0,"",ROUNDUP(Y341/H341,0)*0.01196),"")</f>
        <v/>
      </c>
      <c r="AA341" s="68" t="inlineStr"/>
      <c r="AB341" s="69" t="inlineStr"/>
      <c r="AC341" s="380" t="inlineStr">
        <is>
          <t>ЕАЭС N RU Д-RU.РА04.В.72302/24</t>
        </is>
      </c>
      <c r="AG341" s="78" t="n"/>
      <c r="AJ341" s="84" t="inlineStr"/>
      <c r="AK341" s="84" t="n">
        <v>0</v>
      </c>
      <c r="BB341" s="381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 ht="27" customHeight="1">
      <c r="A342" s="63" t="inlineStr">
        <is>
          <t>SU002158</t>
        </is>
      </c>
      <c r="B342" s="63" t="inlineStr">
        <is>
          <t>P004466</t>
        </is>
      </c>
      <c r="C342" s="36" t="n">
        <v>4301031350</v>
      </c>
      <c r="D342" s="401" t="n">
        <v>4680115883093</v>
      </c>
      <c r="E342" s="646" t="n"/>
      <c r="F342" s="685" t="n">
        <v>0.88</v>
      </c>
      <c r="G342" s="37" t="n">
        <v>6</v>
      </c>
      <c r="H342" s="685" t="n">
        <v>5.28</v>
      </c>
      <c r="I342" s="685" t="n">
        <v>5.64</v>
      </c>
      <c r="J342" s="37" t="n">
        <v>104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70</v>
      </c>
      <c r="P342" s="842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342" s="687" t="n"/>
      <c r="R342" s="687" t="n"/>
      <c r="S342" s="687" t="n"/>
      <c r="T342" s="688" t="n"/>
      <c r="U342" s="39" t="inlineStr"/>
      <c r="V342" s="39" t="inlineStr"/>
      <c r="W342" s="40" t="inlineStr">
        <is>
          <t>кг</t>
        </is>
      </c>
      <c r="X342" s="689" t="n">
        <v>100</v>
      </c>
      <c r="Y342" s="690">
        <f>IFERROR(IF(X342="",0,CEILING((X342/$H342),1)*$H342),"")</f>
        <v/>
      </c>
      <c r="Z342" s="41">
        <f>IFERROR(IF(Y342=0,"",ROUNDUP(Y342/H342,0)*0.01196),"")</f>
        <v/>
      </c>
      <c r="AA342" s="68" t="inlineStr"/>
      <c r="AB342" s="69" t="inlineStr"/>
      <c r="AC342" s="382" t="inlineStr">
        <is>
          <t>ЕАЭС N RU Д-RU.РА04.В.71173/24</t>
        </is>
      </c>
      <c r="AG342" s="78" t="n"/>
      <c r="AJ342" s="84" t="inlineStr"/>
      <c r="AK342" s="84" t="n">
        <v>0</v>
      </c>
      <c r="BB342" s="383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SU002151</t>
        </is>
      </c>
      <c r="B343" s="63" t="inlineStr">
        <is>
          <t>P004470</t>
        </is>
      </c>
      <c r="C343" s="36" t="n">
        <v>4301031353</v>
      </c>
      <c r="D343" s="401" t="n">
        <v>4680115883109</v>
      </c>
      <c r="E343" s="646" t="n"/>
      <c r="F343" s="685" t="n">
        <v>0.88</v>
      </c>
      <c r="G343" s="37" t="n">
        <v>6</v>
      </c>
      <c r="H343" s="685" t="n">
        <v>5.28</v>
      </c>
      <c r="I343" s="685" t="n">
        <v>5.64</v>
      </c>
      <c r="J343" s="37" t="n">
        <v>104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70</v>
      </c>
      <c r="P343" s="843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343" s="687" t="n"/>
      <c r="R343" s="687" t="n"/>
      <c r="S343" s="687" t="n"/>
      <c r="T343" s="688" t="n"/>
      <c r="U343" s="39" t="inlineStr"/>
      <c r="V343" s="39" t="inlineStr"/>
      <c r="W343" s="40" t="inlineStr">
        <is>
          <t>кг</t>
        </is>
      </c>
      <c r="X343" s="689" t="n">
        <v>0</v>
      </c>
      <c r="Y343" s="690">
        <f>IFERROR(IF(X343="",0,CEILING((X343/$H343),1)*$H343),"")</f>
        <v/>
      </c>
      <c r="Z343" s="41">
        <f>IFERROR(IF(Y343=0,"",ROUNDUP(Y343/H343,0)*0.01196),"")</f>
        <v/>
      </c>
      <c r="AA343" s="68" t="inlineStr"/>
      <c r="AB343" s="69" t="inlineStr"/>
      <c r="AC343" s="384" t="inlineStr">
        <is>
          <t>ЕАЭС N RU Д-RU.РА04.В.71301/24</t>
        </is>
      </c>
      <c r="AG343" s="78" t="n"/>
      <c r="AJ343" s="84" t="inlineStr"/>
      <c r="AK343" s="84" t="n">
        <v>0</v>
      </c>
      <c r="BB343" s="385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SU002916</t>
        </is>
      </c>
      <c r="B344" s="63" t="inlineStr">
        <is>
          <t>P004934</t>
        </is>
      </c>
      <c r="C344" s="36" t="n">
        <v>4301031419</v>
      </c>
      <c r="D344" s="401" t="n">
        <v>4680115882072</v>
      </c>
      <c r="E344" s="646" t="n"/>
      <c r="F344" s="685" t="n">
        <v>0.6</v>
      </c>
      <c r="G344" s="37" t="n">
        <v>8</v>
      </c>
      <c r="H344" s="685" t="n">
        <v>4.8</v>
      </c>
      <c r="I344" s="685" t="n">
        <v>6.93</v>
      </c>
      <c r="J344" s="37" t="n">
        <v>132</v>
      </c>
      <c r="K344" s="37" t="inlineStr">
        <is>
          <t>12</t>
        </is>
      </c>
      <c r="L344" s="37" t="inlineStr"/>
      <c r="M344" s="38" t="inlineStr">
        <is>
          <t>СК1</t>
        </is>
      </c>
      <c r="N344" s="38" t="n"/>
      <c r="O344" s="37" t="n">
        <v>70</v>
      </c>
      <c r="P344" s="844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344" s="687" t="n"/>
      <c r="R344" s="687" t="n"/>
      <c r="S344" s="687" t="n"/>
      <c r="T344" s="688" t="n"/>
      <c r="U344" s="39" t="inlineStr"/>
      <c r="V344" s="39" t="inlineStr"/>
      <c r="W344" s="40" t="inlineStr">
        <is>
          <t>кг</t>
        </is>
      </c>
      <c r="X344" s="689" t="n">
        <v>0</v>
      </c>
      <c r="Y344" s="690">
        <f>IFERROR(IF(X344="",0,CEILING((X344/$H344),1)*$H344),"")</f>
        <v/>
      </c>
      <c r="Z344" s="41">
        <f>IFERROR(IF(Y344=0,"",ROUNDUP(Y344/H344,0)*0.00902),"")</f>
        <v/>
      </c>
      <c r="AA344" s="68" t="inlineStr"/>
      <c r="AB344" s="69" t="inlineStr"/>
      <c r="AC344" s="386" t="inlineStr">
        <is>
          <t>ЕАЭС N RU Д-RU.РА04.В.72302/24</t>
        </is>
      </c>
      <c r="AG344" s="78" t="n"/>
      <c r="AJ344" s="84" t="inlineStr"/>
      <c r="AK344" s="84" t="n">
        <v>0</v>
      </c>
      <c r="BB344" s="387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 ht="27" customHeight="1">
      <c r="A345" s="63" t="inlineStr">
        <is>
          <t>SU002919</t>
        </is>
      </c>
      <c r="B345" s="63" t="inlineStr">
        <is>
          <t>P004930</t>
        </is>
      </c>
      <c r="C345" s="36" t="n">
        <v>4301031418</v>
      </c>
      <c r="D345" s="401" t="n">
        <v>4680115882102</v>
      </c>
      <c r="E345" s="646" t="n"/>
      <c r="F345" s="685" t="n">
        <v>0.6</v>
      </c>
      <c r="G345" s="37" t="n">
        <v>8</v>
      </c>
      <c r="H345" s="685" t="n">
        <v>4.8</v>
      </c>
      <c r="I345" s="685" t="n">
        <v>6.69</v>
      </c>
      <c r="J345" s="37" t="n">
        <v>132</v>
      </c>
      <c r="K345" s="37" t="inlineStr">
        <is>
          <t>12</t>
        </is>
      </c>
      <c r="L345" s="37" t="inlineStr"/>
      <c r="M345" s="38" t="inlineStr">
        <is>
          <t>СК2</t>
        </is>
      </c>
      <c r="N345" s="38" t="n"/>
      <c r="O345" s="37" t="n">
        <v>70</v>
      </c>
      <c r="P345" s="845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345" s="687" t="n"/>
      <c r="R345" s="687" t="n"/>
      <c r="S345" s="687" t="n"/>
      <c r="T345" s="688" t="n"/>
      <c r="U345" s="39" t="inlineStr"/>
      <c r="V345" s="39" t="inlineStr"/>
      <c r="W345" s="40" t="inlineStr">
        <is>
          <t>кг</t>
        </is>
      </c>
      <c r="X345" s="689" t="n">
        <v>0</v>
      </c>
      <c r="Y345" s="690">
        <f>IFERROR(IF(X345="",0,CEILING((X345/$H345),1)*$H345),"")</f>
        <v/>
      </c>
      <c r="Z345" s="41">
        <f>IFERROR(IF(Y345=0,"",ROUNDUP(Y345/H345,0)*0.00902),"")</f>
        <v/>
      </c>
      <c r="AA345" s="68" t="inlineStr"/>
      <c r="AB345" s="69" t="inlineStr"/>
      <c r="AC345" s="388" t="inlineStr">
        <is>
          <t>ЕАЭС N RU Д-RU.РА04.В.71173/24</t>
        </is>
      </c>
      <c r="AG345" s="78" t="n"/>
      <c r="AJ345" s="84" t="inlineStr"/>
      <c r="AK345" s="84" t="n">
        <v>0</v>
      </c>
      <c r="BB345" s="389" t="inlineStr">
        <is>
          <t>КИ</t>
        </is>
      </c>
      <c r="BM345" s="78">
        <f>IFERROR(X345*I345/H345,"0")</f>
        <v/>
      </c>
      <c r="BN345" s="78">
        <f>IFERROR(Y345*I345/H345,"0")</f>
        <v/>
      </c>
      <c r="BO345" s="78">
        <f>IFERROR(1/J345*(X345/H345),"0")</f>
        <v/>
      </c>
      <c r="BP345" s="78">
        <f>IFERROR(1/J345*(Y345/H345),"0")</f>
        <v/>
      </c>
    </row>
    <row r="346" ht="27" customHeight="1">
      <c r="A346" s="63" t="inlineStr">
        <is>
          <t>SU002918</t>
        </is>
      </c>
      <c r="B346" s="63" t="inlineStr">
        <is>
          <t>P004929</t>
        </is>
      </c>
      <c r="C346" s="36" t="n">
        <v>4301031417</v>
      </c>
      <c r="D346" s="401" t="n">
        <v>4680115882096</v>
      </c>
      <c r="E346" s="646" t="n"/>
      <c r="F346" s="685" t="n">
        <v>0.6</v>
      </c>
      <c r="G346" s="37" t="n">
        <v>8</v>
      </c>
      <c r="H346" s="685" t="n">
        <v>4.8</v>
      </c>
      <c r="I346" s="685" t="n">
        <v>6.69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СК2</t>
        </is>
      </c>
      <c r="N346" s="38" t="n"/>
      <c r="O346" s="37" t="n">
        <v>70</v>
      </c>
      <c r="P346" s="846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346" s="687" t="n"/>
      <c r="R346" s="687" t="n"/>
      <c r="S346" s="687" t="n"/>
      <c r="T346" s="688" t="n"/>
      <c r="U346" s="39" t="inlineStr"/>
      <c r="V346" s="39" t="inlineStr"/>
      <c r="W346" s="40" t="inlineStr">
        <is>
          <t>кг</t>
        </is>
      </c>
      <c r="X346" s="689" t="n">
        <v>0</v>
      </c>
      <c r="Y346" s="690">
        <f>IFERROR(IF(X346="",0,CEILING((X346/$H346),1)*$H346),"")</f>
        <v/>
      </c>
      <c r="Z346" s="41">
        <f>IFERROR(IF(Y346=0,"",ROUNDUP(Y346/H346,0)*0.00902),"")</f>
        <v/>
      </c>
      <c r="AA346" s="68" t="inlineStr"/>
      <c r="AB346" s="69" t="inlineStr"/>
      <c r="AC346" s="390" t="inlineStr">
        <is>
          <t>ЕАЭС N RU Д-RU.РА04.В.71301/24</t>
        </is>
      </c>
      <c r="AG346" s="78" t="n"/>
      <c r="AJ346" s="84" t="inlineStr"/>
      <c r="AK346" s="84" t="n">
        <v>0</v>
      </c>
      <c r="BB346" s="391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>
      <c r="A347" s="410" t="n"/>
      <c r="B347" s="397" t="n"/>
      <c r="C347" s="397" t="n"/>
      <c r="D347" s="397" t="n"/>
      <c r="E347" s="397" t="n"/>
      <c r="F347" s="397" t="n"/>
      <c r="G347" s="397" t="n"/>
      <c r="H347" s="397" t="n"/>
      <c r="I347" s="397" t="n"/>
      <c r="J347" s="397" t="n"/>
      <c r="K347" s="397" t="n"/>
      <c r="L347" s="397" t="n"/>
      <c r="M347" s="397" t="n"/>
      <c r="N347" s="397" t="n"/>
      <c r="O347" s="692" t="n"/>
      <c r="P347" s="693" t="inlineStr">
        <is>
          <t>Итого</t>
        </is>
      </c>
      <c r="Q347" s="654" t="n"/>
      <c r="R347" s="654" t="n"/>
      <c r="S347" s="654" t="n"/>
      <c r="T347" s="654" t="n"/>
      <c r="U347" s="654" t="n"/>
      <c r="V347" s="655" t="n"/>
      <c r="W347" s="42" t="inlineStr">
        <is>
          <t>кор</t>
        </is>
      </c>
      <c r="X347" s="694">
        <f>IFERROR(X341/H341,"0")+IFERROR(X342/H342,"0")+IFERROR(X343/H343,"0")+IFERROR(X344/H344,"0")+IFERROR(X345/H345,"0")+IFERROR(X346/H346,"0")</f>
        <v/>
      </c>
      <c r="Y347" s="694">
        <f>IFERROR(Y341/H341,"0")+IFERROR(Y342/H342,"0")+IFERROR(Y343/H343,"0")+IFERROR(Y344/H344,"0")+IFERROR(Y345/H345,"0")+IFERROR(Y346/H346,"0")</f>
        <v/>
      </c>
      <c r="Z347" s="694">
        <f>IFERROR(IF(Z341="",0,Z341),"0")+IFERROR(IF(Z342="",0,Z342),"0")+IFERROR(IF(Z343="",0,Z343),"0")+IFERROR(IF(Z344="",0,Z344),"0")+IFERROR(IF(Z345="",0,Z345),"0")+IFERROR(IF(Z346="",0,Z346),"0")</f>
        <v/>
      </c>
      <c r="AA347" s="695" t="n"/>
      <c r="AB347" s="695" t="n"/>
      <c r="AC347" s="695" t="n"/>
    </row>
    <row r="348">
      <c r="A348" s="397" t="n"/>
      <c r="B348" s="397" t="n"/>
      <c r="C348" s="397" t="n"/>
      <c r="D348" s="397" t="n"/>
      <c r="E348" s="397" t="n"/>
      <c r="F348" s="397" t="n"/>
      <c r="G348" s="397" t="n"/>
      <c r="H348" s="397" t="n"/>
      <c r="I348" s="397" t="n"/>
      <c r="J348" s="397" t="n"/>
      <c r="K348" s="397" t="n"/>
      <c r="L348" s="397" t="n"/>
      <c r="M348" s="397" t="n"/>
      <c r="N348" s="397" t="n"/>
      <c r="O348" s="692" t="n"/>
      <c r="P348" s="693" t="inlineStr">
        <is>
          <t>Итого</t>
        </is>
      </c>
      <c r="Q348" s="654" t="n"/>
      <c r="R348" s="654" t="n"/>
      <c r="S348" s="654" t="n"/>
      <c r="T348" s="654" t="n"/>
      <c r="U348" s="654" t="n"/>
      <c r="V348" s="655" t="n"/>
      <c r="W348" s="42" t="inlineStr">
        <is>
          <t>кг</t>
        </is>
      </c>
      <c r="X348" s="694">
        <f>IFERROR(SUM(X341:X346),"0")</f>
        <v/>
      </c>
      <c r="Y348" s="694">
        <f>IFERROR(SUM(Y341:Y346),"0")</f>
        <v/>
      </c>
      <c r="Z348" s="42" t="n"/>
      <c r="AA348" s="695" t="n"/>
      <c r="AB348" s="695" t="n"/>
      <c r="AC348" s="695" t="n"/>
    </row>
    <row r="349" ht="14.25" customHeight="1">
      <c r="A349" s="400" t="inlineStr">
        <is>
          <t>Сосиски</t>
        </is>
      </c>
      <c r="B349" s="397" t="n"/>
      <c r="C349" s="397" t="n"/>
      <c r="D349" s="397" t="n"/>
      <c r="E349" s="397" t="n"/>
      <c r="F349" s="397" t="n"/>
      <c r="G349" s="397" t="n"/>
      <c r="H349" s="397" t="n"/>
      <c r="I349" s="397" t="n"/>
      <c r="J349" s="397" t="n"/>
      <c r="K349" s="397" t="n"/>
      <c r="L349" s="397" t="n"/>
      <c r="M349" s="397" t="n"/>
      <c r="N349" s="397" t="n"/>
      <c r="O349" s="397" t="n"/>
      <c r="P349" s="397" t="n"/>
      <c r="Q349" s="397" t="n"/>
      <c r="R349" s="397" t="n"/>
      <c r="S349" s="397" t="n"/>
      <c r="T349" s="397" t="n"/>
      <c r="U349" s="397" t="n"/>
      <c r="V349" s="397" t="n"/>
      <c r="W349" s="397" t="n"/>
      <c r="X349" s="397" t="n"/>
      <c r="Y349" s="397" t="n"/>
      <c r="Z349" s="397" t="n"/>
      <c r="AA349" s="400" t="n"/>
      <c r="AB349" s="400" t="n"/>
      <c r="AC349" s="400" t="n"/>
    </row>
    <row r="350" ht="16.5" customHeight="1">
      <c r="A350" s="63" t="inlineStr">
        <is>
          <t>SU002218</t>
        </is>
      </c>
      <c r="B350" s="63" t="inlineStr">
        <is>
          <t>P002854</t>
        </is>
      </c>
      <c r="C350" s="36" t="n">
        <v>4301051232</v>
      </c>
      <c r="D350" s="401" t="n">
        <v>4607091383409</v>
      </c>
      <c r="E350" s="646" t="n"/>
      <c r="F350" s="685" t="n">
        <v>1.3</v>
      </c>
      <c r="G350" s="37" t="n">
        <v>6</v>
      </c>
      <c r="H350" s="685" t="n">
        <v>7.8</v>
      </c>
      <c r="I350" s="685" t="n">
        <v>8.301</v>
      </c>
      <c r="J350" s="37" t="n">
        <v>64</v>
      </c>
      <c r="K350" s="37" t="inlineStr">
        <is>
          <t>8</t>
        </is>
      </c>
      <c r="L350" s="37" t="inlineStr"/>
      <c r="M350" s="38" t="inlineStr">
        <is>
          <t>СК3</t>
        </is>
      </c>
      <c r="N350" s="38" t="n"/>
      <c r="O350" s="37" t="n">
        <v>45</v>
      </c>
      <c r="P350" s="847">
        <f>HYPERLINK("https://abi.ru/products/Охлажденные/Дугушка/Дугушка/Сосиски/P002854/","Сосиски «Молочные Дугушки» Весовые П/а мгс ТМ «Дугушка»")</f>
        <v/>
      </c>
      <c r="Q350" s="687" t="n"/>
      <c r="R350" s="687" t="n"/>
      <c r="S350" s="687" t="n"/>
      <c r="T350" s="688" t="n"/>
      <c r="U350" s="39" t="inlineStr"/>
      <c r="V350" s="39" t="inlineStr"/>
      <c r="W350" s="40" t="inlineStr">
        <is>
          <t>кг</t>
        </is>
      </c>
      <c r="X350" s="689" t="n">
        <v>0</v>
      </c>
      <c r="Y350" s="690">
        <f>IFERROR(IF(X350="",0,CEILING((X350/$H350),1)*$H350),"")</f>
        <v/>
      </c>
      <c r="Z350" s="41">
        <f>IFERROR(IF(Y350=0,"",ROUNDUP(Y350/H350,0)*0.01898),"")</f>
        <v/>
      </c>
      <c r="AA350" s="68" t="inlineStr"/>
      <c r="AB350" s="69" t="inlineStr"/>
      <c r="AC350" s="392" t="inlineStr">
        <is>
          <t>ЕАЭС N RU Д-RU.РА11.В.11513/23</t>
        </is>
      </c>
      <c r="AG350" s="78" t="n"/>
      <c r="AJ350" s="84" t="inlineStr"/>
      <c r="AK350" s="84" t="n">
        <v>0</v>
      </c>
      <c r="BB350" s="393" t="inlineStr">
        <is>
          <t>КИ</t>
        </is>
      </c>
      <c r="BM350" s="78">
        <f>IFERROR(X350*I350/H350,"0")</f>
        <v/>
      </c>
      <c r="BN350" s="78">
        <f>IFERROR(Y350*I350/H350,"0")</f>
        <v/>
      </c>
      <c r="BO350" s="78">
        <f>IFERROR(1/J350*(X350/H350),"0")</f>
        <v/>
      </c>
      <c r="BP350" s="78">
        <f>IFERROR(1/J350*(Y350/H350),"0")</f>
        <v/>
      </c>
    </row>
    <row r="351" ht="16.5" customHeight="1">
      <c r="A351" s="63" t="inlineStr">
        <is>
          <t>SU002219</t>
        </is>
      </c>
      <c r="B351" s="63" t="inlineStr">
        <is>
          <t>P002855</t>
        </is>
      </c>
      <c r="C351" s="36" t="n">
        <v>4301051233</v>
      </c>
      <c r="D351" s="401" t="n">
        <v>4607091383416</v>
      </c>
      <c r="E351" s="646" t="n"/>
      <c r="F351" s="685" t="n">
        <v>1.3</v>
      </c>
      <c r="G351" s="37" t="n">
        <v>6</v>
      </c>
      <c r="H351" s="685" t="n">
        <v>7.8</v>
      </c>
      <c r="I351" s="685" t="n">
        <v>8.301</v>
      </c>
      <c r="J351" s="37" t="n">
        <v>64</v>
      </c>
      <c r="K351" s="37" t="inlineStr">
        <is>
          <t>8</t>
        </is>
      </c>
      <c r="L351" s="37" t="inlineStr"/>
      <c r="M351" s="38" t="inlineStr">
        <is>
          <t>СК3</t>
        </is>
      </c>
      <c r="N351" s="38" t="n"/>
      <c r="O351" s="37" t="n">
        <v>45</v>
      </c>
      <c r="P351" s="848">
        <f>HYPERLINK("https://abi.ru/products/Охлажденные/Дугушка/Дугушка/Сосиски/P002855/","Сосиски «Сливочные Дугушки» Весовые П/а мгс ТМ «Дугушка»")</f>
        <v/>
      </c>
      <c r="Q351" s="687" t="n"/>
      <c r="R351" s="687" t="n"/>
      <c r="S351" s="687" t="n"/>
      <c r="T351" s="688" t="n"/>
      <c r="U351" s="39" t="inlineStr"/>
      <c r="V351" s="39" t="inlineStr"/>
      <c r="W351" s="40" t="inlineStr">
        <is>
          <t>кг</t>
        </is>
      </c>
      <c r="X351" s="689" t="n">
        <v>0</v>
      </c>
      <c r="Y351" s="690">
        <f>IFERROR(IF(X351="",0,CEILING((X351/$H351),1)*$H351),"")</f>
        <v/>
      </c>
      <c r="Z351" s="41">
        <f>IFERROR(IF(Y351=0,"",ROUNDUP(Y351/H351,0)*0.01898),"")</f>
        <v/>
      </c>
      <c r="AA351" s="68" t="inlineStr"/>
      <c r="AB351" s="69" t="inlineStr"/>
      <c r="AC351" s="394" t="inlineStr">
        <is>
          <t>ЕАЭС N RU Д-RU.РА10.В.10687/23</t>
        </is>
      </c>
      <c r="AG351" s="78" t="n"/>
      <c r="AJ351" s="84" t="inlineStr"/>
      <c r="AK351" s="84" t="n">
        <v>0</v>
      </c>
      <c r="BB351" s="395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>
      <c r="A352" s="410" t="n"/>
      <c r="B352" s="397" t="n"/>
      <c r="C352" s="397" t="n"/>
      <c r="D352" s="397" t="n"/>
      <c r="E352" s="397" t="n"/>
      <c r="F352" s="397" t="n"/>
      <c r="G352" s="397" t="n"/>
      <c r="H352" s="397" t="n"/>
      <c r="I352" s="397" t="n"/>
      <c r="J352" s="397" t="n"/>
      <c r="K352" s="397" t="n"/>
      <c r="L352" s="397" t="n"/>
      <c r="M352" s="397" t="n"/>
      <c r="N352" s="397" t="n"/>
      <c r="O352" s="692" t="n"/>
      <c r="P352" s="693" t="inlineStr">
        <is>
          <t>Итого</t>
        </is>
      </c>
      <c r="Q352" s="654" t="n"/>
      <c r="R352" s="654" t="n"/>
      <c r="S352" s="654" t="n"/>
      <c r="T352" s="654" t="n"/>
      <c r="U352" s="654" t="n"/>
      <c r="V352" s="655" t="n"/>
      <c r="W352" s="42" t="inlineStr">
        <is>
          <t>кор</t>
        </is>
      </c>
      <c r="X352" s="694">
        <f>IFERROR(X350/H350,"0")+IFERROR(X351/H351,"0")</f>
        <v/>
      </c>
      <c r="Y352" s="694">
        <f>IFERROR(Y350/H350,"0")+IFERROR(Y351/H351,"0")</f>
        <v/>
      </c>
      <c r="Z352" s="694">
        <f>IFERROR(IF(Z350="",0,Z350),"0")+IFERROR(IF(Z351="",0,Z351),"0")</f>
        <v/>
      </c>
      <c r="AA352" s="695" t="n"/>
      <c r="AB352" s="695" t="n"/>
      <c r="AC352" s="695" t="n"/>
    </row>
    <row r="353">
      <c r="A353" s="397" t="n"/>
      <c r="B353" s="397" t="n"/>
      <c r="C353" s="397" t="n"/>
      <c r="D353" s="397" t="n"/>
      <c r="E353" s="397" t="n"/>
      <c r="F353" s="397" t="n"/>
      <c r="G353" s="397" t="n"/>
      <c r="H353" s="397" t="n"/>
      <c r="I353" s="397" t="n"/>
      <c r="J353" s="397" t="n"/>
      <c r="K353" s="397" t="n"/>
      <c r="L353" s="397" t="n"/>
      <c r="M353" s="397" t="n"/>
      <c r="N353" s="397" t="n"/>
      <c r="O353" s="692" t="n"/>
      <c r="P353" s="693" t="inlineStr">
        <is>
          <t>Итого</t>
        </is>
      </c>
      <c r="Q353" s="654" t="n"/>
      <c r="R353" s="654" t="n"/>
      <c r="S353" s="654" t="n"/>
      <c r="T353" s="654" t="n"/>
      <c r="U353" s="654" t="n"/>
      <c r="V353" s="655" t="n"/>
      <c r="W353" s="42" t="inlineStr">
        <is>
          <t>кг</t>
        </is>
      </c>
      <c r="X353" s="694">
        <f>IFERROR(SUM(X350:X351),"0")</f>
        <v/>
      </c>
      <c r="Y353" s="694">
        <f>IFERROR(SUM(Y350:Y351),"0")</f>
        <v/>
      </c>
      <c r="Z353" s="42" t="n"/>
      <c r="AA353" s="695" t="n"/>
      <c r="AB353" s="695" t="n"/>
      <c r="AC353" s="695" t="n"/>
    </row>
    <row r="354" ht="15" customHeight="1">
      <c r="A354" s="414" t="n"/>
      <c r="B354" s="397" t="n"/>
      <c r="C354" s="397" t="n"/>
      <c r="D354" s="397" t="n"/>
      <c r="E354" s="397" t="n"/>
      <c r="F354" s="397" t="n"/>
      <c r="G354" s="397" t="n"/>
      <c r="H354" s="397" t="n"/>
      <c r="I354" s="397" t="n"/>
      <c r="J354" s="397" t="n"/>
      <c r="K354" s="397" t="n"/>
      <c r="L354" s="397" t="n"/>
      <c r="M354" s="397" t="n"/>
      <c r="N354" s="397" t="n"/>
      <c r="O354" s="643" t="n"/>
      <c r="P354" s="849" t="inlineStr">
        <is>
          <t>ИТОГО НЕТТО</t>
        </is>
      </c>
      <c r="Q354" s="637" t="n"/>
      <c r="R354" s="637" t="n"/>
      <c r="S354" s="637" t="n"/>
      <c r="T354" s="637" t="n"/>
      <c r="U354" s="637" t="n"/>
      <c r="V354" s="638" t="n"/>
      <c r="W354" s="42" t="inlineStr">
        <is>
          <t>кг</t>
        </is>
      </c>
      <c r="X354" s="694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/>
      </c>
      <c r="Y354" s="694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/>
      </c>
      <c r="Z354" s="42" t="n"/>
      <c r="AA354" s="695" t="n"/>
      <c r="AB354" s="695" t="n"/>
      <c r="AC354" s="695" t="n"/>
    </row>
    <row r="355">
      <c r="A355" s="397" t="n"/>
      <c r="B355" s="397" t="n"/>
      <c r="C355" s="397" t="n"/>
      <c r="D355" s="397" t="n"/>
      <c r="E355" s="397" t="n"/>
      <c r="F355" s="397" t="n"/>
      <c r="G355" s="397" t="n"/>
      <c r="H355" s="397" t="n"/>
      <c r="I355" s="397" t="n"/>
      <c r="J355" s="397" t="n"/>
      <c r="K355" s="397" t="n"/>
      <c r="L355" s="397" t="n"/>
      <c r="M355" s="397" t="n"/>
      <c r="N355" s="397" t="n"/>
      <c r="O355" s="643" t="n"/>
      <c r="P355" s="849" t="inlineStr">
        <is>
          <t>ИТОГО БРУТТО</t>
        </is>
      </c>
      <c r="Q355" s="637" t="n"/>
      <c r="R355" s="637" t="n"/>
      <c r="S355" s="637" t="n"/>
      <c r="T355" s="637" t="n"/>
      <c r="U355" s="637" t="n"/>
      <c r="V355" s="638" t="n"/>
      <c r="W355" s="42" t="inlineStr">
        <is>
          <t>кг</t>
        </is>
      </c>
      <c r="X355" s="694">
        <f>IFERROR(SUM(BM22:BM351),"0")</f>
        <v/>
      </c>
      <c r="Y355" s="694">
        <f>IFERROR(SUM(BN22:BN351),"0")</f>
        <v/>
      </c>
      <c r="Z355" s="42" t="n"/>
      <c r="AA355" s="695" t="n"/>
      <c r="AB355" s="695" t="n"/>
      <c r="AC355" s="695" t="n"/>
    </row>
    <row r="356">
      <c r="A356" s="397" t="n"/>
      <c r="B356" s="397" t="n"/>
      <c r="C356" s="397" t="n"/>
      <c r="D356" s="397" t="n"/>
      <c r="E356" s="397" t="n"/>
      <c r="F356" s="397" t="n"/>
      <c r="G356" s="397" t="n"/>
      <c r="H356" s="397" t="n"/>
      <c r="I356" s="397" t="n"/>
      <c r="J356" s="397" t="n"/>
      <c r="K356" s="397" t="n"/>
      <c r="L356" s="397" t="n"/>
      <c r="M356" s="397" t="n"/>
      <c r="N356" s="397" t="n"/>
      <c r="O356" s="643" t="n"/>
      <c r="P356" s="849" t="inlineStr">
        <is>
          <t>Кол-во паллет</t>
        </is>
      </c>
      <c r="Q356" s="637" t="n"/>
      <c r="R356" s="637" t="n"/>
      <c r="S356" s="637" t="n"/>
      <c r="T356" s="637" t="n"/>
      <c r="U356" s="637" t="n"/>
      <c r="V356" s="638" t="n"/>
      <c r="W356" s="42" t="inlineStr">
        <is>
          <t>шт</t>
        </is>
      </c>
      <c r="X356" s="44">
        <f>ROUNDUP(SUM(BO22:BO351),0)</f>
        <v/>
      </c>
      <c r="Y356" s="44">
        <f>ROUNDUP(SUM(BP22:BP351),0)</f>
        <v/>
      </c>
      <c r="Z356" s="42" t="n"/>
      <c r="AA356" s="695" t="n"/>
      <c r="AB356" s="695" t="n"/>
      <c r="AC356" s="695" t="n"/>
    </row>
    <row r="357">
      <c r="A357" s="397" t="n"/>
      <c r="B357" s="397" t="n"/>
      <c r="C357" s="397" t="n"/>
      <c r="D357" s="397" t="n"/>
      <c r="E357" s="397" t="n"/>
      <c r="F357" s="397" t="n"/>
      <c r="G357" s="397" t="n"/>
      <c r="H357" s="397" t="n"/>
      <c r="I357" s="397" t="n"/>
      <c r="J357" s="397" t="n"/>
      <c r="K357" s="397" t="n"/>
      <c r="L357" s="397" t="n"/>
      <c r="M357" s="397" t="n"/>
      <c r="N357" s="397" t="n"/>
      <c r="O357" s="643" t="n"/>
      <c r="P357" s="849" t="inlineStr">
        <is>
          <t>Вес брутто  с паллетами</t>
        </is>
      </c>
      <c r="Q357" s="637" t="n"/>
      <c r="R357" s="637" t="n"/>
      <c r="S357" s="637" t="n"/>
      <c r="T357" s="637" t="n"/>
      <c r="U357" s="637" t="n"/>
      <c r="V357" s="638" t="n"/>
      <c r="W357" s="42" t="inlineStr">
        <is>
          <t>кг</t>
        </is>
      </c>
      <c r="X357" s="694">
        <f>GrossWeightTotal+PalletQtyTotal*25</f>
        <v/>
      </c>
      <c r="Y357" s="694">
        <f>GrossWeightTotalR+PalletQtyTotalR*25</f>
        <v/>
      </c>
      <c r="Z357" s="42" t="n"/>
      <c r="AA357" s="695" t="n"/>
      <c r="AB357" s="695" t="n"/>
      <c r="AC357" s="695" t="n"/>
    </row>
    <row r="358">
      <c r="A358" s="397" t="n"/>
      <c r="B358" s="397" t="n"/>
      <c r="C358" s="397" t="n"/>
      <c r="D358" s="397" t="n"/>
      <c r="E358" s="397" t="n"/>
      <c r="F358" s="397" t="n"/>
      <c r="G358" s="397" t="n"/>
      <c r="H358" s="397" t="n"/>
      <c r="I358" s="397" t="n"/>
      <c r="J358" s="397" t="n"/>
      <c r="K358" s="397" t="n"/>
      <c r="L358" s="397" t="n"/>
      <c r="M358" s="397" t="n"/>
      <c r="N358" s="397" t="n"/>
      <c r="O358" s="643" t="n"/>
      <c r="P358" s="849" t="inlineStr">
        <is>
          <t>Кол-во коробок</t>
        </is>
      </c>
      <c r="Q358" s="637" t="n"/>
      <c r="R358" s="637" t="n"/>
      <c r="S358" s="637" t="n"/>
      <c r="T358" s="637" t="n"/>
      <c r="U358" s="637" t="n"/>
      <c r="V358" s="638" t="n"/>
      <c r="W358" s="42" t="inlineStr">
        <is>
          <t>шт</t>
        </is>
      </c>
      <c r="X358" s="694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/>
      </c>
      <c r="Y358" s="694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/>
      </c>
      <c r="Z358" s="42" t="n"/>
      <c r="AA358" s="695" t="n"/>
      <c r="AB358" s="695" t="n"/>
      <c r="AC358" s="695" t="n"/>
    </row>
    <row r="359" ht="14.25" customHeight="1">
      <c r="A359" s="397" t="n"/>
      <c r="B359" s="397" t="n"/>
      <c r="C359" s="397" t="n"/>
      <c r="D359" s="397" t="n"/>
      <c r="E359" s="397" t="n"/>
      <c r="F359" s="397" t="n"/>
      <c r="G359" s="397" t="n"/>
      <c r="H359" s="397" t="n"/>
      <c r="I359" s="397" t="n"/>
      <c r="J359" s="397" t="n"/>
      <c r="K359" s="397" t="n"/>
      <c r="L359" s="397" t="n"/>
      <c r="M359" s="397" t="n"/>
      <c r="N359" s="397" t="n"/>
      <c r="O359" s="643" t="n"/>
      <c r="P359" s="849" t="inlineStr">
        <is>
          <t>Объем заказа</t>
        </is>
      </c>
      <c r="Q359" s="637" t="n"/>
      <c r="R359" s="637" t="n"/>
      <c r="S359" s="637" t="n"/>
      <c r="T359" s="637" t="n"/>
      <c r="U359" s="637" t="n"/>
      <c r="V359" s="638" t="n"/>
      <c r="W359" s="45" t="inlineStr">
        <is>
          <t>м3</t>
        </is>
      </c>
      <c r="X359" s="42" t="n"/>
      <c r="Y359" s="42" t="n"/>
      <c r="Z359" s="42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/>
      </c>
      <c r="AA359" s="695" t="n"/>
      <c r="AB359" s="695" t="n"/>
      <c r="AC359" s="695" t="n"/>
    </row>
    <row r="360" ht="13.5" customHeight="1" thickBot="1"/>
    <row r="361" ht="27" customHeight="1" thickBot="1" thickTop="1">
      <c r="A361" s="46" t="inlineStr">
        <is>
          <t>ТОРГОВАЯ МАРКА</t>
        </is>
      </c>
      <c r="B361" s="396" t="inlineStr">
        <is>
          <t>Ядрена копоть</t>
        </is>
      </c>
      <c r="C361" s="396" t="inlineStr">
        <is>
          <t>Вязанка</t>
        </is>
      </c>
      <c r="D361" s="850" t="n"/>
      <c r="E361" s="850" t="n"/>
      <c r="F361" s="850" t="n"/>
      <c r="G361" s="851" t="n"/>
      <c r="H361" s="396" t="inlineStr">
        <is>
          <t>Стародворье</t>
        </is>
      </c>
      <c r="I361" s="850" t="n"/>
      <c r="J361" s="850" t="n"/>
      <c r="K361" s="850" t="n"/>
      <c r="L361" s="850" t="n"/>
      <c r="M361" s="850" t="n"/>
      <c r="N361" s="850" t="n"/>
      <c r="O361" s="850" t="n"/>
      <c r="P361" s="850" t="n"/>
      <c r="Q361" s="850" t="n"/>
      <c r="R361" s="851" t="n"/>
      <c r="S361" s="396" t="inlineStr">
        <is>
          <t>Особый рецепт</t>
        </is>
      </c>
      <c r="T361" s="851" t="n"/>
      <c r="U361" s="396" t="inlineStr">
        <is>
          <t>Баварушка</t>
        </is>
      </c>
      <c r="V361" s="851" t="n"/>
      <c r="W361" s="396" t="inlineStr">
        <is>
          <t>Дугушка</t>
        </is>
      </c>
      <c r="AB361" s="60" t="n"/>
      <c r="AC361" s="60" t="n"/>
      <c r="AF361" s="397" t="n"/>
    </row>
    <row r="362" ht="14.25" customHeight="1" thickTop="1">
      <c r="A362" s="398" t="inlineStr">
        <is>
          <t>СЕРИЯ</t>
        </is>
      </c>
      <c r="B362" s="396" t="inlineStr">
        <is>
          <t>Ядрена копоть</t>
        </is>
      </c>
      <c r="C362" s="396" t="inlineStr">
        <is>
          <t>ГОСТ</t>
        </is>
      </c>
      <c r="D362" s="396" t="inlineStr">
        <is>
          <t>Филейская</t>
        </is>
      </c>
      <c r="E362" s="396" t="inlineStr">
        <is>
          <t>Молокуша</t>
        </is>
      </c>
      <c r="F362" s="396" t="inlineStr">
        <is>
          <t>Сливушка</t>
        </is>
      </c>
      <c r="G362" s="396" t="inlineStr">
        <is>
          <t>Вязанка</t>
        </is>
      </c>
      <c r="H362" s="396" t="inlineStr">
        <is>
          <t>Мясорубская</t>
        </is>
      </c>
      <c r="I362" s="396" t="inlineStr">
        <is>
          <t>Сочинка</t>
        </is>
      </c>
      <c r="J362" s="396" t="inlineStr">
        <is>
          <t>Стародворская</t>
        </is>
      </c>
      <c r="K362" s="396" t="inlineStr">
        <is>
          <t>Филедворская по-стародворски</t>
        </is>
      </c>
      <c r="L362" s="396" t="inlineStr">
        <is>
          <t>Стародворская Золоченная в печи</t>
        </is>
      </c>
      <c r="M362" s="396" t="inlineStr">
        <is>
          <t>Сочинка по-баварски</t>
        </is>
      </c>
      <c r="N362" s="397" t="n"/>
      <c r="O362" s="396" t="inlineStr">
        <is>
          <t>Стародворская EDLP/EDPP</t>
        </is>
      </c>
      <c r="P362" s="396" t="inlineStr">
        <is>
          <t>Филейная</t>
        </is>
      </c>
      <c r="Q362" s="396" t="inlineStr">
        <is>
          <t>Бордо</t>
        </is>
      </c>
      <c r="R362" s="396" t="inlineStr">
        <is>
          <t>Бавария</t>
        </is>
      </c>
      <c r="S362" s="396" t="inlineStr">
        <is>
          <t>Особая</t>
        </is>
      </c>
      <c r="T362" s="396" t="inlineStr">
        <is>
          <t>Особая Без свинины</t>
        </is>
      </c>
      <c r="U362" s="396" t="inlineStr">
        <is>
          <t>Филейбургская</t>
        </is>
      </c>
      <c r="V362" s="396" t="inlineStr">
        <is>
          <t>Балыкбургская</t>
        </is>
      </c>
      <c r="W362" s="396" t="inlineStr">
        <is>
          <t>Дугушка</t>
        </is>
      </c>
      <c r="AB362" s="60" t="n"/>
      <c r="AC362" s="60" t="n"/>
      <c r="AF362" s="397" t="n"/>
    </row>
    <row r="363" ht="13.5" customHeight="1" thickBot="1">
      <c r="A363" s="852" t="n"/>
      <c r="B363" s="853" t="n"/>
      <c r="C363" s="853" t="n"/>
      <c r="D363" s="853" t="n"/>
      <c r="E363" s="853" t="n"/>
      <c r="F363" s="853" t="n"/>
      <c r="G363" s="853" t="n"/>
      <c r="H363" s="853" t="n"/>
      <c r="I363" s="853" t="n"/>
      <c r="J363" s="853" t="n"/>
      <c r="K363" s="853" t="n"/>
      <c r="L363" s="853" t="n"/>
      <c r="M363" s="853" t="n"/>
      <c r="N363" s="397" t="n"/>
      <c r="O363" s="853" t="n"/>
      <c r="P363" s="853" t="n"/>
      <c r="Q363" s="853" t="n"/>
      <c r="R363" s="853" t="n"/>
      <c r="S363" s="853" t="n"/>
      <c r="T363" s="853" t="n"/>
      <c r="U363" s="853" t="n"/>
      <c r="V363" s="853" t="n"/>
      <c r="W363" s="853" t="n"/>
      <c r="AB363" s="60" t="n"/>
      <c r="AC363" s="60" t="n"/>
      <c r="AF363" s="397" t="n"/>
    </row>
    <row r="364" ht="18" customHeight="1" thickBot="1" thickTop="1">
      <c r="A364" s="46" t="inlineStr">
        <is>
          <t>ИТОГО, кг</t>
        </is>
      </c>
      <c r="B364" s="52">
        <f>IFERROR(Y22*1,"0")+IFERROR(Y23*1,"0")+IFERROR(Y27*1,"0")</f>
        <v/>
      </c>
      <c r="C364" s="52">
        <f>IFERROR(Y33*1,"0")+IFERROR(Y34*1,"0")+IFERROR(Y35*1,"0")</f>
        <v/>
      </c>
      <c r="D364" s="52">
        <f>IFERROR(Y40*1,"0")+IFERROR(Y41*1,"0")+IFERROR(Y42*1,"0")+IFERROR(Y43*1,"0")+IFERROR(Y44*1,"0")+IFERROR(Y45*1,"0")+IFERROR(Y49*1,"0")+IFERROR(Y50*1,"0")+IFERROR(Y51*1,"0")+IFERROR(Y52*1,"0")+IFERROR(Y56*1,"0")+IFERROR(Y57*1,"0")</f>
        <v/>
      </c>
      <c r="E364" s="52">
        <f>IFERROR(Y62*1,"0")+IFERROR(Y63*1,"0")+IFERROR(Y67*1,"0")+IFERROR(Y68*1,"0")+IFERROR(Y69*1,"0")</f>
        <v/>
      </c>
      <c r="F364" s="52">
        <f>IFERROR(Y74*1,"0")+IFERROR(Y75*1,"0")+IFERROR(Y76*1,"0")+IFERROR(Y77*1,"0")+IFERROR(Y81*1,"0")+IFERROR(Y82*1,"0")+IFERROR(Y83*1,"0")+IFERROR(Y87*1,"0")+IFERROR(Y88*1,"0")+IFERROR(Y89*1,"0")+IFERROR(Y93*1,"0")</f>
        <v/>
      </c>
      <c r="G364" s="52">
        <f>IFERROR(Y98*1,"0")+IFERROR(Y102*1,"0")+IFERROR(Y103*1,"0")+IFERROR(Y104*1,"0")</f>
        <v/>
      </c>
      <c r="H364" s="52">
        <f>IFERROR(Y110*1,"0")+IFERROR(Y111*1,"0")+IFERROR(Y112*1,"0")+IFERROR(Y113*1,"0")+IFERROR(Y114*1,"0")+IFERROR(Y115*1,"0")+IFERROR(Y116*1,"0")+IFERROR(Y117*1,"0")+IFERROR(Y121*1,"0")+IFERROR(Y122*1,"0")+IFERROR(Y123*1,"0")+IFERROR(Y127*1,"0")</f>
        <v/>
      </c>
      <c r="I364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/>
      </c>
      <c r="J364" s="52">
        <f>IFERROR(Y165*1,"0")+IFERROR(Y166*1,"0")+IFERROR(Y167*1,"0")+IFERROR(Y168*1,"0")+IFERROR(Y169*1,"0")+IFERROR(Y170*1,"0")</f>
        <v/>
      </c>
      <c r="K364" s="52">
        <f>IFERROR(Y175*1,"0")+IFERROR(Y176*1,"0")+IFERROR(Y177*1,"0")+IFERROR(Y178*1,"0")+IFERROR(Y179*1,"0")</f>
        <v/>
      </c>
      <c r="L364" s="52">
        <f>IFERROR(Y184*1,"0")+IFERROR(Y185*1,"0")</f>
        <v/>
      </c>
      <c r="M364" s="52">
        <f>IFERROR(Y190*1,"0")</f>
        <v/>
      </c>
      <c r="N364" s="397" t="n"/>
      <c r="O364" s="52">
        <f>IFERROR(Y195*1,"0")</f>
        <v/>
      </c>
      <c r="P364" s="52">
        <f>IFERROR(Y200*1,"0")</f>
        <v/>
      </c>
      <c r="Q364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/>
      </c>
      <c r="R364" s="52">
        <f>IFERROR(Y250*1,"0")+IFERROR(Y251*1,"0")</f>
        <v/>
      </c>
      <c r="S364" s="52">
        <f>IFERROR(Y257*1,"0")+IFERROR(Y258*1,"0")+IFERROR(Y259*1,"0")+IFERROR(Y260*1,"0")+IFERROR(Y261*1,"0")+IFERROR(Y262*1,"0")+IFERROR(Y266*1,"0")+IFERROR(Y267*1,"0")+IFERROR(Y271*1,"0")+IFERROR(Y272*1,"0")+IFERROR(Y276*1,"0")</f>
        <v/>
      </c>
      <c r="T364" s="52">
        <f>IFERROR(Y281*1,"0")+IFERROR(Y282*1,"0")+IFERROR(Y283*1,"0")+IFERROR(Y287*1,"0")+IFERROR(Y291*1,"0")+IFERROR(Y292*1,"0")+IFERROR(Y296*1,"0")</f>
        <v/>
      </c>
      <c r="U364" s="52">
        <f>IFERROR(Y302*1,"0")+IFERROR(Y303*1,"0")+IFERROR(Y304*1,"0")+IFERROR(Y305*1,"0")+IFERROR(Y309*1,"0")+IFERROR(Y310*1,"0")</f>
        <v/>
      </c>
      <c r="V364" s="52">
        <f>IFERROR(Y315*1,"0")+IFERROR(Y319*1,"0")</f>
        <v/>
      </c>
      <c r="W364" s="52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/>
      </c>
      <c r="AB364" s="60" t="n"/>
      <c r="AC364" s="60" t="n"/>
      <c r="AF364" s="397" t="n"/>
    </row>
    <row r="3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KvJo8obZleuJF/GPqvEtA==" formatRows="1" sort="0" spinCount="100000" hashValue="KnxDT99cq0+bXNGMBA0CKUrQGOZXXnIzHjBfPuEmSjuJrStqpem8ZY2mKNQpIlYfmoQYnLaH/MxVcEB3wCRjT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640">
    <mergeCell ref="P244:T244"/>
    <mergeCell ref="P144:T144"/>
    <mergeCell ref="P315:T315"/>
    <mergeCell ref="P231:T231"/>
    <mergeCell ref="P302:T302"/>
    <mergeCell ref="A270:Z270"/>
    <mergeCell ref="D45:E45"/>
    <mergeCell ref="H9:I9"/>
    <mergeCell ref="P24:V24"/>
    <mergeCell ref="D281:E281"/>
    <mergeCell ref="P211:V211"/>
    <mergeCell ref="P155:T155"/>
    <mergeCell ref="A70:O71"/>
    <mergeCell ref="D238:E238"/>
    <mergeCell ref="A80:Z80"/>
    <mergeCell ref="P213:T213"/>
    <mergeCell ref="P328:T328"/>
    <mergeCell ref="D205:E205"/>
    <mergeCell ref="A55:Z55"/>
    <mergeCell ref="D362:D363"/>
    <mergeCell ref="R1:T1"/>
    <mergeCell ref="P150:T150"/>
    <mergeCell ref="F362:F363"/>
    <mergeCell ref="P326:T326"/>
    <mergeCell ref="D332:E332"/>
    <mergeCell ref="P215:T215"/>
    <mergeCell ref="A316:O317"/>
    <mergeCell ref="A139:O140"/>
    <mergeCell ref="A46:O47"/>
    <mergeCell ref="P165:T165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A171:O172"/>
    <mergeCell ref="D258:E258"/>
    <mergeCell ref="A60:Z60"/>
    <mergeCell ref="P81:T81"/>
    <mergeCell ref="P56:T56"/>
    <mergeCell ref="V10:W10"/>
    <mergeCell ref="D195:E195"/>
    <mergeCell ref="D287:E287"/>
    <mergeCell ref="P170:T170"/>
    <mergeCell ref="A94:O95"/>
    <mergeCell ref="P145:T145"/>
    <mergeCell ref="D351:E351"/>
    <mergeCell ref="P160:T160"/>
    <mergeCell ref="P209:T209"/>
    <mergeCell ref="W17:W18"/>
    <mergeCell ref="O362:O363"/>
    <mergeCell ref="P90:V90"/>
    <mergeCell ref="A86:Z86"/>
    <mergeCell ref="P161:V161"/>
    <mergeCell ref="A306:O307"/>
    <mergeCell ref="D142:E142"/>
    <mergeCell ref="D7:M7"/>
    <mergeCell ref="P91:V91"/>
    <mergeCell ref="P236:T236"/>
    <mergeCell ref="D144:E144"/>
    <mergeCell ref="D315:E315"/>
    <mergeCell ref="D302:E302"/>
    <mergeCell ref="P271:T271"/>
    <mergeCell ref="D81:E81"/>
    <mergeCell ref="D208:E208"/>
    <mergeCell ref="D8:M8"/>
    <mergeCell ref="P44:T44"/>
    <mergeCell ref="P237:T237"/>
    <mergeCell ref="A161:O162"/>
    <mergeCell ref="P329:T329"/>
    <mergeCell ref="P180:V180"/>
    <mergeCell ref="P118:V118"/>
    <mergeCell ref="P266:T266"/>
    <mergeCell ref="P331:T33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D67:E67"/>
    <mergeCell ref="D5:E5"/>
    <mergeCell ref="D303:E303"/>
    <mergeCell ref="P42:T42"/>
    <mergeCell ref="P259:T259"/>
    <mergeCell ref="D69:E69"/>
    <mergeCell ref="A240:O241"/>
    <mergeCell ref="P162:V162"/>
    <mergeCell ref="A279:Z279"/>
    <mergeCell ref="P106:V106"/>
    <mergeCell ref="P264:V264"/>
    <mergeCell ref="A300:Z300"/>
    <mergeCell ref="P269:V269"/>
    <mergeCell ref="L362:L363"/>
    <mergeCell ref="P333:V333"/>
    <mergeCell ref="D145:E145"/>
    <mergeCell ref="D272:E272"/>
    <mergeCell ref="D87:E87"/>
    <mergeCell ref="P166:T166"/>
    <mergeCell ref="D209:E209"/>
    <mergeCell ref="P337:T337"/>
    <mergeCell ref="D245:E245"/>
    <mergeCell ref="P116:T116"/>
    <mergeCell ref="D122:E122"/>
    <mergeCell ref="D224:E224"/>
    <mergeCell ref="A26:Z26"/>
    <mergeCell ref="P103:T103"/>
    <mergeCell ref="A227:O228"/>
    <mergeCell ref="P59:V59"/>
    <mergeCell ref="P230:T230"/>
    <mergeCell ref="P168:T168"/>
    <mergeCell ref="A233:O234"/>
    <mergeCell ref="D1:F1"/>
    <mergeCell ref="P46:V46"/>
    <mergeCell ref="A242:Z242"/>
    <mergeCell ref="A313:Z313"/>
    <mergeCell ref="J17:J18"/>
    <mergeCell ref="D82:E82"/>
    <mergeCell ref="L17:L18"/>
    <mergeCell ref="P359:V359"/>
    <mergeCell ref="P321:V321"/>
    <mergeCell ref="M362:M363"/>
    <mergeCell ref="A293:O294"/>
    <mergeCell ref="P125:V125"/>
    <mergeCell ref="A308:Z308"/>
    <mergeCell ref="P277:V277"/>
    <mergeCell ref="P113:T113"/>
    <mergeCell ref="A173:Z173"/>
    <mergeCell ref="P17:T18"/>
    <mergeCell ref="A229:Z229"/>
    <mergeCell ref="P348:V348"/>
    <mergeCell ref="P63:T63"/>
    <mergeCell ref="A148:Z148"/>
    <mergeCell ref="A53:O54"/>
    <mergeCell ref="A180:O181"/>
    <mergeCell ref="P50:T50"/>
    <mergeCell ref="P250:T250"/>
    <mergeCell ref="D329:E329"/>
    <mergeCell ref="D77:E77"/>
    <mergeCell ref="P258:T258"/>
    <mergeCell ref="P52:T52"/>
    <mergeCell ref="P223:T223"/>
    <mergeCell ref="P350:T350"/>
    <mergeCell ref="D160:E160"/>
    <mergeCell ref="P201:V201"/>
    <mergeCell ref="P139:V139"/>
    <mergeCell ref="I17:I18"/>
    <mergeCell ref="A246:O247"/>
    <mergeCell ref="P287:T287"/>
    <mergeCell ref="P281:T281"/>
    <mergeCell ref="A120:Z120"/>
    <mergeCell ref="A301:Z301"/>
    <mergeCell ref="Q9:R9"/>
    <mergeCell ref="P36:V36"/>
    <mergeCell ref="A32:Z32"/>
    <mergeCell ref="P278:V278"/>
    <mergeCell ref="A159:Z159"/>
    <mergeCell ref="A97:Z97"/>
    <mergeCell ref="Q11:R11"/>
    <mergeCell ref="P205:T205"/>
    <mergeCell ref="D260:E260"/>
    <mergeCell ref="A290:Z290"/>
    <mergeCell ref="A6:C6"/>
    <mergeCell ref="D309:E309"/>
    <mergeCell ref="D113:E113"/>
    <mergeCell ref="A96:Z96"/>
    <mergeCell ref="D88:E88"/>
    <mergeCell ref="P142:T142"/>
    <mergeCell ref="P167:T167"/>
    <mergeCell ref="V362:V363"/>
    <mergeCell ref="P117:T117"/>
    <mergeCell ref="D115:E115"/>
    <mergeCell ref="Q12:R12"/>
    <mergeCell ref="P169:T169"/>
    <mergeCell ref="D261:E261"/>
    <mergeCell ref="P196:V196"/>
    <mergeCell ref="E362:E363"/>
    <mergeCell ref="G362:G363"/>
    <mergeCell ref="P354:V354"/>
    <mergeCell ref="P298:V298"/>
    <mergeCell ref="P347:V347"/>
    <mergeCell ref="A5:C5"/>
    <mergeCell ref="P64:V64"/>
    <mergeCell ref="P135:V135"/>
    <mergeCell ref="P191:V191"/>
    <mergeCell ref="D179:E179"/>
    <mergeCell ref="A174:Z174"/>
    <mergeCell ref="A108:Z108"/>
    <mergeCell ref="D166:E166"/>
    <mergeCell ref="D337:E337"/>
    <mergeCell ref="P128:V128"/>
    <mergeCell ref="A17:A18"/>
    <mergeCell ref="K17:K18"/>
    <mergeCell ref="A189:Z189"/>
    <mergeCell ref="C17:C18"/>
    <mergeCell ref="P195:T195"/>
    <mergeCell ref="D103:E103"/>
    <mergeCell ref="D230:E230"/>
    <mergeCell ref="D168:E168"/>
    <mergeCell ref="D9:E9"/>
    <mergeCell ref="P137:T137"/>
    <mergeCell ref="F9:G9"/>
    <mergeCell ref="D167:E167"/>
    <mergeCell ref="P351:T351"/>
    <mergeCell ref="D232:E232"/>
    <mergeCell ref="A210:O211"/>
    <mergeCell ref="P68:T68"/>
    <mergeCell ref="P239:T239"/>
    <mergeCell ref="P186:V186"/>
    <mergeCell ref="D169:E169"/>
    <mergeCell ref="P253:V253"/>
    <mergeCell ref="A265:Z265"/>
    <mergeCell ref="P132:T132"/>
    <mergeCell ref="P303:T303"/>
    <mergeCell ref="P146:V146"/>
    <mergeCell ref="P317:V317"/>
    <mergeCell ref="D63:E63"/>
    <mergeCell ref="A31:Z31"/>
    <mergeCell ref="D330:E330"/>
    <mergeCell ref="P181:V181"/>
    <mergeCell ref="P305:T305"/>
    <mergeCell ref="B362:B363"/>
    <mergeCell ref="A201:O202"/>
    <mergeCell ref="P306:V306"/>
    <mergeCell ref="D52:E52"/>
    <mergeCell ref="D350:E350"/>
    <mergeCell ref="D27:E27"/>
    <mergeCell ref="D325:E325"/>
    <mergeCell ref="P208:T208"/>
    <mergeCell ref="P15:T16"/>
    <mergeCell ref="A338:O339"/>
    <mergeCell ref="D116:E116"/>
    <mergeCell ref="P23:T23"/>
    <mergeCell ref="A164:Z164"/>
    <mergeCell ref="A335:Z335"/>
    <mergeCell ref="P272:T272"/>
    <mergeCell ref="D156:E156"/>
    <mergeCell ref="D327:E327"/>
    <mergeCell ref="A196:O197"/>
    <mergeCell ref="P185:T185"/>
    <mergeCell ref="A146:O147"/>
    <mergeCell ref="P283:T283"/>
    <mergeCell ref="D93:E93"/>
    <mergeCell ref="A277:O278"/>
    <mergeCell ref="U362:U363"/>
    <mergeCell ref="W362:W363"/>
    <mergeCell ref="P122:T122"/>
    <mergeCell ref="P297:V297"/>
    <mergeCell ref="A322:Z322"/>
    <mergeCell ref="P288:V288"/>
    <mergeCell ref="P43:T43"/>
    <mergeCell ref="P65:V65"/>
    <mergeCell ref="D328:E328"/>
    <mergeCell ref="A188:Z188"/>
    <mergeCell ref="P263:V263"/>
    <mergeCell ref="A126:Z126"/>
    <mergeCell ref="P228:V228"/>
    <mergeCell ref="A12:M12"/>
    <mergeCell ref="A109:Z109"/>
    <mergeCell ref="D251:E251"/>
    <mergeCell ref="A324:Z324"/>
    <mergeCell ref="P293:V293"/>
    <mergeCell ref="P355:V355"/>
    <mergeCell ref="D343:E343"/>
    <mergeCell ref="P74:T74"/>
    <mergeCell ref="A19:Z19"/>
    <mergeCell ref="P310:T310"/>
    <mergeCell ref="A14:M14"/>
    <mergeCell ref="D345:E345"/>
    <mergeCell ref="P138:T138"/>
    <mergeCell ref="T5:U5"/>
    <mergeCell ref="P76:T76"/>
    <mergeCell ref="V5:W5"/>
    <mergeCell ref="D190:E190"/>
    <mergeCell ref="A48:Z48"/>
    <mergeCell ref="P294:V294"/>
    <mergeCell ref="D40:E40"/>
    <mergeCell ref="D111:E111"/>
    <mergeCell ref="D282:E282"/>
    <mergeCell ref="A347:O348"/>
    <mergeCell ref="Q8:R8"/>
    <mergeCell ref="A28:O29"/>
    <mergeCell ref="P69:T69"/>
    <mergeCell ref="A186:O187"/>
    <mergeCell ref="P267:T267"/>
    <mergeCell ref="D104:E104"/>
    <mergeCell ref="A288:O289"/>
    <mergeCell ref="T6:U9"/>
    <mergeCell ref="Q10:R10"/>
    <mergeCell ref="D185:E185"/>
    <mergeCell ref="D41:E41"/>
    <mergeCell ref="P296:T296"/>
    <mergeCell ref="P25:V25"/>
    <mergeCell ref="P85:V85"/>
    <mergeCell ref="A252:O253"/>
    <mergeCell ref="D43:E43"/>
    <mergeCell ref="P84:V84"/>
    <mergeCell ref="P320:V320"/>
    <mergeCell ref="D137:E137"/>
    <mergeCell ref="P216:T216"/>
    <mergeCell ref="P124:V124"/>
    <mergeCell ref="D74:E74"/>
    <mergeCell ref="P87:T87"/>
    <mergeCell ref="D68:E68"/>
    <mergeCell ref="A203:Z203"/>
    <mergeCell ref="P245:T245"/>
    <mergeCell ref="P224:T224"/>
    <mergeCell ref="A362:A363"/>
    <mergeCell ref="D132:E132"/>
    <mergeCell ref="P89:T89"/>
    <mergeCell ref="P260:T260"/>
    <mergeCell ref="P309:T309"/>
    <mergeCell ref="D178:E178"/>
    <mergeCell ref="P88:T88"/>
    <mergeCell ref="P51:T51"/>
    <mergeCell ref="P153:T153"/>
    <mergeCell ref="A92:Z92"/>
    <mergeCell ref="P338:V338"/>
    <mergeCell ref="P227:V227"/>
    <mergeCell ref="P71:V71"/>
    <mergeCell ref="P202:V202"/>
    <mergeCell ref="P307:V307"/>
    <mergeCell ref="P58:V58"/>
    <mergeCell ref="A13:M13"/>
    <mergeCell ref="P79:V79"/>
    <mergeCell ref="T362:T363"/>
    <mergeCell ref="P115:T115"/>
    <mergeCell ref="A256:Z256"/>
    <mergeCell ref="A15:M15"/>
    <mergeCell ref="P238:T238"/>
    <mergeCell ref="A183:Z183"/>
    <mergeCell ref="D346:E346"/>
    <mergeCell ref="P77:T77"/>
    <mergeCell ref="A193:Z193"/>
    <mergeCell ref="P179:T179"/>
    <mergeCell ref="A198:Z198"/>
    <mergeCell ref="J9:M9"/>
    <mergeCell ref="D112:E112"/>
    <mergeCell ref="D283:E283"/>
    <mergeCell ref="A90:O91"/>
    <mergeCell ref="D62:E62"/>
    <mergeCell ref="D56:E56"/>
    <mergeCell ref="D127:E127"/>
    <mergeCell ref="P206:T206"/>
    <mergeCell ref="D176:E176"/>
    <mergeCell ref="P304:T304"/>
    <mergeCell ref="D114:E114"/>
    <mergeCell ref="P220:V220"/>
    <mergeCell ref="A273:O274"/>
    <mergeCell ref="P143:T143"/>
    <mergeCell ref="D51:E51"/>
    <mergeCell ref="P157:V157"/>
    <mergeCell ref="A38:Z38"/>
    <mergeCell ref="S361:T361"/>
    <mergeCell ref="A280:Z280"/>
    <mergeCell ref="U361:V361"/>
    <mergeCell ref="P207:T207"/>
    <mergeCell ref="P172:V172"/>
    <mergeCell ref="P28:V28"/>
    <mergeCell ref="D138:E138"/>
    <mergeCell ref="P232:T232"/>
    <mergeCell ref="P330:T330"/>
    <mergeCell ref="A275:Z275"/>
    <mergeCell ref="D267:E267"/>
    <mergeCell ref="A340:Z340"/>
    <mergeCell ref="H17:H18"/>
    <mergeCell ref="P261:T261"/>
    <mergeCell ref="P332:T332"/>
    <mergeCell ref="P217:T217"/>
    <mergeCell ref="D296:E296"/>
    <mergeCell ref="A157:O158"/>
    <mergeCell ref="P27:T27"/>
    <mergeCell ref="A284:O285"/>
    <mergeCell ref="D75:E75"/>
    <mergeCell ref="A84:O85"/>
    <mergeCell ref="P154:T154"/>
    <mergeCell ref="A78:O79"/>
    <mergeCell ref="D206:E206"/>
    <mergeCell ref="P247:V247"/>
    <mergeCell ref="P325:T325"/>
    <mergeCell ref="P241:V241"/>
    <mergeCell ref="A66:Z66"/>
    <mergeCell ref="P156:T156"/>
    <mergeCell ref="P252:V252"/>
    <mergeCell ref="P327:T327"/>
    <mergeCell ref="P105:V105"/>
    <mergeCell ref="P99:V99"/>
    <mergeCell ref="P316:V316"/>
    <mergeCell ref="A141:Z141"/>
    <mergeCell ref="H10:M10"/>
    <mergeCell ref="AA17:AA18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P343:T343"/>
    <mergeCell ref="D153:E153"/>
    <mergeCell ref="V6:W9"/>
    <mergeCell ref="P234:V234"/>
    <mergeCell ref="D217:E217"/>
    <mergeCell ref="P345:T345"/>
    <mergeCell ref="P222:T222"/>
    <mergeCell ref="P22:T22"/>
    <mergeCell ref="P40:T40"/>
    <mergeCell ref="A61:Z61"/>
    <mergeCell ref="P334:V334"/>
    <mergeCell ref="P257:T257"/>
    <mergeCell ref="P54:V54"/>
    <mergeCell ref="Z17:Z18"/>
    <mergeCell ref="AB17:AB18"/>
    <mergeCell ref="P29:V29"/>
    <mergeCell ref="P100:V100"/>
    <mergeCell ref="P94:V94"/>
    <mergeCell ref="A212:Z212"/>
    <mergeCell ref="H5:M5"/>
    <mergeCell ref="P158:V158"/>
    <mergeCell ref="P98:T98"/>
    <mergeCell ref="P225:T225"/>
    <mergeCell ref="C362:C363"/>
    <mergeCell ref="D6:M6"/>
    <mergeCell ref="D304:E304"/>
    <mergeCell ref="P175:T175"/>
    <mergeCell ref="P95:V95"/>
    <mergeCell ref="D83:E83"/>
    <mergeCell ref="D143:E143"/>
    <mergeCell ref="D319:E319"/>
    <mergeCell ref="P177:T177"/>
    <mergeCell ref="P33:T33"/>
    <mergeCell ref="P93:T93"/>
    <mergeCell ref="P226:T226"/>
    <mergeCell ref="D207:E207"/>
    <mergeCell ref="D222:E222"/>
    <mergeCell ref="P35:T35"/>
    <mergeCell ref="G17:G18"/>
    <mergeCell ref="A295:Z295"/>
    <mergeCell ref="P171:V171"/>
    <mergeCell ref="P357:V357"/>
    <mergeCell ref="A182:Z182"/>
    <mergeCell ref="P190:T190"/>
    <mergeCell ref="P240:V240"/>
    <mergeCell ref="P111:T111"/>
    <mergeCell ref="D154:E154"/>
    <mergeCell ref="D225:E225"/>
    <mergeCell ref="P282:T282"/>
    <mergeCell ref="D200:E200"/>
    <mergeCell ref="D292:E292"/>
    <mergeCell ref="A105:O106"/>
    <mergeCell ref="P346:T346"/>
    <mergeCell ref="A9:C9"/>
    <mergeCell ref="P112:T112"/>
    <mergeCell ref="C361:G361"/>
    <mergeCell ref="P273:V273"/>
    <mergeCell ref="D231:E231"/>
    <mergeCell ref="P70:V70"/>
    <mergeCell ref="A219:O220"/>
    <mergeCell ref="A299:Z299"/>
    <mergeCell ref="Q13:R13"/>
    <mergeCell ref="P134:V134"/>
    <mergeCell ref="P268:V268"/>
    <mergeCell ref="P339:V339"/>
    <mergeCell ref="P47:V47"/>
    <mergeCell ref="P176:T176"/>
    <mergeCell ref="P114:T114"/>
    <mergeCell ref="P41:T41"/>
    <mergeCell ref="Q362:Q363"/>
    <mergeCell ref="D22:E22"/>
    <mergeCell ref="D155:E155"/>
    <mergeCell ref="S362:S363"/>
    <mergeCell ref="D149:E149"/>
    <mergeCell ref="A333:O334"/>
    <mergeCell ref="A320:O321"/>
    <mergeCell ref="P178:T178"/>
    <mergeCell ref="P34:T34"/>
    <mergeCell ref="P276:T276"/>
    <mergeCell ref="P214:T214"/>
    <mergeCell ref="D257:E257"/>
    <mergeCell ref="D213:E213"/>
    <mergeCell ref="A64:O65"/>
    <mergeCell ref="D151:E151"/>
    <mergeCell ref="P192:V192"/>
    <mergeCell ref="A191:O192"/>
    <mergeCell ref="P341:T341"/>
    <mergeCell ref="P49:T49"/>
    <mergeCell ref="P284:V284"/>
    <mergeCell ref="D150:E150"/>
    <mergeCell ref="P129:V129"/>
    <mergeCell ref="A128:O129"/>
    <mergeCell ref="D215:E215"/>
    <mergeCell ref="M17:M18"/>
    <mergeCell ref="O17:O18"/>
    <mergeCell ref="P336:T336"/>
    <mergeCell ref="P187:V187"/>
    <mergeCell ref="A248:Z248"/>
    <mergeCell ref="A235:Z235"/>
    <mergeCell ref="P102:T102"/>
    <mergeCell ref="D177:E177"/>
    <mergeCell ref="D33:E33"/>
    <mergeCell ref="D226:E226"/>
    <mergeCell ref="P352:V352"/>
    <mergeCell ref="P62:T62"/>
    <mergeCell ref="P2:W3"/>
    <mergeCell ref="P133:T133"/>
    <mergeCell ref="A323:Z323"/>
    <mergeCell ref="P127:T127"/>
    <mergeCell ref="D35:E35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AD17:AF18"/>
    <mergeCell ref="D76:E76"/>
    <mergeCell ref="F5:G5"/>
    <mergeCell ref="A352:O353"/>
    <mergeCell ref="A221:Z221"/>
    <mergeCell ref="P67:T67"/>
    <mergeCell ref="P119:V119"/>
    <mergeCell ref="H361:R361"/>
    <mergeCell ref="D175:E175"/>
    <mergeCell ref="A36:O37"/>
    <mergeCell ref="P82:T82"/>
    <mergeCell ref="V11:W11"/>
    <mergeCell ref="P57:T57"/>
    <mergeCell ref="D165:E165"/>
    <mergeCell ref="P75:T75"/>
    <mergeCell ref="P342:T342"/>
    <mergeCell ref="D152:E152"/>
    <mergeCell ref="D223:E223"/>
    <mergeCell ref="A263:O264"/>
    <mergeCell ref="A254:Z254"/>
    <mergeCell ref="P121:T121"/>
    <mergeCell ref="A354:O359"/>
    <mergeCell ref="D23:E23"/>
    <mergeCell ref="P362:P363"/>
    <mergeCell ref="D216:E216"/>
    <mergeCell ref="P344:T344"/>
    <mergeCell ref="A134:O135"/>
    <mergeCell ref="A20:Z20"/>
    <mergeCell ref="H362:H363"/>
    <mergeCell ref="J362:J363"/>
    <mergeCell ref="A318:Z318"/>
    <mergeCell ref="R362:R363"/>
    <mergeCell ref="P123:T123"/>
    <mergeCell ref="P358:V358"/>
    <mergeCell ref="P110:T110"/>
    <mergeCell ref="D218:E218"/>
    <mergeCell ref="P197:V197"/>
    <mergeCell ref="P53:V53"/>
    <mergeCell ref="A249:Z249"/>
    <mergeCell ref="P289:V289"/>
    <mergeCell ref="A314:Z314"/>
    <mergeCell ref="P262:T262"/>
    <mergeCell ref="A107:Z107"/>
    <mergeCell ref="D276:E276"/>
    <mergeCell ref="A349:Z349"/>
    <mergeCell ref="P353:V353"/>
    <mergeCell ref="D170:E170"/>
    <mergeCell ref="D341:E341"/>
    <mergeCell ref="N17:N18"/>
    <mergeCell ref="D49:E49"/>
    <mergeCell ref="Q5:R5"/>
    <mergeCell ref="F17:F18"/>
    <mergeCell ref="A58:O59"/>
    <mergeCell ref="P291:T291"/>
    <mergeCell ref="A24:O25"/>
    <mergeCell ref="D244:E244"/>
    <mergeCell ref="D342:E342"/>
    <mergeCell ref="D336:E336"/>
    <mergeCell ref="Q6:R6"/>
    <mergeCell ref="P200:T200"/>
    <mergeCell ref="A124:O125"/>
    <mergeCell ref="P243:T243"/>
    <mergeCell ref="A118:O119"/>
    <mergeCell ref="P292:T292"/>
    <mergeCell ref="D102:E102"/>
    <mergeCell ref="A204:Z204"/>
    <mergeCell ref="P219:V219"/>
    <mergeCell ref="D133:E133"/>
    <mergeCell ref="P210:V210"/>
    <mergeCell ref="P83:T83"/>
    <mergeCell ref="D271:E271"/>
    <mergeCell ref="V12:W12"/>
    <mergeCell ref="P319:T319"/>
    <mergeCell ref="D262:E262"/>
    <mergeCell ref="D237:E237"/>
    <mergeCell ref="A39:Z39"/>
    <mergeCell ref="P285:V285"/>
    <mergeCell ref="A30:Z30"/>
    <mergeCell ref="D291:E291"/>
    <mergeCell ref="D239:E239"/>
    <mergeCell ref="D266:E266"/>
    <mergeCell ref="P149:T149"/>
    <mergeCell ref="U17:V17"/>
    <mergeCell ref="Y17:Y18"/>
    <mergeCell ref="D331:E331"/>
    <mergeCell ref="D57:E57"/>
    <mergeCell ref="A8:C8"/>
    <mergeCell ref="P151:T151"/>
    <mergeCell ref="A268:O269"/>
    <mergeCell ref="A255:Z255"/>
    <mergeCell ref="A10:C10"/>
    <mergeCell ref="P218:T218"/>
    <mergeCell ref="P140:V140"/>
    <mergeCell ref="A136:Z136"/>
    <mergeCell ref="A21:Z21"/>
    <mergeCell ref="P311:V311"/>
    <mergeCell ref="D184:E184"/>
    <mergeCell ref="I362:I363"/>
    <mergeCell ref="K362:K363"/>
    <mergeCell ref="D121:E121"/>
    <mergeCell ref="A194:Z194"/>
    <mergeCell ref="A99:O100"/>
    <mergeCell ref="D42:E42"/>
    <mergeCell ref="P356:V356"/>
    <mergeCell ref="D17:E18"/>
    <mergeCell ref="D344:E344"/>
    <mergeCell ref="A131:Z131"/>
    <mergeCell ref="X17:X18"/>
    <mergeCell ref="D123:E123"/>
    <mergeCell ref="D250:E250"/>
    <mergeCell ref="D50:E50"/>
    <mergeCell ref="D110:E110"/>
    <mergeCell ref="D44:E44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MOS PROD TORG, ООО, 100011, Яшнободский район, Ташкент г, JARQOґRGґON KOґCHASI, 22A-UY</t>
        </is>
      </c>
      <c r="C6" s="53" t="inlineStr">
        <is>
          <t>592056_1</t>
        </is>
      </c>
      <c r="D6" s="53" t="inlineStr">
        <is>
          <t>1</t>
        </is>
      </c>
      <c r="E6" s="53" t="inlineStr"/>
    </row>
    <row r="8">
      <c r="B8" s="53" t="inlineStr">
        <is>
          <t>100011, Яшнободский район, Ташкент г, JARQOґRGґON KOґCHASI, 22A-UYUZB</t>
        </is>
      </c>
      <c r="C8" s="53" t="inlineStr">
        <is>
          <t>592056_1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uMrgC9/EBQIOfNQcVBlQg==" formatRows="1" sort="0" spinCount="100000" hashValue="F7+V0QtSbYg7qhvW5h/ffwdl+ulyChAodTU6HjFfz/zkq2YzuGsnbuimHu/JU5YfE7+UPbcfowA7bS8X3/uW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2025-08-29T13:03:54Z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