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FD53F1EA-5624-4C71-84BB-13EC9057469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заказа'!$X$500:$X$500</definedName>
    <definedName name="GrossWeightTotalR">'Бланк заказа'!$Y$500:$Y$500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заказа'!$X$501:$X$501</definedName>
    <definedName name="PalletQtyTotalR">'Бланк заказа'!$Y$501:$Y$501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заказа'!$B$447:$B$447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заказа'!$B$475:$B$475</definedName>
    <definedName name="ProductId227">'Бланк заказа'!$B$476:$B$476</definedName>
    <definedName name="ProductId228">'Бланк заказа'!$B$477:$B$477</definedName>
    <definedName name="ProductId229">'Бланк заказа'!$B$481:$B$481</definedName>
    <definedName name="ProductId23">'Бланк заказа'!$B$68:$B$68</definedName>
    <definedName name="ProductId230">'Бланк заказа'!$B$482:$B$482</definedName>
    <definedName name="ProductId231">'Бланк заказа'!$B$486:$B$486</definedName>
    <definedName name="ProductId232">'Бланк заказа'!$B$490:$B$490</definedName>
    <definedName name="ProductId233">'Бланк заказа'!$B$491:$B$491</definedName>
    <definedName name="ProductId234">'Бланк заказа'!$B$496:$B$496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заказа'!$X$447:$X$447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заказа'!$X$475:$X$475</definedName>
    <definedName name="SalesQty227">'Бланк заказа'!$X$476:$X$476</definedName>
    <definedName name="SalesQty228">'Бланк заказа'!$X$477:$X$477</definedName>
    <definedName name="SalesQty229">'Бланк заказа'!$X$481:$X$481</definedName>
    <definedName name="SalesQty23">'Бланк заказа'!$X$68:$X$68</definedName>
    <definedName name="SalesQty230">'Бланк заказа'!$X$482:$X$482</definedName>
    <definedName name="SalesQty231">'Бланк заказа'!$X$486:$X$486</definedName>
    <definedName name="SalesQty232">'Бланк заказа'!$X$490:$X$490</definedName>
    <definedName name="SalesQty233">'Бланк заказа'!$X$491:$X$491</definedName>
    <definedName name="SalesQty234">'Бланк заказа'!$X$496:$X$496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заказа'!$Y$447:$Y$447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заказа'!$Y$475:$Y$475</definedName>
    <definedName name="SalesRoundBox227">'Бланк заказа'!$Y$476:$Y$476</definedName>
    <definedName name="SalesRoundBox228">'Бланк заказа'!$Y$477:$Y$477</definedName>
    <definedName name="SalesRoundBox229">'Бланк заказа'!$Y$481:$Y$481</definedName>
    <definedName name="SalesRoundBox23">'Бланк заказа'!$Y$68:$Y$68</definedName>
    <definedName name="SalesRoundBox230">'Бланк заказа'!$Y$482:$Y$482</definedName>
    <definedName name="SalesRoundBox231">'Бланк заказа'!$Y$486:$Y$486</definedName>
    <definedName name="SalesRoundBox232">'Бланк заказа'!$Y$490:$Y$490</definedName>
    <definedName name="SalesRoundBox233">'Бланк заказа'!$Y$491:$Y$491</definedName>
    <definedName name="SalesRoundBox234">'Бланк заказа'!$Y$496:$Y$496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заказа'!$W$447:$W$447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заказа'!$W$475:$W$475</definedName>
    <definedName name="UnitOfMeasure227">'Бланк заказа'!$W$476:$W$476</definedName>
    <definedName name="UnitOfMeasure228">'Бланк заказа'!$W$477:$W$477</definedName>
    <definedName name="UnitOfMeasure229">'Бланк заказа'!$W$481:$W$481</definedName>
    <definedName name="UnitOfMeasure23">'Бланк заказа'!$W$68:$W$68</definedName>
    <definedName name="UnitOfMeasure230">'Бланк заказа'!$W$482:$W$482</definedName>
    <definedName name="UnitOfMeasure231">'Бланк заказа'!$W$486:$W$486</definedName>
    <definedName name="UnitOfMeasure232">'Бланк заказа'!$W$490:$W$490</definedName>
    <definedName name="UnitOfMeasure233">'Бланк заказа'!$W$491:$W$491</definedName>
    <definedName name="UnitOfMeasure234">'Бланк заказа'!$W$496:$W$496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8" i="1" l="1"/>
  <c r="X497" i="1"/>
  <c r="BO496" i="1"/>
  <c r="BM496" i="1"/>
  <c r="Y496" i="1"/>
  <c r="AB509" i="1" s="1"/>
  <c r="X493" i="1"/>
  <c r="X492" i="1"/>
  <c r="BP491" i="1"/>
  <c r="BO491" i="1"/>
  <c r="BN491" i="1"/>
  <c r="BM491" i="1"/>
  <c r="Z491" i="1"/>
  <c r="Y491" i="1"/>
  <c r="P491" i="1"/>
  <c r="BO490" i="1"/>
  <c r="BM490" i="1"/>
  <c r="Y490" i="1"/>
  <c r="Y493" i="1" s="1"/>
  <c r="P490" i="1"/>
  <c r="X488" i="1"/>
  <c r="Y487" i="1"/>
  <c r="X487" i="1"/>
  <c r="BP486" i="1"/>
  <c r="BO486" i="1"/>
  <c r="BN486" i="1"/>
  <c r="BM486" i="1"/>
  <c r="Z486" i="1"/>
  <c r="Z487" i="1" s="1"/>
  <c r="Y486" i="1"/>
  <c r="Y488" i="1" s="1"/>
  <c r="P486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Y483" i="1" s="1"/>
  <c r="P481" i="1"/>
  <c r="X479" i="1"/>
  <c r="X478" i="1"/>
  <c r="BO477" i="1"/>
  <c r="BM477" i="1"/>
  <c r="Y477" i="1"/>
  <c r="Y479" i="1" s="1"/>
  <c r="P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Y478" i="1" s="1"/>
  <c r="P475" i="1"/>
  <c r="X473" i="1"/>
  <c r="X472" i="1"/>
  <c r="BP471" i="1"/>
  <c r="BO471" i="1"/>
  <c r="BN471" i="1"/>
  <c r="BM471" i="1"/>
  <c r="Z471" i="1"/>
  <c r="Y471" i="1"/>
  <c r="P471" i="1"/>
  <c r="BO470" i="1"/>
  <c r="BM470" i="1"/>
  <c r="Y470" i="1"/>
  <c r="BP470" i="1" s="1"/>
  <c r="P470" i="1"/>
  <c r="BP469" i="1"/>
  <c r="BO469" i="1"/>
  <c r="BN469" i="1"/>
  <c r="BM469" i="1"/>
  <c r="Z469" i="1"/>
  <c r="Y469" i="1"/>
  <c r="P469" i="1"/>
  <c r="BO468" i="1"/>
  <c r="BM468" i="1"/>
  <c r="Y468" i="1"/>
  <c r="Y472" i="1" s="1"/>
  <c r="P468" i="1"/>
  <c r="X464" i="1"/>
  <c r="X463" i="1"/>
  <c r="BO462" i="1"/>
  <c r="BM462" i="1"/>
  <c r="Y462" i="1"/>
  <c r="BP462" i="1" s="1"/>
  <c r="P462" i="1"/>
  <c r="BP461" i="1"/>
  <c r="BO461" i="1"/>
  <c r="BN461" i="1"/>
  <c r="BM461" i="1"/>
  <c r="Z461" i="1"/>
  <c r="Y461" i="1"/>
  <c r="P461" i="1"/>
  <c r="BO460" i="1"/>
  <c r="BM460" i="1"/>
  <c r="Y460" i="1"/>
  <c r="Y464" i="1" s="1"/>
  <c r="P460" i="1"/>
  <c r="X458" i="1"/>
  <c r="X457" i="1"/>
  <c r="BO456" i="1"/>
  <c r="BM456" i="1"/>
  <c r="Y456" i="1"/>
  <c r="BP456" i="1" s="1"/>
  <c r="P456" i="1"/>
  <c r="BP455" i="1"/>
  <c r="BO455" i="1"/>
  <c r="BN455" i="1"/>
  <c r="BM455" i="1"/>
  <c r="Z455" i="1"/>
  <c r="Y455" i="1"/>
  <c r="P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Y458" i="1" s="1"/>
  <c r="P452" i="1"/>
  <c r="BP451" i="1"/>
  <c r="BO451" i="1"/>
  <c r="BN451" i="1"/>
  <c r="BM451" i="1"/>
  <c r="Z451" i="1"/>
  <c r="Y451" i="1"/>
  <c r="Y457" i="1" s="1"/>
  <c r="P451" i="1"/>
  <c r="X449" i="1"/>
  <c r="X448" i="1"/>
  <c r="BP447" i="1"/>
  <c r="BO447" i="1"/>
  <c r="BN447" i="1"/>
  <c r="BM447" i="1"/>
  <c r="Z447" i="1"/>
  <c r="Y447" i="1"/>
  <c r="P447" i="1"/>
  <c r="BO446" i="1"/>
  <c r="BM446" i="1"/>
  <c r="Y446" i="1"/>
  <c r="Y448" i="1" s="1"/>
  <c r="P446" i="1"/>
  <c r="BP445" i="1"/>
  <c r="BO445" i="1"/>
  <c r="BN445" i="1"/>
  <c r="BM445" i="1"/>
  <c r="Z445" i="1"/>
  <c r="Y445" i="1"/>
  <c r="Y449" i="1" s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09" i="1" s="1"/>
  <c r="P424" i="1"/>
  <c r="X421" i="1"/>
  <c r="Y420" i="1"/>
  <c r="X420" i="1"/>
  <c r="BP419" i="1"/>
  <c r="BO419" i="1"/>
  <c r="BN419" i="1"/>
  <c r="BM419" i="1"/>
  <c r="Z419" i="1"/>
  <c r="Z420" i="1" s="1"/>
  <c r="Y419" i="1"/>
  <c r="X509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BP413" i="1" s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Y370" i="1" s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Y354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Y350" i="1" s="1"/>
  <c r="P342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Z327" i="1"/>
  <c r="Y327" i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Y324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Y325" i="1" s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Y318" i="1" s="1"/>
  <c r="P314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Y312" i="1" s="1"/>
  <c r="P306" i="1"/>
  <c r="X304" i="1"/>
  <c r="X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Y304" i="1" s="1"/>
  <c r="P296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Y294" i="1" s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09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09" i="1" s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Y269" i="1" s="1"/>
  <c r="P267" i="1"/>
  <c r="BP266" i="1"/>
  <c r="BO266" i="1"/>
  <c r="BN266" i="1"/>
  <c r="BM266" i="1"/>
  <c r="Z266" i="1"/>
  <c r="Y266" i="1"/>
  <c r="P266" i="1"/>
  <c r="X263" i="1"/>
  <c r="X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BO259" i="1"/>
  <c r="BM259" i="1"/>
  <c r="Y259" i="1"/>
  <c r="BP259" i="1" s="1"/>
  <c r="BO258" i="1"/>
  <c r="BM258" i="1"/>
  <c r="Y258" i="1"/>
  <c r="M509" i="1" s="1"/>
  <c r="P258" i="1"/>
  <c r="X255" i="1"/>
  <c r="X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L509" i="1" s="1"/>
  <c r="P249" i="1"/>
  <c r="X246" i="1"/>
  <c r="X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Y246" i="1" s="1"/>
  <c r="P242" i="1"/>
  <c r="BP241" i="1"/>
  <c r="BO241" i="1"/>
  <c r="BN241" i="1"/>
  <c r="BM241" i="1"/>
  <c r="Z241" i="1"/>
  <c r="Y241" i="1"/>
  <c r="BP240" i="1"/>
  <c r="BO240" i="1"/>
  <c r="BN240" i="1"/>
  <c r="BM240" i="1"/>
  <c r="Z240" i="1"/>
  <c r="Y240" i="1"/>
  <c r="Y245" i="1" s="1"/>
  <c r="P240" i="1"/>
  <c r="X238" i="1"/>
  <c r="Y237" i="1"/>
  <c r="X237" i="1"/>
  <c r="BP236" i="1"/>
  <c r="BO236" i="1"/>
  <c r="BN236" i="1"/>
  <c r="BM236" i="1"/>
  <c r="Z236" i="1"/>
  <c r="Z237" i="1" s="1"/>
  <c r="Y236" i="1"/>
  <c r="Y238" i="1" s="1"/>
  <c r="X234" i="1"/>
  <c r="X233" i="1"/>
  <c r="BO232" i="1"/>
  <c r="BM232" i="1"/>
  <c r="Y232" i="1"/>
  <c r="Y234" i="1" s="1"/>
  <c r="P232" i="1"/>
  <c r="X230" i="1"/>
  <c r="X229" i="1"/>
  <c r="BO228" i="1"/>
  <c r="BM228" i="1"/>
  <c r="Y228" i="1"/>
  <c r="BP228" i="1" s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K509" i="1" s="1"/>
  <c r="P220" i="1"/>
  <c r="X217" i="1"/>
  <c r="X216" i="1"/>
  <c r="BO215" i="1"/>
  <c r="BM215" i="1"/>
  <c r="Y215" i="1"/>
  <c r="Y217" i="1" s="1"/>
  <c r="P215" i="1"/>
  <c r="BP214" i="1"/>
  <c r="BO214" i="1"/>
  <c r="BN214" i="1"/>
  <c r="BM214" i="1"/>
  <c r="Z214" i="1"/>
  <c r="Y214" i="1"/>
  <c r="Y216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Y211" i="1" s="1"/>
  <c r="P203" i="1"/>
  <c r="BP202" i="1"/>
  <c r="BO202" i="1"/>
  <c r="BN202" i="1"/>
  <c r="BM202" i="1"/>
  <c r="Z202" i="1"/>
  <c r="Y202" i="1"/>
  <c r="Y212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Y188" i="1" s="1"/>
  <c r="P186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Y183" i="1" s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Z170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Y168" i="1" s="1"/>
  <c r="P158" i="1"/>
  <c r="X156" i="1"/>
  <c r="X155" i="1"/>
  <c r="BO154" i="1"/>
  <c r="BM154" i="1"/>
  <c r="Y154" i="1"/>
  <c r="I509" i="1" s="1"/>
  <c r="P154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BO146" i="1"/>
  <c r="BM146" i="1"/>
  <c r="Y146" i="1"/>
  <c r="Y150" i="1" s="1"/>
  <c r="P146" i="1"/>
  <c r="X144" i="1"/>
  <c r="X143" i="1"/>
  <c r="BO142" i="1"/>
  <c r="BM142" i="1"/>
  <c r="Y142" i="1"/>
  <c r="BP142" i="1" s="1"/>
  <c r="BO141" i="1"/>
  <c r="BM141" i="1"/>
  <c r="Y141" i="1"/>
  <c r="H509" i="1" s="1"/>
  <c r="P141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Y132" i="1" s="1"/>
  <c r="P130" i="1"/>
  <c r="X128" i="1"/>
  <c r="X127" i="1"/>
  <c r="BO126" i="1"/>
  <c r="BM126" i="1"/>
  <c r="Y126" i="1"/>
  <c r="Y128" i="1" s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7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Y111" i="1" s="1"/>
  <c r="P107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Y105" i="1" s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6" i="1" s="1"/>
  <c r="X90" i="1"/>
  <c r="X89" i="1"/>
  <c r="BP88" i="1"/>
  <c r="BO88" i="1"/>
  <c r="BN88" i="1"/>
  <c r="BM88" i="1"/>
  <c r="Z88" i="1"/>
  <c r="Y88" i="1"/>
  <c r="P88" i="1"/>
  <c r="BO87" i="1"/>
  <c r="BM87" i="1"/>
  <c r="Y87" i="1"/>
  <c r="Y89" i="1" s="1"/>
  <c r="P87" i="1"/>
  <c r="BP86" i="1"/>
  <c r="BO86" i="1"/>
  <c r="BN86" i="1"/>
  <c r="BM86" i="1"/>
  <c r="Z86" i="1"/>
  <c r="Y86" i="1"/>
  <c r="P86" i="1"/>
  <c r="X83" i="1"/>
  <c r="X82" i="1"/>
  <c r="BP81" i="1"/>
  <c r="BO81" i="1"/>
  <c r="BN81" i="1"/>
  <c r="BM81" i="1"/>
  <c r="Z81" i="1"/>
  <c r="Y81" i="1"/>
  <c r="P81" i="1"/>
  <c r="BO80" i="1"/>
  <c r="BM80" i="1"/>
  <c r="Y80" i="1"/>
  <c r="Y82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Y78" i="1" s="1"/>
  <c r="P72" i="1"/>
  <c r="X70" i="1"/>
  <c r="X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Y70" i="1" s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Y64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Y58" i="1" s="1"/>
  <c r="P52" i="1"/>
  <c r="BP51" i="1"/>
  <c r="BO51" i="1"/>
  <c r="BN51" i="1"/>
  <c r="BM51" i="1"/>
  <c r="Z51" i="1"/>
  <c r="Y51" i="1"/>
  <c r="P51" i="1"/>
  <c r="X48" i="1"/>
  <c r="Y47" i="1"/>
  <c r="X47" i="1"/>
  <c r="BP46" i="1"/>
  <c r="BO46" i="1"/>
  <c r="BN46" i="1"/>
  <c r="BM46" i="1"/>
  <c r="Z46" i="1"/>
  <c r="Z47" i="1" s="1"/>
  <c r="Y46" i="1"/>
  <c r="Y48" i="1" s="1"/>
  <c r="P46" i="1"/>
  <c r="X44" i="1"/>
  <c r="X43" i="1"/>
  <c r="BP42" i="1"/>
  <c r="BO42" i="1"/>
  <c r="BN42" i="1"/>
  <c r="BM42" i="1"/>
  <c r="Z42" i="1"/>
  <c r="Y42" i="1"/>
  <c r="P42" i="1"/>
  <c r="BO41" i="1"/>
  <c r="BM41" i="1"/>
  <c r="Y41" i="1"/>
  <c r="Y43" i="1" s="1"/>
  <c r="P41" i="1"/>
  <c r="BP40" i="1"/>
  <c r="BO40" i="1"/>
  <c r="BN40" i="1"/>
  <c r="BM40" i="1"/>
  <c r="Z40" i="1"/>
  <c r="Y40" i="1"/>
  <c r="P40" i="1"/>
  <c r="X36" i="1"/>
  <c r="Y35" i="1"/>
  <c r="X35" i="1"/>
  <c r="BP34" i="1"/>
  <c r="BO34" i="1"/>
  <c r="BN34" i="1"/>
  <c r="BM34" i="1"/>
  <c r="Z34" i="1"/>
  <c r="Z35" i="1" s="1"/>
  <c r="Y34" i="1"/>
  <c r="Y36" i="1" s="1"/>
  <c r="P34" i="1"/>
  <c r="X32" i="1"/>
  <c r="X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1" i="1" s="1"/>
  <c r="P27" i="1"/>
  <c r="BP26" i="1"/>
  <c r="BO26" i="1"/>
  <c r="BN26" i="1"/>
  <c r="BM26" i="1"/>
  <c r="Z26" i="1"/>
  <c r="Y26" i="1"/>
  <c r="Y32" i="1" s="1"/>
  <c r="P26" i="1"/>
  <c r="X24" i="1"/>
  <c r="X499" i="1" s="1"/>
  <c r="Y23" i="1"/>
  <c r="X23" i="1"/>
  <c r="X503" i="1" s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Z127" i="1" l="1"/>
  <c r="Z173" i="1"/>
  <c r="H9" i="1"/>
  <c r="A10" i="1"/>
  <c r="B509" i="1"/>
  <c r="X500" i="1"/>
  <c r="X502" i="1" s="1"/>
  <c r="X501" i="1"/>
  <c r="Y24" i="1"/>
  <c r="Z27" i="1"/>
  <c r="BN27" i="1"/>
  <c r="Y500" i="1" s="1"/>
  <c r="BP27" i="1"/>
  <c r="Z29" i="1"/>
  <c r="Z31" i="1" s="1"/>
  <c r="BN29" i="1"/>
  <c r="C509" i="1"/>
  <c r="Z41" i="1"/>
  <c r="Z43" i="1" s="1"/>
  <c r="BN41" i="1"/>
  <c r="BP41" i="1"/>
  <c r="Y44" i="1"/>
  <c r="D509" i="1"/>
  <c r="Z52" i="1"/>
  <c r="Z57" i="1" s="1"/>
  <c r="BN52" i="1"/>
  <c r="BP52" i="1"/>
  <c r="Z54" i="1"/>
  <c r="BN54" i="1"/>
  <c r="Z56" i="1"/>
  <c r="BN56" i="1"/>
  <c r="Y57" i="1"/>
  <c r="Z60" i="1"/>
  <c r="Z63" i="1" s="1"/>
  <c r="BN60" i="1"/>
  <c r="BP60" i="1"/>
  <c r="Z62" i="1"/>
  <c r="BN62" i="1"/>
  <c r="Y63" i="1"/>
  <c r="Z66" i="1"/>
  <c r="Z69" i="1" s="1"/>
  <c r="BN66" i="1"/>
  <c r="BP66" i="1"/>
  <c r="Z68" i="1"/>
  <c r="BN68" i="1"/>
  <c r="Y69" i="1"/>
  <c r="Z72" i="1"/>
  <c r="Z77" i="1" s="1"/>
  <c r="BN72" i="1"/>
  <c r="BP72" i="1"/>
  <c r="Z74" i="1"/>
  <c r="BN74" i="1"/>
  <c r="Z76" i="1"/>
  <c r="BN76" i="1"/>
  <c r="Y77" i="1"/>
  <c r="Z80" i="1"/>
  <c r="Z82" i="1" s="1"/>
  <c r="BN80" i="1"/>
  <c r="BP80" i="1"/>
  <c r="Y83" i="1"/>
  <c r="E509" i="1"/>
  <c r="Z87" i="1"/>
  <c r="Z89" i="1" s="1"/>
  <c r="BN87" i="1"/>
  <c r="BP87" i="1"/>
  <c r="Y90" i="1"/>
  <c r="Z92" i="1"/>
  <c r="BN92" i="1"/>
  <c r="BP92" i="1"/>
  <c r="Z94" i="1"/>
  <c r="BN94" i="1"/>
  <c r="Y97" i="1"/>
  <c r="F509" i="1"/>
  <c r="Z101" i="1"/>
  <c r="Z104" i="1" s="1"/>
  <c r="BN101" i="1"/>
  <c r="BP101" i="1"/>
  <c r="Z103" i="1"/>
  <c r="BN103" i="1"/>
  <c r="Y104" i="1"/>
  <c r="Z107" i="1"/>
  <c r="Z110" i="1" s="1"/>
  <c r="BN107" i="1"/>
  <c r="BP107" i="1"/>
  <c r="Z109" i="1"/>
  <c r="BN109" i="1"/>
  <c r="Y110" i="1"/>
  <c r="Z113" i="1"/>
  <c r="Z117" i="1" s="1"/>
  <c r="BN113" i="1"/>
  <c r="BP113" i="1"/>
  <c r="Z115" i="1"/>
  <c r="BN115" i="1"/>
  <c r="Y118" i="1"/>
  <c r="G509" i="1"/>
  <c r="Z126" i="1"/>
  <c r="BN126" i="1"/>
  <c r="BP126" i="1"/>
  <c r="Y127" i="1"/>
  <c r="Y503" i="1" s="1"/>
  <c r="Z130" i="1"/>
  <c r="Z132" i="1" s="1"/>
  <c r="BN130" i="1"/>
  <c r="BP130" i="1"/>
  <c r="Y133" i="1"/>
  <c r="Z136" i="1"/>
  <c r="Z137" i="1" s="1"/>
  <c r="BN136" i="1"/>
  <c r="BP136" i="1"/>
  <c r="Z141" i="1"/>
  <c r="Z143" i="1" s="1"/>
  <c r="BN141" i="1"/>
  <c r="BP141" i="1"/>
  <c r="Z142" i="1"/>
  <c r="BN142" i="1"/>
  <c r="Y143" i="1"/>
  <c r="Z146" i="1"/>
  <c r="Z149" i="1" s="1"/>
  <c r="BN146" i="1"/>
  <c r="BP146" i="1"/>
  <c r="Z148" i="1"/>
  <c r="BN148" i="1"/>
  <c r="Y149" i="1"/>
  <c r="Z154" i="1"/>
  <c r="Z155" i="1" s="1"/>
  <c r="BN154" i="1"/>
  <c r="BP154" i="1"/>
  <c r="Y155" i="1"/>
  <c r="Z158" i="1"/>
  <c r="Z167" i="1" s="1"/>
  <c r="BN158" i="1"/>
  <c r="BP158" i="1"/>
  <c r="Z160" i="1"/>
  <c r="BN160" i="1"/>
  <c r="Z162" i="1"/>
  <c r="BN162" i="1"/>
  <c r="Z164" i="1"/>
  <c r="BN164" i="1"/>
  <c r="Z166" i="1"/>
  <c r="BN166" i="1"/>
  <c r="Y167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F9" i="1"/>
  <c r="J9" i="1"/>
  <c r="Y144" i="1"/>
  <c r="Y156" i="1"/>
  <c r="Y173" i="1"/>
  <c r="BP170" i="1"/>
  <c r="BN170" i="1"/>
  <c r="BP172" i="1"/>
  <c r="BN172" i="1"/>
  <c r="Z172" i="1"/>
  <c r="Y174" i="1"/>
  <c r="Y177" i="1"/>
  <c r="BP176" i="1"/>
  <c r="Y501" i="1" s="1"/>
  <c r="BN176" i="1"/>
  <c r="Z176" i="1"/>
  <c r="Z177" i="1" s="1"/>
  <c r="Y178" i="1"/>
  <c r="J509" i="1"/>
  <c r="Y184" i="1"/>
  <c r="BP181" i="1"/>
  <c r="BN181" i="1"/>
  <c r="Z181" i="1"/>
  <c r="Z183" i="1" s="1"/>
  <c r="BP193" i="1"/>
  <c r="BN193" i="1"/>
  <c r="Z193" i="1"/>
  <c r="BP197" i="1"/>
  <c r="BN197" i="1"/>
  <c r="Z197" i="1"/>
  <c r="Z330" i="1"/>
  <c r="Z379" i="1"/>
  <c r="Z203" i="1"/>
  <c r="Z211" i="1" s="1"/>
  <c r="BN203" i="1"/>
  <c r="BP203" i="1"/>
  <c r="Z205" i="1"/>
  <c r="BN205" i="1"/>
  <c r="Z207" i="1"/>
  <c r="BN207" i="1"/>
  <c r="Z209" i="1"/>
  <c r="BN209" i="1"/>
  <c r="Z215" i="1"/>
  <c r="Z216" i="1" s="1"/>
  <c r="BN215" i="1"/>
  <c r="BP215" i="1"/>
  <c r="Z220" i="1"/>
  <c r="Z229" i="1" s="1"/>
  <c r="BN220" i="1"/>
  <c r="BP220" i="1"/>
  <c r="Z222" i="1"/>
  <c r="BN222" i="1"/>
  <c r="Z225" i="1"/>
  <c r="BN225" i="1"/>
  <c r="Z227" i="1"/>
  <c r="BN227" i="1"/>
  <c r="Z228" i="1"/>
  <c r="BN228" i="1"/>
  <c r="Y229" i="1"/>
  <c r="Z232" i="1"/>
  <c r="Z233" i="1" s="1"/>
  <c r="BN232" i="1"/>
  <c r="BP232" i="1"/>
  <c r="Y233" i="1"/>
  <c r="Z242" i="1"/>
  <c r="Z245" i="1" s="1"/>
  <c r="BN242" i="1"/>
  <c r="BP242" i="1"/>
  <c r="Z244" i="1"/>
  <c r="BN244" i="1"/>
  <c r="Z249" i="1"/>
  <c r="BN249" i="1"/>
  <c r="BP249" i="1"/>
  <c r="Z251" i="1"/>
  <c r="BN251" i="1"/>
  <c r="Z253" i="1"/>
  <c r="BN253" i="1"/>
  <c r="Y254" i="1"/>
  <c r="Z258" i="1"/>
  <c r="BN258" i="1"/>
  <c r="BP258" i="1"/>
  <c r="Z259" i="1"/>
  <c r="BN259" i="1"/>
  <c r="Y263" i="1"/>
  <c r="O509" i="1"/>
  <c r="Z267" i="1"/>
  <c r="Z269" i="1" s="1"/>
  <c r="BN267" i="1"/>
  <c r="BP267" i="1"/>
  <c r="Y270" i="1"/>
  <c r="Y275" i="1"/>
  <c r="Y284" i="1"/>
  <c r="R509" i="1"/>
  <c r="Z288" i="1"/>
  <c r="BN288" i="1"/>
  <c r="BP288" i="1"/>
  <c r="Z290" i="1"/>
  <c r="Z293" i="1" s="1"/>
  <c r="BN290" i="1"/>
  <c r="Z292" i="1"/>
  <c r="BN292" i="1"/>
  <c r="Y293" i="1"/>
  <c r="Z296" i="1"/>
  <c r="BN296" i="1"/>
  <c r="BP296" i="1"/>
  <c r="Z298" i="1"/>
  <c r="BN298" i="1"/>
  <c r="Z300" i="1"/>
  <c r="BN300" i="1"/>
  <c r="Z302" i="1"/>
  <c r="BN302" i="1"/>
  <c r="Y303" i="1"/>
  <c r="Z306" i="1"/>
  <c r="BN306" i="1"/>
  <c r="BP306" i="1"/>
  <c r="Z308" i="1"/>
  <c r="BN308" i="1"/>
  <c r="Z310" i="1"/>
  <c r="BN310" i="1"/>
  <c r="Y311" i="1"/>
  <c r="Z314" i="1"/>
  <c r="BN314" i="1"/>
  <c r="BP314" i="1"/>
  <c r="Z316" i="1"/>
  <c r="BN316" i="1"/>
  <c r="Y317" i="1"/>
  <c r="Z322" i="1"/>
  <c r="Z324" i="1" s="1"/>
  <c r="BN322" i="1"/>
  <c r="BP322" i="1"/>
  <c r="Y330" i="1"/>
  <c r="BP327" i="1"/>
  <c r="BN327" i="1"/>
  <c r="BP329" i="1"/>
  <c r="BN329" i="1"/>
  <c r="Z329" i="1"/>
  <c r="Y331" i="1"/>
  <c r="S509" i="1"/>
  <c r="Y337" i="1"/>
  <c r="BP334" i="1"/>
  <c r="BN334" i="1"/>
  <c r="Z334" i="1"/>
  <c r="BP344" i="1"/>
  <c r="BN344" i="1"/>
  <c r="Z344" i="1"/>
  <c r="BP348" i="1"/>
  <c r="BN348" i="1"/>
  <c r="Z348" i="1"/>
  <c r="Y355" i="1"/>
  <c r="BP352" i="1"/>
  <c r="BN352" i="1"/>
  <c r="Z352" i="1"/>
  <c r="Z354" i="1" s="1"/>
  <c r="Y359" i="1"/>
  <c r="BP378" i="1"/>
  <c r="BN378" i="1"/>
  <c r="Z378" i="1"/>
  <c r="Y380" i="1"/>
  <c r="Y383" i="1"/>
  <c r="BP382" i="1"/>
  <c r="BN382" i="1"/>
  <c r="Z382" i="1"/>
  <c r="Z383" i="1" s="1"/>
  <c r="Y384" i="1"/>
  <c r="V509" i="1"/>
  <c r="Y399" i="1"/>
  <c r="BP388" i="1"/>
  <c r="BN388" i="1"/>
  <c r="Z388" i="1"/>
  <c r="BP392" i="1"/>
  <c r="BN392" i="1"/>
  <c r="Z392" i="1"/>
  <c r="BP396" i="1"/>
  <c r="BN396" i="1"/>
  <c r="Z396" i="1"/>
  <c r="Y403" i="1"/>
  <c r="Y230" i="1"/>
  <c r="Y255" i="1"/>
  <c r="Y262" i="1"/>
  <c r="BP336" i="1"/>
  <c r="BN336" i="1"/>
  <c r="Z336" i="1"/>
  <c r="Y338" i="1"/>
  <c r="T509" i="1"/>
  <c r="Y349" i="1"/>
  <c r="BP342" i="1"/>
  <c r="BN342" i="1"/>
  <c r="Z342" i="1"/>
  <c r="BP346" i="1"/>
  <c r="BN346" i="1"/>
  <c r="Z346" i="1"/>
  <c r="BP358" i="1"/>
  <c r="BN358" i="1"/>
  <c r="Z358" i="1"/>
  <c r="Z359" i="1" s="1"/>
  <c r="Y360" i="1"/>
  <c r="BP368" i="1"/>
  <c r="BN368" i="1"/>
  <c r="Z368" i="1"/>
  <c r="Z370" i="1" s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W509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Z442" i="1" s="1"/>
  <c r="BP436" i="1"/>
  <c r="BN436" i="1"/>
  <c r="Z436" i="1"/>
  <c r="U509" i="1"/>
  <c r="Y371" i="1"/>
  <c r="Z413" i="1"/>
  <c r="BN413" i="1"/>
  <c r="Z509" i="1"/>
  <c r="BP434" i="1"/>
  <c r="BN434" i="1"/>
  <c r="Z434" i="1"/>
  <c r="Y421" i="1"/>
  <c r="Y426" i="1"/>
  <c r="Z438" i="1"/>
  <c r="BN438" i="1"/>
  <c r="Z440" i="1"/>
  <c r="BN440" i="1"/>
  <c r="Y443" i="1"/>
  <c r="Z446" i="1"/>
  <c r="Z448" i="1" s="1"/>
  <c r="BN446" i="1"/>
  <c r="BP446" i="1"/>
  <c r="Z452" i="1"/>
  <c r="Z457" i="1" s="1"/>
  <c r="BN452" i="1"/>
  <c r="BP452" i="1"/>
  <c r="Z454" i="1"/>
  <c r="BN454" i="1"/>
  <c r="Z456" i="1"/>
  <c r="BN456" i="1"/>
  <c r="Z460" i="1"/>
  <c r="Z463" i="1" s="1"/>
  <c r="BN460" i="1"/>
  <c r="BP460" i="1"/>
  <c r="Z462" i="1"/>
  <c r="BN462" i="1"/>
  <c r="Y463" i="1"/>
  <c r="Z468" i="1"/>
  <c r="Z472" i="1" s="1"/>
  <c r="BN468" i="1"/>
  <c r="BP468" i="1"/>
  <c r="Z470" i="1"/>
  <c r="BN470" i="1"/>
  <c r="Y473" i="1"/>
  <c r="Z477" i="1"/>
  <c r="Z478" i="1" s="1"/>
  <c r="BN477" i="1"/>
  <c r="BP477" i="1"/>
  <c r="Z481" i="1"/>
  <c r="Z483" i="1" s="1"/>
  <c r="BN481" i="1"/>
  <c r="BP481" i="1"/>
  <c r="Y484" i="1"/>
  <c r="Y492" i="1"/>
  <c r="Y498" i="1"/>
  <c r="AA509" i="1"/>
  <c r="Y442" i="1"/>
  <c r="Z490" i="1"/>
  <c r="Z492" i="1" s="1"/>
  <c r="BN490" i="1"/>
  <c r="BP490" i="1"/>
  <c r="Z496" i="1"/>
  <c r="Z497" i="1" s="1"/>
  <c r="BN496" i="1"/>
  <c r="BP496" i="1"/>
  <c r="Y497" i="1"/>
  <c r="Y502" i="1" l="1"/>
  <c r="Z398" i="1"/>
  <c r="Y499" i="1"/>
  <c r="Z415" i="1"/>
  <c r="Z349" i="1"/>
  <c r="Z337" i="1"/>
  <c r="Z317" i="1"/>
  <c r="Z311" i="1"/>
  <c r="Z303" i="1"/>
  <c r="Z262" i="1"/>
  <c r="Z254" i="1"/>
  <c r="Z199" i="1"/>
  <c r="Z96" i="1"/>
  <c r="Z504" i="1" s="1"/>
</calcChain>
</file>

<file path=xl/sharedStrings.xml><?xml version="1.0" encoding="utf-8"?>
<sst xmlns="http://schemas.openxmlformats.org/spreadsheetml/2006/main" count="2185" uniqueCount="791">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</sst>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5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9"/>
  <sheetViews>
    <sheetView showGridLines="0" tabSelected="1" topLeftCell="A483" zoomScaleNormal="100" zoomScaleSheetLayoutView="100" workbookViewId="0">
      <selection activeCell="AA505" sqref="AA505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6" t="s">
        <v>0</v>
      </c>
      <c r="E1" s="580"/>
      <c r="F1" s="580"/>
      <c r="G1" s="12" t="s">
        <v>1</v>
      </c>
      <c r="H1" s="626" t="s">
        <v>2</v>
      </c>
      <c r="I1" s="580"/>
      <c r="J1" s="580"/>
      <c r="K1" s="580"/>
      <c r="L1" s="580"/>
      <c r="M1" s="580"/>
      <c r="N1" s="580"/>
      <c r="O1" s="580"/>
      <c r="P1" s="580"/>
      <c r="Q1" s="580"/>
      <c r="R1" s="579" t="s">
        <v>3</v>
      </c>
      <c r="S1" s="580"/>
      <c r="T1" s="58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9"/>
      <c r="Q3" s="559"/>
      <c r="R3" s="559"/>
      <c r="S3" s="559"/>
      <c r="T3" s="559"/>
      <c r="U3" s="559"/>
      <c r="V3" s="559"/>
      <c r="W3" s="559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76" t="s">
        <v>8</v>
      </c>
      <c r="B5" s="591"/>
      <c r="C5" s="592"/>
      <c r="D5" s="633"/>
      <c r="E5" s="634"/>
      <c r="F5" s="837" t="s">
        <v>9</v>
      </c>
      <c r="G5" s="592"/>
      <c r="H5" s="633"/>
      <c r="I5" s="781"/>
      <c r="J5" s="781"/>
      <c r="K5" s="781"/>
      <c r="L5" s="781"/>
      <c r="M5" s="634"/>
      <c r="N5" s="58"/>
      <c r="P5" s="24" t="s">
        <v>10</v>
      </c>
      <c r="Q5" s="852">
        <v>45946</v>
      </c>
      <c r="R5" s="674"/>
      <c r="T5" s="712" t="s">
        <v>11</v>
      </c>
      <c r="U5" s="680"/>
      <c r="V5" s="714" t="s">
        <v>12</v>
      </c>
      <c r="W5" s="674"/>
      <c r="AB5" s="51"/>
      <c r="AC5" s="51"/>
      <c r="AD5" s="51"/>
      <c r="AE5" s="51"/>
    </row>
    <row r="6" spans="1:32" s="539" customFormat="1" ht="24" customHeight="1" x14ac:dyDescent="0.2">
      <c r="A6" s="676" t="s">
        <v>13</v>
      </c>
      <c r="B6" s="591"/>
      <c r="C6" s="592"/>
      <c r="D6" s="785" t="s">
        <v>14</v>
      </c>
      <c r="E6" s="786"/>
      <c r="F6" s="786"/>
      <c r="G6" s="786"/>
      <c r="H6" s="786"/>
      <c r="I6" s="786"/>
      <c r="J6" s="786"/>
      <c r="K6" s="786"/>
      <c r="L6" s="786"/>
      <c r="M6" s="674"/>
      <c r="N6" s="59"/>
      <c r="P6" s="24" t="s">
        <v>15</v>
      </c>
      <c r="Q6" s="860" t="str">
        <f>IF(Q5=0," ",CHOOSE(WEEKDAY(Q5,2),"Понедельник","Вторник","Среда","Четверг","Пятница","Суббота","Воскресенье"))</f>
        <v>Четверг</v>
      </c>
      <c r="R6" s="550"/>
      <c r="T6" s="719" t="s">
        <v>16</v>
      </c>
      <c r="U6" s="680"/>
      <c r="V6" s="763" t="s">
        <v>17</v>
      </c>
      <c r="W6" s="599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59"/>
      <c r="U7" s="680"/>
      <c r="V7" s="764"/>
      <c r="W7" s="765"/>
      <c r="AB7" s="51"/>
      <c r="AC7" s="51"/>
      <c r="AD7" s="51"/>
      <c r="AE7" s="51"/>
    </row>
    <row r="8" spans="1:32" s="539" customFormat="1" ht="25.5" customHeight="1" x14ac:dyDescent="0.2">
      <c r="A8" s="870" t="s">
        <v>18</v>
      </c>
      <c r="B8" s="563"/>
      <c r="C8" s="564"/>
      <c r="D8" s="619"/>
      <c r="E8" s="620"/>
      <c r="F8" s="620"/>
      <c r="G8" s="620"/>
      <c r="H8" s="620"/>
      <c r="I8" s="620"/>
      <c r="J8" s="620"/>
      <c r="K8" s="620"/>
      <c r="L8" s="620"/>
      <c r="M8" s="621"/>
      <c r="N8" s="61"/>
      <c r="P8" s="24" t="s">
        <v>19</v>
      </c>
      <c r="Q8" s="683">
        <v>0.41666666666666669</v>
      </c>
      <c r="R8" s="611"/>
      <c r="T8" s="559"/>
      <c r="U8" s="680"/>
      <c r="V8" s="764"/>
      <c r="W8" s="765"/>
      <c r="AB8" s="51"/>
      <c r="AC8" s="51"/>
      <c r="AD8" s="51"/>
      <c r="AE8" s="51"/>
    </row>
    <row r="9" spans="1:32" s="539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9"/>
      <c r="C9" s="559"/>
      <c r="D9" s="692"/>
      <c r="E9" s="566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9"/>
      <c r="H9" s="565" t="str">
        <f>IF(AND($A$9="Тип доверенности/получателя при получении в адресе перегруза:",$D$9="Разовая доверенность"),"Введите ФИО","")</f>
        <v/>
      </c>
      <c r="I9" s="566"/>
      <c r="J9" s="5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6"/>
      <c r="L9" s="566"/>
      <c r="M9" s="566"/>
      <c r="N9" s="537"/>
      <c r="P9" s="26" t="s">
        <v>20</v>
      </c>
      <c r="Q9" s="671"/>
      <c r="R9" s="672"/>
      <c r="T9" s="559"/>
      <c r="U9" s="680"/>
      <c r="V9" s="766"/>
      <c r="W9" s="767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9"/>
      <c r="C10" s="559"/>
      <c r="D10" s="692"/>
      <c r="E10" s="566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9"/>
      <c r="H10" s="759" t="str">
        <f>IFERROR(VLOOKUP($D$10,Proxy,2,FALSE),"")</f>
        <v/>
      </c>
      <c r="I10" s="559"/>
      <c r="J10" s="559"/>
      <c r="K10" s="559"/>
      <c r="L10" s="559"/>
      <c r="M10" s="559"/>
      <c r="N10" s="538"/>
      <c r="P10" s="26" t="s">
        <v>21</v>
      </c>
      <c r="Q10" s="720"/>
      <c r="R10" s="721"/>
      <c r="U10" s="24" t="s">
        <v>22</v>
      </c>
      <c r="V10" s="598" t="s">
        <v>23</v>
      </c>
      <c r="W10" s="599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3"/>
      <c r="R11" s="674"/>
      <c r="U11" s="24" t="s">
        <v>26</v>
      </c>
      <c r="V11" s="806" t="s">
        <v>27</v>
      </c>
      <c r="W11" s="672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06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29</v>
      </c>
      <c r="Q12" s="683"/>
      <c r="R12" s="611"/>
      <c r="S12" s="23"/>
      <c r="U12" s="24"/>
      <c r="V12" s="580"/>
      <c r="W12" s="559"/>
      <c r="AB12" s="51"/>
      <c r="AC12" s="51"/>
      <c r="AD12" s="51"/>
      <c r="AE12" s="51"/>
    </row>
    <row r="13" spans="1:32" s="539" customFormat="1" ht="23.25" customHeight="1" x14ac:dyDescent="0.2">
      <c r="A13" s="706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31</v>
      </c>
      <c r="Q13" s="806"/>
      <c r="R13" s="6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06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4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700" t="s">
        <v>34</v>
      </c>
      <c r="Q15" s="580"/>
      <c r="R15" s="580"/>
      <c r="S15" s="580"/>
      <c r="T15" s="58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1"/>
      <c r="Q16" s="701"/>
      <c r="R16" s="701"/>
      <c r="S16" s="701"/>
      <c r="T16" s="7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35</v>
      </c>
      <c r="B17" s="593" t="s">
        <v>36</v>
      </c>
      <c r="C17" s="688" t="s">
        <v>37</v>
      </c>
      <c r="D17" s="593" t="s">
        <v>38</v>
      </c>
      <c r="E17" s="655"/>
      <c r="F17" s="593" t="s">
        <v>39</v>
      </c>
      <c r="G17" s="593" t="s">
        <v>40</v>
      </c>
      <c r="H17" s="593" t="s">
        <v>41</v>
      </c>
      <c r="I17" s="593" t="s">
        <v>42</v>
      </c>
      <c r="J17" s="593" t="s">
        <v>43</v>
      </c>
      <c r="K17" s="593" t="s">
        <v>44</v>
      </c>
      <c r="L17" s="593" t="s">
        <v>45</v>
      </c>
      <c r="M17" s="593" t="s">
        <v>46</v>
      </c>
      <c r="N17" s="593" t="s">
        <v>47</v>
      </c>
      <c r="O17" s="593" t="s">
        <v>48</v>
      </c>
      <c r="P17" s="593" t="s">
        <v>49</v>
      </c>
      <c r="Q17" s="654"/>
      <c r="R17" s="654"/>
      <c r="S17" s="654"/>
      <c r="T17" s="655"/>
      <c r="U17" s="869" t="s">
        <v>50</v>
      </c>
      <c r="V17" s="592"/>
      <c r="W17" s="593" t="s">
        <v>51</v>
      </c>
      <c r="X17" s="593" t="s">
        <v>52</v>
      </c>
      <c r="Y17" s="867" t="s">
        <v>53</v>
      </c>
      <c r="Z17" s="779" t="s">
        <v>54</v>
      </c>
      <c r="AA17" s="757" t="s">
        <v>55</v>
      </c>
      <c r="AB17" s="757" t="s">
        <v>56</v>
      </c>
      <c r="AC17" s="757" t="s">
        <v>57</v>
      </c>
      <c r="AD17" s="757" t="s">
        <v>58</v>
      </c>
      <c r="AE17" s="832"/>
      <c r="AF17" s="833"/>
      <c r="AG17" s="66"/>
      <c r="BD17" s="65" t="s">
        <v>59</v>
      </c>
    </row>
    <row r="18" spans="1:68" ht="14.25" customHeight="1" x14ac:dyDescent="0.2">
      <c r="A18" s="594"/>
      <c r="B18" s="594"/>
      <c r="C18" s="594"/>
      <c r="D18" s="656"/>
      <c r="E18" s="658"/>
      <c r="F18" s="594"/>
      <c r="G18" s="594"/>
      <c r="H18" s="594"/>
      <c r="I18" s="594"/>
      <c r="J18" s="594"/>
      <c r="K18" s="594"/>
      <c r="L18" s="594"/>
      <c r="M18" s="594"/>
      <c r="N18" s="594"/>
      <c r="O18" s="594"/>
      <c r="P18" s="656"/>
      <c r="Q18" s="657"/>
      <c r="R18" s="657"/>
      <c r="S18" s="657"/>
      <c r="T18" s="658"/>
      <c r="U18" s="67" t="s">
        <v>60</v>
      </c>
      <c r="V18" s="67" t="s">
        <v>61</v>
      </c>
      <c r="W18" s="594"/>
      <c r="X18" s="594"/>
      <c r="Y18" s="868"/>
      <c r="Z18" s="780"/>
      <c r="AA18" s="758"/>
      <c r="AB18" s="758"/>
      <c r="AC18" s="758"/>
      <c r="AD18" s="834"/>
      <c r="AE18" s="835"/>
      <c r="AF18" s="836"/>
      <c r="AG18" s="66"/>
      <c r="BD18" s="65"/>
    </row>
    <row r="19" spans="1:68" ht="27.75" customHeight="1" x14ac:dyDescent="0.2">
      <c r="A19" s="605" t="s">
        <v>62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customHeight="1" x14ac:dyDescent="0.25">
      <c r="A20" s="567" t="s">
        <v>62</v>
      </c>
      <c r="B20" s="559"/>
      <c r="C20" s="559"/>
      <c r="D20" s="559"/>
      <c r="E20" s="559"/>
      <c r="F20" s="559"/>
      <c r="G20" s="559"/>
      <c r="H20" s="559"/>
      <c r="I20" s="559"/>
      <c r="J20" s="559"/>
      <c r="K20" s="559"/>
      <c r="L20" s="559"/>
      <c r="M20" s="559"/>
      <c r="N20" s="559"/>
      <c r="O20" s="559"/>
      <c r="P20" s="559"/>
      <c r="Q20" s="559"/>
      <c r="R20" s="559"/>
      <c r="S20" s="559"/>
      <c r="T20" s="559"/>
      <c r="U20" s="559"/>
      <c r="V20" s="559"/>
      <c r="W20" s="559"/>
      <c r="X20" s="559"/>
      <c r="Y20" s="559"/>
      <c r="Z20" s="559"/>
      <c r="AA20" s="540"/>
      <c r="AB20" s="540"/>
      <c r="AC20" s="540"/>
    </row>
    <row r="21" spans="1:68" ht="14.25" customHeight="1" x14ac:dyDescent="0.25">
      <c r="A21" s="558" t="s">
        <v>63</v>
      </c>
      <c r="B21" s="559"/>
      <c r="C21" s="559"/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59"/>
      <c r="S21" s="559"/>
      <c r="T21" s="559"/>
      <c r="U21" s="559"/>
      <c r="V21" s="559"/>
      <c r="W21" s="559"/>
      <c r="X21" s="559"/>
      <c r="Y21" s="559"/>
      <c r="Z21" s="559"/>
      <c r="AA21" s="541"/>
      <c r="AB21" s="541"/>
      <c r="AC21" s="541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2"/>
      <c r="B23" s="559"/>
      <c r="C23" s="559"/>
      <c r="D23" s="559"/>
      <c r="E23" s="559"/>
      <c r="F23" s="559"/>
      <c r="G23" s="559"/>
      <c r="H23" s="559"/>
      <c r="I23" s="559"/>
      <c r="J23" s="559"/>
      <c r="K23" s="559"/>
      <c r="L23" s="559"/>
      <c r="M23" s="559"/>
      <c r="N23" s="559"/>
      <c r="O23" s="573"/>
      <c r="P23" s="562" t="s">
        <v>70</v>
      </c>
      <c r="Q23" s="563"/>
      <c r="R23" s="563"/>
      <c r="S23" s="563"/>
      <c r="T23" s="563"/>
      <c r="U23" s="563"/>
      <c r="V23" s="564"/>
      <c r="W23" s="37" t="s">
        <v>71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59"/>
      <c r="B24" s="559"/>
      <c r="C24" s="559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73"/>
      <c r="P24" s="562" t="s">
        <v>70</v>
      </c>
      <c r="Q24" s="563"/>
      <c r="R24" s="563"/>
      <c r="S24" s="563"/>
      <c r="T24" s="563"/>
      <c r="U24" s="563"/>
      <c r="V24" s="564"/>
      <c r="W24" s="37" t="s">
        <v>68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58" t="s">
        <v>72</v>
      </c>
      <c r="B25" s="559"/>
      <c r="C25" s="559"/>
      <c r="D25" s="559"/>
      <c r="E25" s="559"/>
      <c r="F25" s="559"/>
      <c r="G25" s="559"/>
      <c r="H25" s="559"/>
      <c r="I25" s="559"/>
      <c r="J25" s="559"/>
      <c r="K25" s="559"/>
      <c r="L25" s="559"/>
      <c r="M25" s="559"/>
      <c r="N25" s="559"/>
      <c r="O25" s="559"/>
      <c r="P25" s="559"/>
      <c r="Q25" s="559"/>
      <c r="R25" s="559"/>
      <c r="S25" s="559"/>
      <c r="T25" s="559"/>
      <c r="U25" s="559"/>
      <c r="V25" s="559"/>
      <c r="W25" s="559"/>
      <c r="X25" s="559"/>
      <c r="Y25" s="559"/>
      <c r="Z25" s="559"/>
      <c r="AA25" s="541"/>
      <c r="AB25" s="541"/>
      <c r="AC25" s="541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81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5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68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72"/>
      <c r="B31" s="559"/>
      <c r="C31" s="559"/>
      <c r="D31" s="559"/>
      <c r="E31" s="559"/>
      <c r="F31" s="559"/>
      <c r="G31" s="559"/>
      <c r="H31" s="559"/>
      <c r="I31" s="559"/>
      <c r="J31" s="559"/>
      <c r="K31" s="559"/>
      <c r="L31" s="559"/>
      <c r="M31" s="559"/>
      <c r="N31" s="559"/>
      <c r="O31" s="573"/>
      <c r="P31" s="562" t="s">
        <v>70</v>
      </c>
      <c r="Q31" s="563"/>
      <c r="R31" s="563"/>
      <c r="S31" s="563"/>
      <c r="T31" s="563"/>
      <c r="U31" s="563"/>
      <c r="V31" s="564"/>
      <c r="W31" s="37" t="s">
        <v>71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x14ac:dyDescent="0.2">
      <c r="A32" s="559"/>
      <c r="B32" s="559"/>
      <c r="C32" s="559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73"/>
      <c r="P32" s="562" t="s">
        <v>70</v>
      </c>
      <c r="Q32" s="563"/>
      <c r="R32" s="563"/>
      <c r="S32" s="563"/>
      <c r="T32" s="563"/>
      <c r="U32" s="563"/>
      <c r="V32" s="564"/>
      <c r="W32" s="37" t="s">
        <v>68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customHeight="1" x14ac:dyDescent="0.25">
      <c r="A33" s="558" t="s">
        <v>90</v>
      </c>
      <c r="B33" s="559"/>
      <c r="C33" s="559"/>
      <c r="D33" s="559"/>
      <c r="E33" s="559"/>
      <c r="F33" s="559"/>
      <c r="G33" s="559"/>
      <c r="H33" s="559"/>
      <c r="I33" s="559"/>
      <c r="J33" s="559"/>
      <c r="K33" s="559"/>
      <c r="L33" s="559"/>
      <c r="M33" s="559"/>
      <c r="N33" s="559"/>
      <c r="O33" s="559"/>
      <c r="P33" s="559"/>
      <c r="Q33" s="559"/>
      <c r="R33" s="559"/>
      <c r="S33" s="559"/>
      <c r="T33" s="559"/>
      <c r="U33" s="559"/>
      <c r="V33" s="559"/>
      <c r="W33" s="559"/>
      <c r="X33" s="559"/>
      <c r="Y33" s="559"/>
      <c r="Z33" s="559"/>
      <c r="AA33" s="541"/>
      <c r="AB33" s="541"/>
      <c r="AC33" s="541"/>
    </row>
    <row r="34" spans="1:68" ht="27" customHeight="1" x14ac:dyDescent="0.25">
      <c r="A34" s="54" t="s">
        <v>91</v>
      </c>
      <c r="B34" s="54" t="s">
        <v>92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8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68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72"/>
      <c r="B35" s="559"/>
      <c r="C35" s="559"/>
      <c r="D35" s="559"/>
      <c r="E35" s="559"/>
      <c r="F35" s="559"/>
      <c r="G35" s="559"/>
      <c r="H35" s="559"/>
      <c r="I35" s="559"/>
      <c r="J35" s="559"/>
      <c r="K35" s="559"/>
      <c r="L35" s="559"/>
      <c r="M35" s="559"/>
      <c r="N35" s="559"/>
      <c r="O35" s="573"/>
      <c r="P35" s="562" t="s">
        <v>70</v>
      </c>
      <c r="Q35" s="563"/>
      <c r="R35" s="563"/>
      <c r="S35" s="563"/>
      <c r="T35" s="563"/>
      <c r="U35" s="563"/>
      <c r="V35" s="564"/>
      <c r="W35" s="37" t="s">
        <v>71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x14ac:dyDescent="0.2">
      <c r="A36" s="559"/>
      <c r="B36" s="559"/>
      <c r="C36" s="559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73"/>
      <c r="P36" s="562" t="s">
        <v>70</v>
      </c>
      <c r="Q36" s="563"/>
      <c r="R36" s="563"/>
      <c r="S36" s="563"/>
      <c r="T36" s="563"/>
      <c r="U36" s="563"/>
      <c r="V36" s="564"/>
      <c r="W36" s="37" t="s">
        <v>68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customHeight="1" x14ac:dyDescent="0.2">
      <c r="A37" s="605" t="s">
        <v>96</v>
      </c>
      <c r="B37" s="606"/>
      <c r="C37" s="606"/>
      <c r="D37" s="606"/>
      <c r="E37" s="606"/>
      <c r="F37" s="606"/>
      <c r="G37" s="606"/>
      <c r="H37" s="606"/>
      <c r="I37" s="606"/>
      <c r="J37" s="606"/>
      <c r="K37" s="606"/>
      <c r="L37" s="606"/>
      <c r="M37" s="606"/>
      <c r="N37" s="606"/>
      <c r="O37" s="606"/>
      <c r="P37" s="606"/>
      <c r="Q37" s="606"/>
      <c r="R37" s="606"/>
      <c r="S37" s="606"/>
      <c r="T37" s="606"/>
      <c r="U37" s="606"/>
      <c r="V37" s="606"/>
      <c r="W37" s="606"/>
      <c r="X37" s="606"/>
      <c r="Y37" s="606"/>
      <c r="Z37" s="606"/>
      <c r="AA37" s="48"/>
      <c r="AB37" s="48"/>
      <c r="AC37" s="48"/>
    </row>
    <row r="38" spans="1:68" ht="16.5" customHeight="1" x14ac:dyDescent="0.25">
      <c r="A38" s="567" t="s">
        <v>97</v>
      </c>
      <c r="B38" s="559"/>
      <c r="C38" s="559"/>
      <c r="D38" s="559"/>
      <c r="E38" s="559"/>
      <c r="F38" s="559"/>
      <c r="G38" s="559"/>
      <c r="H38" s="559"/>
      <c r="I38" s="559"/>
      <c r="J38" s="559"/>
      <c r="K38" s="559"/>
      <c r="L38" s="559"/>
      <c r="M38" s="559"/>
      <c r="N38" s="559"/>
      <c r="O38" s="559"/>
      <c r="P38" s="559"/>
      <c r="Q38" s="559"/>
      <c r="R38" s="559"/>
      <c r="S38" s="559"/>
      <c r="T38" s="559"/>
      <c r="U38" s="559"/>
      <c r="V38" s="559"/>
      <c r="W38" s="559"/>
      <c r="X38" s="559"/>
      <c r="Y38" s="559"/>
      <c r="Z38" s="559"/>
      <c r="AA38" s="540"/>
      <c r="AB38" s="540"/>
      <c r="AC38" s="540"/>
    </row>
    <row r="39" spans="1:68" ht="14.25" customHeight="1" x14ac:dyDescent="0.25">
      <c r="A39" s="558" t="s">
        <v>98</v>
      </c>
      <c r="B39" s="559"/>
      <c r="C39" s="559"/>
      <c r="D39" s="559"/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59"/>
      <c r="Y39" s="559"/>
      <c r="Z39" s="559"/>
      <c r="AA39" s="541"/>
      <c r="AB39" s="541"/>
      <c r="AC39" s="541"/>
    </row>
    <row r="40" spans="1:68" ht="16.5" customHeight="1" x14ac:dyDescent="0.25">
      <c r="A40" s="54" t="s">
        <v>99</v>
      </c>
      <c r="B40" s="54" t="s">
        <v>100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7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68</v>
      </c>
      <c r="X40" s="545">
        <v>100</v>
      </c>
      <c r="Y40" s="546">
        <f>IFERROR(IF(X40="",0,CEILING((X40/$H40),1)*$H40),"")</f>
        <v>108</v>
      </c>
      <c r="Z40" s="36">
        <f>IFERROR(IF(Y40=0,"",ROUNDUP(Y40/H40,0)*0.01898),"")</f>
        <v>0.1898</v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104.02777777777777</v>
      </c>
      <c r="BN40" s="64">
        <f>IFERROR(Y40*I40/H40,"0")</f>
        <v>112.34999999999998</v>
      </c>
      <c r="BO40" s="64">
        <f>IFERROR(1/J40*(X40/H40),"0")</f>
        <v>0.14467592592592593</v>
      </c>
      <c r="BP40" s="64">
        <f>IFERROR(1/J40*(Y40/H40),"0")</f>
        <v>0.15625</v>
      </c>
    </row>
    <row r="41" spans="1:68" ht="27" customHeight="1" x14ac:dyDescent="0.25">
      <c r="A41" s="54" t="s">
        <v>104</v>
      </c>
      <c r="B41" s="54" t="s">
        <v>105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81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68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72"/>
      <c r="B43" s="559"/>
      <c r="C43" s="559"/>
      <c r="D43" s="559"/>
      <c r="E43" s="559"/>
      <c r="F43" s="559"/>
      <c r="G43" s="559"/>
      <c r="H43" s="559"/>
      <c r="I43" s="559"/>
      <c r="J43" s="559"/>
      <c r="K43" s="559"/>
      <c r="L43" s="559"/>
      <c r="M43" s="559"/>
      <c r="N43" s="559"/>
      <c r="O43" s="573"/>
      <c r="P43" s="562" t="s">
        <v>70</v>
      </c>
      <c r="Q43" s="563"/>
      <c r="R43" s="563"/>
      <c r="S43" s="563"/>
      <c r="T43" s="563"/>
      <c r="U43" s="563"/>
      <c r="V43" s="564"/>
      <c r="W43" s="37" t="s">
        <v>71</v>
      </c>
      <c r="X43" s="547">
        <f>IFERROR(X40/H40,"0")+IFERROR(X41/H41,"0")+IFERROR(X42/H42,"0")</f>
        <v>9.2592592592592595</v>
      </c>
      <c r="Y43" s="547">
        <f>IFERROR(Y40/H40,"0")+IFERROR(Y41/H41,"0")+IFERROR(Y42/H42,"0")</f>
        <v>10</v>
      </c>
      <c r="Z43" s="547">
        <f>IFERROR(IF(Z40="",0,Z40),"0")+IFERROR(IF(Z41="",0,Z41),"0")+IFERROR(IF(Z42="",0,Z42),"0")</f>
        <v>0.1898</v>
      </c>
      <c r="AA43" s="548"/>
      <c r="AB43" s="548"/>
      <c r="AC43" s="548"/>
    </row>
    <row r="44" spans="1:68" x14ac:dyDescent="0.2">
      <c r="A44" s="559"/>
      <c r="B44" s="559"/>
      <c r="C44" s="559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73"/>
      <c r="P44" s="562" t="s">
        <v>70</v>
      </c>
      <c r="Q44" s="563"/>
      <c r="R44" s="563"/>
      <c r="S44" s="563"/>
      <c r="T44" s="563"/>
      <c r="U44" s="563"/>
      <c r="V44" s="564"/>
      <c r="W44" s="37" t="s">
        <v>68</v>
      </c>
      <c r="X44" s="547">
        <f>IFERROR(SUM(X40:X42),"0")</f>
        <v>100</v>
      </c>
      <c r="Y44" s="547">
        <f>IFERROR(SUM(Y40:Y42),"0")</f>
        <v>108</v>
      </c>
      <c r="Z44" s="37"/>
      <c r="AA44" s="548"/>
      <c r="AB44" s="548"/>
      <c r="AC44" s="548"/>
    </row>
    <row r="45" spans="1:68" ht="14.25" customHeight="1" x14ac:dyDescent="0.25">
      <c r="A45" s="558" t="s">
        <v>72</v>
      </c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59"/>
      <c r="P45" s="559"/>
      <c r="Q45" s="559"/>
      <c r="R45" s="559"/>
      <c r="S45" s="559"/>
      <c r="T45" s="559"/>
      <c r="U45" s="559"/>
      <c r="V45" s="559"/>
      <c r="W45" s="559"/>
      <c r="X45" s="559"/>
      <c r="Y45" s="559"/>
      <c r="Z45" s="559"/>
      <c r="AA45" s="541"/>
      <c r="AB45" s="541"/>
      <c r="AC45" s="541"/>
    </row>
    <row r="46" spans="1:68" ht="16.5" customHeight="1" x14ac:dyDescent="0.25">
      <c r="A46" s="54" t="s">
        <v>109</v>
      </c>
      <c r="B46" s="54" t="s">
        <v>110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79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68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72"/>
      <c r="B47" s="559"/>
      <c r="C47" s="559"/>
      <c r="D47" s="559"/>
      <c r="E47" s="559"/>
      <c r="F47" s="559"/>
      <c r="G47" s="559"/>
      <c r="H47" s="559"/>
      <c r="I47" s="559"/>
      <c r="J47" s="559"/>
      <c r="K47" s="559"/>
      <c r="L47" s="559"/>
      <c r="M47" s="559"/>
      <c r="N47" s="559"/>
      <c r="O47" s="573"/>
      <c r="P47" s="562" t="s">
        <v>70</v>
      </c>
      <c r="Q47" s="563"/>
      <c r="R47" s="563"/>
      <c r="S47" s="563"/>
      <c r="T47" s="563"/>
      <c r="U47" s="563"/>
      <c r="V47" s="564"/>
      <c r="W47" s="37" t="s">
        <v>71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x14ac:dyDescent="0.2">
      <c r="A48" s="559"/>
      <c r="B48" s="559"/>
      <c r="C48" s="559"/>
      <c r="D48" s="559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73"/>
      <c r="P48" s="562" t="s">
        <v>70</v>
      </c>
      <c r="Q48" s="563"/>
      <c r="R48" s="563"/>
      <c r="S48" s="563"/>
      <c r="T48" s="563"/>
      <c r="U48" s="563"/>
      <c r="V48" s="564"/>
      <c r="W48" s="37" t="s">
        <v>68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customHeight="1" x14ac:dyDescent="0.25">
      <c r="A49" s="567" t="s">
        <v>112</v>
      </c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59"/>
      <c r="P49" s="559"/>
      <c r="Q49" s="559"/>
      <c r="R49" s="559"/>
      <c r="S49" s="559"/>
      <c r="T49" s="559"/>
      <c r="U49" s="559"/>
      <c r="V49" s="559"/>
      <c r="W49" s="559"/>
      <c r="X49" s="559"/>
      <c r="Y49" s="559"/>
      <c r="Z49" s="559"/>
      <c r="AA49" s="540"/>
      <c r="AB49" s="540"/>
      <c r="AC49" s="540"/>
    </row>
    <row r="50" spans="1:68" ht="14.25" customHeight="1" x14ac:dyDescent="0.25">
      <c r="A50" s="558" t="s">
        <v>98</v>
      </c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59"/>
      <c r="S50" s="559"/>
      <c r="T50" s="559"/>
      <c r="U50" s="559"/>
      <c r="V50" s="559"/>
      <c r="W50" s="559"/>
      <c r="X50" s="559"/>
      <c r="Y50" s="559"/>
      <c r="Z50" s="559"/>
      <c r="AA50" s="541"/>
      <c r="AB50" s="541"/>
      <c r="AC50" s="541"/>
    </row>
    <row r="51" spans="1:68" ht="27" customHeight="1" x14ac:dyDescent="0.25">
      <c r="A51" s="54" t="s">
        <v>113</v>
      </c>
      <c r="B51" s="54" t="s">
        <v>114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73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68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116</v>
      </c>
      <c r="B52" s="54" t="s">
        <v>117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66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5">
        <v>200</v>
      </c>
      <c r="Y52" s="546">
        <f t="shared" si="0"/>
        <v>205.20000000000002</v>
      </c>
      <c r="Z52" s="36">
        <f>IFERROR(IF(Y52=0,"",ROUNDUP(Y52/H52,0)*0.01898),"")</f>
        <v>0.36062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208.05555555555554</v>
      </c>
      <c r="BN52" s="64">
        <f t="shared" si="2"/>
        <v>213.46499999999997</v>
      </c>
      <c r="BO52" s="64">
        <f t="shared" si="3"/>
        <v>0.28935185185185186</v>
      </c>
      <c r="BP52" s="64">
        <f t="shared" si="4"/>
        <v>0.296875</v>
      </c>
    </row>
    <row r="53" spans="1:68" ht="27" customHeight="1" x14ac:dyDescent="0.25">
      <c r="A53" s="54" t="s">
        <v>119</v>
      </c>
      <c r="B53" s="54" t="s">
        <v>120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9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68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122</v>
      </c>
      <c r="B54" s="54" t="s">
        <v>123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2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68</v>
      </c>
      <c r="X54" s="545">
        <v>40</v>
      </c>
      <c r="Y54" s="546">
        <f t="shared" si="0"/>
        <v>40</v>
      </c>
      <c r="Z54" s="36">
        <f>IFERROR(IF(Y54=0,"",ROUNDUP(Y54/H54,0)*0.00902),"")</f>
        <v>9.0200000000000002E-2</v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42.1</v>
      </c>
      <c r="BN54" s="64">
        <f t="shared" si="2"/>
        <v>42.1</v>
      </c>
      <c r="BO54" s="64">
        <f t="shared" si="3"/>
        <v>7.575757575757576E-2</v>
      </c>
      <c r="BP54" s="64">
        <f t="shared" si="4"/>
        <v>7.575757575757576E-2</v>
      </c>
    </row>
    <row r="55" spans="1:68" ht="27" customHeight="1" x14ac:dyDescent="0.25">
      <c r="A55" s="54" t="s">
        <v>124</v>
      </c>
      <c r="B55" s="54" t="s">
        <v>125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68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72"/>
      <c r="B57" s="559"/>
      <c r="C57" s="559"/>
      <c r="D57" s="559"/>
      <c r="E57" s="559"/>
      <c r="F57" s="559"/>
      <c r="G57" s="559"/>
      <c r="H57" s="559"/>
      <c r="I57" s="559"/>
      <c r="J57" s="559"/>
      <c r="K57" s="559"/>
      <c r="L57" s="559"/>
      <c r="M57" s="559"/>
      <c r="N57" s="559"/>
      <c r="O57" s="573"/>
      <c r="P57" s="562" t="s">
        <v>70</v>
      </c>
      <c r="Q57" s="563"/>
      <c r="R57" s="563"/>
      <c r="S57" s="563"/>
      <c r="T57" s="563"/>
      <c r="U57" s="563"/>
      <c r="V57" s="564"/>
      <c r="W57" s="37" t="s">
        <v>71</v>
      </c>
      <c r="X57" s="547">
        <f>IFERROR(X51/H51,"0")+IFERROR(X52/H52,"0")+IFERROR(X53/H53,"0")+IFERROR(X54/H54,"0")+IFERROR(X55/H55,"0")+IFERROR(X56/H56,"0")</f>
        <v>28.518518518518519</v>
      </c>
      <c r="Y57" s="547">
        <f>IFERROR(Y51/H51,"0")+IFERROR(Y52/H52,"0")+IFERROR(Y53/H53,"0")+IFERROR(Y54/H54,"0")+IFERROR(Y55/H55,"0")+IFERROR(Y56/H56,"0")</f>
        <v>29</v>
      </c>
      <c r="Z57" s="547">
        <f>IFERROR(IF(Z51="",0,Z51),"0")+IFERROR(IF(Z52="",0,Z52),"0")+IFERROR(IF(Z53="",0,Z53),"0")+IFERROR(IF(Z54="",0,Z54),"0")+IFERROR(IF(Z55="",0,Z55),"0")+IFERROR(IF(Z56="",0,Z56),"0")</f>
        <v>0.45082</v>
      </c>
      <c r="AA57" s="548"/>
      <c r="AB57" s="548"/>
      <c r="AC57" s="548"/>
    </row>
    <row r="58" spans="1:68" x14ac:dyDescent="0.2">
      <c r="A58" s="559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73"/>
      <c r="P58" s="562" t="s">
        <v>70</v>
      </c>
      <c r="Q58" s="563"/>
      <c r="R58" s="563"/>
      <c r="S58" s="563"/>
      <c r="T58" s="563"/>
      <c r="U58" s="563"/>
      <c r="V58" s="564"/>
      <c r="W58" s="37" t="s">
        <v>68</v>
      </c>
      <c r="X58" s="547">
        <f>IFERROR(SUM(X51:X56),"0")</f>
        <v>240</v>
      </c>
      <c r="Y58" s="547">
        <f>IFERROR(SUM(Y51:Y56),"0")</f>
        <v>245.20000000000002</v>
      </c>
      <c r="Z58" s="37"/>
      <c r="AA58" s="548"/>
      <c r="AB58" s="548"/>
      <c r="AC58" s="548"/>
    </row>
    <row r="59" spans="1:68" ht="14.25" customHeight="1" x14ac:dyDescent="0.25">
      <c r="A59" s="558" t="s">
        <v>130</v>
      </c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59"/>
      <c r="P59" s="559"/>
      <c r="Q59" s="559"/>
      <c r="R59" s="559"/>
      <c r="S59" s="559"/>
      <c r="T59" s="559"/>
      <c r="U59" s="559"/>
      <c r="V59" s="559"/>
      <c r="W59" s="559"/>
      <c r="X59" s="559"/>
      <c r="Y59" s="559"/>
      <c r="Z59" s="559"/>
      <c r="AA59" s="541"/>
      <c r="AB59" s="541"/>
      <c r="AC59" s="541"/>
    </row>
    <row r="60" spans="1:68" ht="16.5" customHeight="1" x14ac:dyDescent="0.25">
      <c r="A60" s="54" t="s">
        <v>131</v>
      </c>
      <c r="B60" s="54" t="s">
        <v>132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68</v>
      </c>
      <c r="X60" s="545">
        <v>0</v>
      </c>
      <c r="Y60" s="546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134</v>
      </c>
      <c r="B61" s="54" t="s">
        <v>135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7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136</v>
      </c>
      <c r="B62" s="54" t="s">
        <v>137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72"/>
      <c r="B63" s="559"/>
      <c r="C63" s="559"/>
      <c r="D63" s="559"/>
      <c r="E63" s="559"/>
      <c r="F63" s="559"/>
      <c r="G63" s="559"/>
      <c r="H63" s="559"/>
      <c r="I63" s="559"/>
      <c r="J63" s="559"/>
      <c r="K63" s="559"/>
      <c r="L63" s="559"/>
      <c r="M63" s="559"/>
      <c r="N63" s="559"/>
      <c r="O63" s="573"/>
      <c r="P63" s="562" t="s">
        <v>70</v>
      </c>
      <c r="Q63" s="563"/>
      <c r="R63" s="563"/>
      <c r="S63" s="563"/>
      <c r="T63" s="563"/>
      <c r="U63" s="563"/>
      <c r="V63" s="564"/>
      <c r="W63" s="37" t="s">
        <v>71</v>
      </c>
      <c r="X63" s="547">
        <f>IFERROR(X60/H60,"0")+IFERROR(X61/H61,"0")+IFERROR(X62/H62,"0")</f>
        <v>0</v>
      </c>
      <c r="Y63" s="547">
        <f>IFERROR(Y60/H60,"0")+IFERROR(Y61/H61,"0")+IFERROR(Y62/H62,"0")</f>
        <v>0</v>
      </c>
      <c r="Z63" s="547">
        <f>IFERROR(IF(Z60="",0,Z60),"0")+IFERROR(IF(Z61="",0,Z61),"0")+IFERROR(IF(Z62="",0,Z62),"0")</f>
        <v>0</v>
      </c>
      <c r="AA63" s="548"/>
      <c r="AB63" s="548"/>
      <c r="AC63" s="548"/>
    </row>
    <row r="64" spans="1:68" x14ac:dyDescent="0.2">
      <c r="A64" s="559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73"/>
      <c r="P64" s="562" t="s">
        <v>70</v>
      </c>
      <c r="Q64" s="563"/>
      <c r="R64" s="563"/>
      <c r="S64" s="563"/>
      <c r="T64" s="563"/>
      <c r="U64" s="563"/>
      <c r="V64" s="564"/>
      <c r="W64" s="37" t="s">
        <v>68</v>
      </c>
      <c r="X64" s="547">
        <f>IFERROR(SUM(X60:X62),"0")</f>
        <v>0</v>
      </c>
      <c r="Y64" s="547">
        <f>IFERROR(SUM(Y60:Y62),"0")</f>
        <v>0</v>
      </c>
      <c r="Z64" s="37"/>
      <c r="AA64" s="548"/>
      <c r="AB64" s="548"/>
      <c r="AC64" s="548"/>
    </row>
    <row r="65" spans="1:68" ht="14.25" customHeight="1" x14ac:dyDescent="0.25">
      <c r="A65" s="558" t="s">
        <v>63</v>
      </c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  <c r="N65" s="559"/>
      <c r="O65" s="559"/>
      <c r="P65" s="559"/>
      <c r="Q65" s="559"/>
      <c r="R65" s="559"/>
      <c r="S65" s="559"/>
      <c r="T65" s="559"/>
      <c r="U65" s="559"/>
      <c r="V65" s="559"/>
      <c r="W65" s="559"/>
      <c r="X65" s="559"/>
      <c r="Y65" s="559"/>
      <c r="Z65" s="559"/>
      <c r="AA65" s="541"/>
      <c r="AB65" s="541"/>
      <c r="AC65" s="541"/>
    </row>
    <row r="66" spans="1:68" ht="27" customHeight="1" x14ac:dyDescent="0.25">
      <c r="A66" s="54" t="s">
        <v>138</v>
      </c>
      <c r="B66" s="54" t="s">
        <v>139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68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141</v>
      </c>
      <c r="B67" s="54" t="s">
        <v>142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144</v>
      </c>
      <c r="B68" s="54" t="s">
        <v>145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72"/>
      <c r="B69" s="559"/>
      <c r="C69" s="559"/>
      <c r="D69" s="559"/>
      <c r="E69" s="559"/>
      <c r="F69" s="559"/>
      <c r="G69" s="559"/>
      <c r="H69" s="559"/>
      <c r="I69" s="559"/>
      <c r="J69" s="559"/>
      <c r="K69" s="559"/>
      <c r="L69" s="559"/>
      <c r="M69" s="559"/>
      <c r="N69" s="559"/>
      <c r="O69" s="573"/>
      <c r="P69" s="562" t="s">
        <v>70</v>
      </c>
      <c r="Q69" s="563"/>
      <c r="R69" s="563"/>
      <c r="S69" s="563"/>
      <c r="T69" s="563"/>
      <c r="U69" s="563"/>
      <c r="V69" s="564"/>
      <c r="W69" s="37" t="s">
        <v>71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x14ac:dyDescent="0.2">
      <c r="A70" s="559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73"/>
      <c r="P70" s="562" t="s">
        <v>70</v>
      </c>
      <c r="Q70" s="563"/>
      <c r="R70" s="563"/>
      <c r="S70" s="563"/>
      <c r="T70" s="563"/>
      <c r="U70" s="563"/>
      <c r="V70" s="564"/>
      <c r="W70" s="37" t="s">
        <v>68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customHeight="1" x14ac:dyDescent="0.25">
      <c r="A71" s="558" t="s">
        <v>72</v>
      </c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59"/>
      <c r="P71" s="559"/>
      <c r="Q71" s="559"/>
      <c r="R71" s="559"/>
      <c r="S71" s="559"/>
      <c r="T71" s="559"/>
      <c r="U71" s="559"/>
      <c r="V71" s="559"/>
      <c r="W71" s="559"/>
      <c r="X71" s="559"/>
      <c r="Y71" s="559"/>
      <c r="Z71" s="559"/>
      <c r="AA71" s="541"/>
      <c r="AB71" s="541"/>
      <c r="AC71" s="541"/>
    </row>
    <row r="72" spans="1:68" ht="16.5" customHeight="1" x14ac:dyDescent="0.25">
      <c r="A72" s="54" t="s">
        <v>147</v>
      </c>
      <c r="B72" s="54" t="s">
        <v>148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68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150</v>
      </c>
      <c r="B73" s="54" t="s">
        <v>151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153</v>
      </c>
      <c r="B74" s="54" t="s">
        <v>154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70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155</v>
      </c>
      <c r="B75" s="54" t="s">
        <v>156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157</v>
      </c>
      <c r="B76" s="54" t="s">
        <v>158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1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72"/>
      <c r="B77" s="559"/>
      <c r="C77" s="559"/>
      <c r="D77" s="559"/>
      <c r="E77" s="559"/>
      <c r="F77" s="559"/>
      <c r="G77" s="559"/>
      <c r="H77" s="559"/>
      <c r="I77" s="559"/>
      <c r="J77" s="559"/>
      <c r="K77" s="559"/>
      <c r="L77" s="559"/>
      <c r="M77" s="559"/>
      <c r="N77" s="559"/>
      <c r="O77" s="573"/>
      <c r="P77" s="562" t="s">
        <v>70</v>
      </c>
      <c r="Q77" s="563"/>
      <c r="R77" s="563"/>
      <c r="S77" s="563"/>
      <c r="T77" s="563"/>
      <c r="U77" s="563"/>
      <c r="V77" s="564"/>
      <c r="W77" s="37" t="s">
        <v>71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x14ac:dyDescent="0.2">
      <c r="A78" s="559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73"/>
      <c r="P78" s="562" t="s">
        <v>70</v>
      </c>
      <c r="Q78" s="563"/>
      <c r="R78" s="563"/>
      <c r="S78" s="563"/>
      <c r="T78" s="563"/>
      <c r="U78" s="563"/>
      <c r="V78" s="564"/>
      <c r="W78" s="37" t="s">
        <v>68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customHeight="1" x14ac:dyDescent="0.25">
      <c r="A79" s="558" t="s">
        <v>160</v>
      </c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59"/>
      <c r="P79" s="559"/>
      <c r="Q79" s="559"/>
      <c r="R79" s="559"/>
      <c r="S79" s="559"/>
      <c r="T79" s="559"/>
      <c r="U79" s="559"/>
      <c r="V79" s="559"/>
      <c r="W79" s="559"/>
      <c r="X79" s="559"/>
      <c r="Y79" s="559"/>
      <c r="Z79" s="559"/>
      <c r="AA79" s="541"/>
      <c r="AB79" s="541"/>
      <c r="AC79" s="541"/>
    </row>
    <row r="80" spans="1:68" ht="27" customHeight="1" x14ac:dyDescent="0.25">
      <c r="A80" s="54" t="s">
        <v>161</v>
      </c>
      <c r="B80" s="54" t="s">
        <v>162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7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68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164</v>
      </c>
      <c r="B81" s="54" t="s">
        <v>165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72"/>
      <c r="B82" s="559"/>
      <c r="C82" s="559"/>
      <c r="D82" s="559"/>
      <c r="E82" s="559"/>
      <c r="F82" s="559"/>
      <c r="G82" s="559"/>
      <c r="H82" s="559"/>
      <c r="I82" s="559"/>
      <c r="J82" s="559"/>
      <c r="K82" s="559"/>
      <c r="L82" s="559"/>
      <c r="M82" s="559"/>
      <c r="N82" s="559"/>
      <c r="O82" s="573"/>
      <c r="P82" s="562" t="s">
        <v>70</v>
      </c>
      <c r="Q82" s="563"/>
      <c r="R82" s="563"/>
      <c r="S82" s="563"/>
      <c r="T82" s="563"/>
      <c r="U82" s="563"/>
      <c r="V82" s="564"/>
      <c r="W82" s="37" t="s">
        <v>71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x14ac:dyDescent="0.2">
      <c r="A83" s="559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  <c r="N83" s="559"/>
      <c r="O83" s="573"/>
      <c r="P83" s="562" t="s">
        <v>70</v>
      </c>
      <c r="Q83" s="563"/>
      <c r="R83" s="563"/>
      <c r="S83" s="563"/>
      <c r="T83" s="563"/>
      <c r="U83" s="563"/>
      <c r="V83" s="564"/>
      <c r="W83" s="37" t="s">
        <v>68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customHeight="1" x14ac:dyDescent="0.25">
      <c r="A84" s="567" t="s">
        <v>167</v>
      </c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  <c r="N84" s="559"/>
      <c r="O84" s="559"/>
      <c r="P84" s="559"/>
      <c r="Q84" s="559"/>
      <c r="R84" s="559"/>
      <c r="S84" s="559"/>
      <c r="T84" s="559"/>
      <c r="U84" s="559"/>
      <c r="V84" s="559"/>
      <c r="W84" s="559"/>
      <c r="X84" s="559"/>
      <c r="Y84" s="559"/>
      <c r="Z84" s="559"/>
      <c r="AA84" s="540"/>
      <c r="AB84" s="540"/>
      <c r="AC84" s="540"/>
    </row>
    <row r="85" spans="1:68" ht="14.25" customHeight="1" x14ac:dyDescent="0.25">
      <c r="A85" s="558" t="s">
        <v>98</v>
      </c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  <c r="N85" s="559"/>
      <c r="O85" s="559"/>
      <c r="P85" s="559"/>
      <c r="Q85" s="559"/>
      <c r="R85" s="559"/>
      <c r="S85" s="559"/>
      <c r="T85" s="559"/>
      <c r="U85" s="559"/>
      <c r="V85" s="559"/>
      <c r="W85" s="559"/>
      <c r="X85" s="559"/>
      <c r="Y85" s="559"/>
      <c r="Z85" s="559"/>
      <c r="AA85" s="541"/>
      <c r="AB85" s="541"/>
      <c r="AC85" s="541"/>
    </row>
    <row r="86" spans="1:68" ht="27" customHeight="1" x14ac:dyDescent="0.25">
      <c r="A86" s="54" t="s">
        <v>168</v>
      </c>
      <c r="B86" s="54" t="s">
        <v>169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7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68</v>
      </c>
      <c r="X86" s="545">
        <v>300</v>
      </c>
      <c r="Y86" s="546">
        <f>IFERROR(IF(X86="",0,CEILING((X86/$H86),1)*$H86),"")</f>
        <v>302.40000000000003</v>
      </c>
      <c r="Z86" s="36">
        <f>IFERROR(IF(Y86=0,"",ROUNDUP(Y86/H86,0)*0.01898),"")</f>
        <v>0.53144000000000002</v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312.08333333333331</v>
      </c>
      <c r="BN86" s="64">
        <f>IFERROR(Y86*I86/H86,"0")</f>
        <v>314.58000000000004</v>
      </c>
      <c r="BO86" s="64">
        <f>IFERROR(1/J86*(X86/H86),"0")</f>
        <v>0.43402777777777773</v>
      </c>
      <c r="BP86" s="64">
        <f>IFERROR(1/J86*(Y86/H86),"0")</f>
        <v>0.4375</v>
      </c>
    </row>
    <row r="87" spans="1:68" ht="27" customHeight="1" x14ac:dyDescent="0.25">
      <c r="A87" s="54" t="s">
        <v>171</v>
      </c>
      <c r="B87" s="54" t="s">
        <v>172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72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68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173</v>
      </c>
      <c r="B88" s="54" t="s">
        <v>174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7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68</v>
      </c>
      <c r="X88" s="545">
        <v>45</v>
      </c>
      <c r="Y88" s="546">
        <f>IFERROR(IF(X88="",0,CEILING((X88/$H88),1)*$H88),"")</f>
        <v>45</v>
      </c>
      <c r="Z88" s="36">
        <f>IFERROR(IF(Y88=0,"",ROUNDUP(Y88/H88,0)*0.00902),"")</f>
        <v>9.0200000000000002E-2</v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47.099999999999994</v>
      </c>
      <c r="BN88" s="64">
        <f>IFERROR(Y88*I88/H88,"0")</f>
        <v>47.099999999999994</v>
      </c>
      <c r="BO88" s="64">
        <f>IFERROR(1/J88*(X88/H88),"0")</f>
        <v>7.575757575757576E-2</v>
      </c>
      <c r="BP88" s="64">
        <f>IFERROR(1/J88*(Y88/H88),"0")</f>
        <v>7.575757575757576E-2</v>
      </c>
    </row>
    <row r="89" spans="1:68" x14ac:dyDescent="0.2">
      <c r="A89" s="572"/>
      <c r="B89" s="559"/>
      <c r="C89" s="559"/>
      <c r="D89" s="559"/>
      <c r="E89" s="559"/>
      <c r="F89" s="559"/>
      <c r="G89" s="559"/>
      <c r="H89" s="559"/>
      <c r="I89" s="559"/>
      <c r="J89" s="559"/>
      <c r="K89" s="559"/>
      <c r="L89" s="559"/>
      <c r="M89" s="559"/>
      <c r="N89" s="559"/>
      <c r="O89" s="573"/>
      <c r="P89" s="562" t="s">
        <v>70</v>
      </c>
      <c r="Q89" s="563"/>
      <c r="R89" s="563"/>
      <c r="S89" s="563"/>
      <c r="T89" s="563"/>
      <c r="U89" s="563"/>
      <c r="V89" s="564"/>
      <c r="W89" s="37" t="s">
        <v>71</v>
      </c>
      <c r="X89" s="547">
        <f>IFERROR(X86/H86,"0")+IFERROR(X87/H87,"0")+IFERROR(X88/H88,"0")</f>
        <v>37.777777777777771</v>
      </c>
      <c r="Y89" s="547">
        <f>IFERROR(Y86/H86,"0")+IFERROR(Y87/H87,"0")+IFERROR(Y88/H88,"0")</f>
        <v>38</v>
      </c>
      <c r="Z89" s="547">
        <f>IFERROR(IF(Z86="",0,Z86),"0")+IFERROR(IF(Z87="",0,Z87),"0")+IFERROR(IF(Z88="",0,Z88),"0")</f>
        <v>0.62163999999999997</v>
      </c>
      <c r="AA89" s="548"/>
      <c r="AB89" s="548"/>
      <c r="AC89" s="548"/>
    </row>
    <row r="90" spans="1:68" x14ac:dyDescent="0.2">
      <c r="A90" s="559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  <c r="N90" s="559"/>
      <c r="O90" s="573"/>
      <c r="P90" s="562" t="s">
        <v>70</v>
      </c>
      <c r="Q90" s="563"/>
      <c r="R90" s="563"/>
      <c r="S90" s="563"/>
      <c r="T90" s="563"/>
      <c r="U90" s="563"/>
      <c r="V90" s="564"/>
      <c r="W90" s="37" t="s">
        <v>68</v>
      </c>
      <c r="X90" s="547">
        <f>IFERROR(SUM(X86:X88),"0")</f>
        <v>345</v>
      </c>
      <c r="Y90" s="547">
        <f>IFERROR(SUM(Y86:Y88),"0")</f>
        <v>347.40000000000003</v>
      </c>
      <c r="Z90" s="37"/>
      <c r="AA90" s="548"/>
      <c r="AB90" s="548"/>
      <c r="AC90" s="548"/>
    </row>
    <row r="91" spans="1:68" ht="14.25" customHeight="1" x14ac:dyDescent="0.25">
      <c r="A91" s="558" t="s">
        <v>72</v>
      </c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  <c r="O91" s="559"/>
      <c r="P91" s="559"/>
      <c r="Q91" s="559"/>
      <c r="R91" s="559"/>
      <c r="S91" s="559"/>
      <c r="T91" s="559"/>
      <c r="U91" s="559"/>
      <c r="V91" s="559"/>
      <c r="W91" s="559"/>
      <c r="X91" s="559"/>
      <c r="Y91" s="559"/>
      <c r="Z91" s="559"/>
      <c r="AA91" s="541"/>
      <c r="AB91" s="541"/>
      <c r="AC91" s="541"/>
    </row>
    <row r="92" spans="1:68" ht="16.5" customHeight="1" x14ac:dyDescent="0.25">
      <c r="A92" s="54" t="s">
        <v>175</v>
      </c>
      <c r="B92" s="54" t="s">
        <v>176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14" t="s">
        <v>177</v>
      </c>
      <c r="Q92" s="552"/>
      <c r="R92" s="552"/>
      <c r="S92" s="552"/>
      <c r="T92" s="553"/>
      <c r="U92" s="34"/>
      <c r="V92" s="34"/>
      <c r="W92" s="35" t="s">
        <v>68</v>
      </c>
      <c r="X92" s="545">
        <v>1000</v>
      </c>
      <c r="Y92" s="546">
        <f>IFERROR(IF(X92="",0,CEILING((X92/$H92),1)*$H92),"")</f>
        <v>1004.4</v>
      </c>
      <c r="Z92" s="36">
        <f>IFERROR(IF(Y92=0,"",ROUNDUP(Y92/H92,0)*0.01898),"")</f>
        <v>2.3535200000000001</v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1064.0740740740741</v>
      </c>
      <c r="BN92" s="64">
        <f>IFERROR(Y92*I92/H92,"0")</f>
        <v>1068.7560000000001</v>
      </c>
      <c r="BO92" s="64">
        <f>IFERROR(1/J92*(X92/H92),"0")</f>
        <v>1.9290123456790125</v>
      </c>
      <c r="BP92" s="64">
        <f>IFERROR(1/J92*(Y92/H92),"0")</f>
        <v>1.9375</v>
      </c>
    </row>
    <row r="93" spans="1:68" ht="27" customHeight="1" x14ac:dyDescent="0.25">
      <c r="A93" s="54" t="s">
        <v>179</v>
      </c>
      <c r="B93" s="54" t="s">
        <v>180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9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68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182</v>
      </c>
      <c r="B94" s="54" t="s">
        <v>183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5">
        <v>225</v>
      </c>
      <c r="Y94" s="546">
        <f>IFERROR(IF(X94="",0,CEILING((X94/$H94),1)*$H94),"")</f>
        <v>226.8</v>
      </c>
      <c r="Z94" s="36">
        <f>IFERROR(IF(Y94=0,"",ROUNDUP(Y94/H94,0)*0.00651),"")</f>
        <v>0.54683999999999999</v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246</v>
      </c>
      <c r="BN94" s="64">
        <f>IFERROR(Y94*I94/H94,"0")</f>
        <v>247.96799999999999</v>
      </c>
      <c r="BO94" s="64">
        <f>IFERROR(1/J94*(X94/H94),"0")</f>
        <v>0.45787545787545786</v>
      </c>
      <c r="BP94" s="64">
        <f>IFERROR(1/J94*(Y94/H94),"0")</f>
        <v>0.46153846153846156</v>
      </c>
    </row>
    <row r="95" spans="1:68" ht="16.5" customHeight="1" x14ac:dyDescent="0.25">
      <c r="A95" s="54" t="s">
        <v>184</v>
      </c>
      <c r="B95" s="54" t="s">
        <v>185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2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68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72"/>
      <c r="B96" s="559"/>
      <c r="C96" s="559"/>
      <c r="D96" s="559"/>
      <c r="E96" s="559"/>
      <c r="F96" s="559"/>
      <c r="G96" s="559"/>
      <c r="H96" s="559"/>
      <c r="I96" s="559"/>
      <c r="J96" s="559"/>
      <c r="K96" s="559"/>
      <c r="L96" s="559"/>
      <c r="M96" s="559"/>
      <c r="N96" s="559"/>
      <c r="O96" s="573"/>
      <c r="P96" s="562" t="s">
        <v>70</v>
      </c>
      <c r="Q96" s="563"/>
      <c r="R96" s="563"/>
      <c r="S96" s="563"/>
      <c r="T96" s="563"/>
      <c r="U96" s="563"/>
      <c r="V96" s="564"/>
      <c r="W96" s="37" t="s">
        <v>71</v>
      </c>
      <c r="X96" s="547">
        <f>IFERROR(X92/H92,"0")+IFERROR(X93/H93,"0")+IFERROR(X94/H94,"0")+IFERROR(X95/H95,"0")</f>
        <v>206.79012345679013</v>
      </c>
      <c r="Y96" s="547">
        <f>IFERROR(Y92/H92,"0")+IFERROR(Y93/H93,"0")+IFERROR(Y94/H94,"0")+IFERROR(Y95/H95,"0")</f>
        <v>208</v>
      </c>
      <c r="Z96" s="547">
        <f>IFERROR(IF(Z92="",0,Z92),"0")+IFERROR(IF(Z93="",0,Z93),"0")+IFERROR(IF(Z94="",0,Z94),"0")+IFERROR(IF(Z95="",0,Z95),"0")</f>
        <v>2.90036</v>
      </c>
      <c r="AA96" s="548"/>
      <c r="AB96" s="548"/>
      <c r="AC96" s="548"/>
    </row>
    <row r="97" spans="1:68" x14ac:dyDescent="0.2">
      <c r="A97" s="559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73"/>
      <c r="P97" s="562" t="s">
        <v>70</v>
      </c>
      <c r="Q97" s="563"/>
      <c r="R97" s="563"/>
      <c r="S97" s="563"/>
      <c r="T97" s="563"/>
      <c r="U97" s="563"/>
      <c r="V97" s="564"/>
      <c r="W97" s="37" t="s">
        <v>68</v>
      </c>
      <c r="X97" s="547">
        <f>IFERROR(SUM(X92:X95),"0")</f>
        <v>1225</v>
      </c>
      <c r="Y97" s="547">
        <f>IFERROR(SUM(Y92:Y95),"0")</f>
        <v>1231.2</v>
      </c>
      <c r="Z97" s="37"/>
      <c r="AA97" s="548"/>
      <c r="AB97" s="548"/>
      <c r="AC97" s="548"/>
    </row>
    <row r="98" spans="1:68" ht="16.5" customHeight="1" x14ac:dyDescent="0.25">
      <c r="A98" s="567" t="s">
        <v>187</v>
      </c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59"/>
      <c r="P98" s="559"/>
      <c r="Q98" s="559"/>
      <c r="R98" s="559"/>
      <c r="S98" s="559"/>
      <c r="T98" s="559"/>
      <c r="U98" s="559"/>
      <c r="V98" s="559"/>
      <c r="W98" s="559"/>
      <c r="X98" s="559"/>
      <c r="Y98" s="559"/>
      <c r="Z98" s="559"/>
      <c r="AA98" s="540"/>
      <c r="AB98" s="540"/>
      <c r="AC98" s="540"/>
    </row>
    <row r="99" spans="1:68" ht="14.25" customHeight="1" x14ac:dyDescent="0.25">
      <c r="A99" s="558" t="s">
        <v>98</v>
      </c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  <c r="T99" s="559"/>
      <c r="U99" s="559"/>
      <c r="V99" s="559"/>
      <c r="W99" s="559"/>
      <c r="X99" s="559"/>
      <c r="Y99" s="559"/>
      <c r="Z99" s="559"/>
      <c r="AA99" s="541"/>
      <c r="AB99" s="541"/>
      <c r="AC99" s="541"/>
    </row>
    <row r="100" spans="1:68" ht="27" customHeight="1" x14ac:dyDescent="0.25">
      <c r="A100" s="54" t="s">
        <v>188</v>
      </c>
      <c r="B100" s="54" t="s">
        <v>189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1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68</v>
      </c>
      <c r="X100" s="545">
        <v>300</v>
      </c>
      <c r="Y100" s="546">
        <f>IFERROR(IF(X100="",0,CEILING((X100/$H100),1)*$H100),"")</f>
        <v>302.40000000000003</v>
      </c>
      <c r="Z100" s="36">
        <f>IFERROR(IF(Y100=0,"",ROUNDUP(Y100/H100,0)*0.01898),"")</f>
        <v>0.53144000000000002</v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312.08333333333331</v>
      </c>
      <c r="BN100" s="64">
        <f>IFERROR(Y100*I100/H100,"0")</f>
        <v>314.58000000000004</v>
      </c>
      <c r="BO100" s="64">
        <f>IFERROR(1/J100*(X100/H100),"0")</f>
        <v>0.43402777777777773</v>
      </c>
      <c r="BP100" s="64">
        <f>IFERROR(1/J100*(Y100/H100),"0")</f>
        <v>0.4375</v>
      </c>
    </row>
    <row r="101" spans="1:68" ht="27" customHeight="1" x14ac:dyDescent="0.25">
      <c r="A101" s="54" t="s">
        <v>191</v>
      </c>
      <c r="B101" s="54" t="s">
        <v>192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81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68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193</v>
      </c>
      <c r="B102" s="54" t="s">
        <v>194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5">
        <v>45</v>
      </c>
      <c r="Y102" s="546">
        <f>IFERROR(IF(X102="",0,CEILING((X102/$H102),1)*$H102),"")</f>
        <v>45</v>
      </c>
      <c r="Z102" s="36">
        <f>IFERROR(IF(Y102=0,"",ROUNDUP(Y102/H102,0)*0.00902),"")</f>
        <v>9.0200000000000002E-2</v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47.099999999999994</v>
      </c>
      <c r="BN102" s="64">
        <f>IFERROR(Y102*I102/H102,"0")</f>
        <v>47.099999999999994</v>
      </c>
      <c r="BO102" s="64">
        <f>IFERROR(1/J102*(X102/H102),"0")</f>
        <v>7.575757575757576E-2</v>
      </c>
      <c r="BP102" s="64">
        <f>IFERROR(1/J102*(Y102/H102),"0")</f>
        <v>7.575757575757576E-2</v>
      </c>
    </row>
    <row r="103" spans="1:68" ht="27" customHeight="1" x14ac:dyDescent="0.25">
      <c r="A103" s="54" t="s">
        <v>195</v>
      </c>
      <c r="B103" s="54" t="s">
        <v>196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5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72"/>
      <c r="B104" s="559"/>
      <c r="C104" s="559"/>
      <c r="D104" s="559"/>
      <c r="E104" s="559"/>
      <c r="F104" s="559"/>
      <c r="G104" s="559"/>
      <c r="H104" s="559"/>
      <c r="I104" s="559"/>
      <c r="J104" s="559"/>
      <c r="K104" s="559"/>
      <c r="L104" s="559"/>
      <c r="M104" s="559"/>
      <c r="N104" s="559"/>
      <c r="O104" s="573"/>
      <c r="P104" s="562" t="s">
        <v>70</v>
      </c>
      <c r="Q104" s="563"/>
      <c r="R104" s="563"/>
      <c r="S104" s="563"/>
      <c r="T104" s="563"/>
      <c r="U104" s="563"/>
      <c r="V104" s="564"/>
      <c r="W104" s="37" t="s">
        <v>71</v>
      </c>
      <c r="X104" s="547">
        <f>IFERROR(X100/H100,"0")+IFERROR(X101/H101,"0")+IFERROR(X102/H102,"0")+IFERROR(X103/H103,"0")</f>
        <v>37.777777777777771</v>
      </c>
      <c r="Y104" s="547">
        <f>IFERROR(Y100/H100,"0")+IFERROR(Y101/H101,"0")+IFERROR(Y102/H102,"0")+IFERROR(Y103/H103,"0")</f>
        <v>38</v>
      </c>
      <c r="Z104" s="547">
        <f>IFERROR(IF(Z100="",0,Z100),"0")+IFERROR(IF(Z101="",0,Z101),"0")+IFERROR(IF(Z102="",0,Z102),"0")+IFERROR(IF(Z103="",0,Z103),"0")</f>
        <v>0.62163999999999997</v>
      </c>
      <c r="AA104" s="548"/>
      <c r="AB104" s="548"/>
      <c r="AC104" s="548"/>
    </row>
    <row r="105" spans="1:68" x14ac:dyDescent="0.2">
      <c r="A105" s="559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73"/>
      <c r="P105" s="562" t="s">
        <v>70</v>
      </c>
      <c r="Q105" s="563"/>
      <c r="R105" s="563"/>
      <c r="S105" s="563"/>
      <c r="T105" s="563"/>
      <c r="U105" s="563"/>
      <c r="V105" s="564"/>
      <c r="W105" s="37" t="s">
        <v>68</v>
      </c>
      <c r="X105" s="547">
        <f>IFERROR(SUM(X100:X103),"0")</f>
        <v>345</v>
      </c>
      <c r="Y105" s="547">
        <f>IFERROR(SUM(Y100:Y103),"0")</f>
        <v>347.40000000000003</v>
      </c>
      <c r="Z105" s="37"/>
      <c r="AA105" s="548"/>
      <c r="AB105" s="548"/>
      <c r="AC105" s="548"/>
    </row>
    <row r="106" spans="1:68" ht="14.25" customHeight="1" x14ac:dyDescent="0.25">
      <c r="A106" s="558" t="s">
        <v>130</v>
      </c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59"/>
      <c r="P106" s="559"/>
      <c r="Q106" s="559"/>
      <c r="R106" s="559"/>
      <c r="S106" s="559"/>
      <c r="T106" s="559"/>
      <c r="U106" s="559"/>
      <c r="V106" s="559"/>
      <c r="W106" s="559"/>
      <c r="X106" s="559"/>
      <c r="Y106" s="559"/>
      <c r="Z106" s="559"/>
      <c r="AA106" s="541"/>
      <c r="AB106" s="541"/>
      <c r="AC106" s="541"/>
    </row>
    <row r="107" spans="1:68" ht="16.5" customHeight="1" x14ac:dyDescent="0.25">
      <c r="A107" s="54" t="s">
        <v>197</v>
      </c>
      <c r="B107" s="54" t="s">
        <v>198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8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68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200</v>
      </c>
      <c r="B108" s="54" t="s">
        <v>201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6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202</v>
      </c>
      <c r="B109" s="54" t="s">
        <v>203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5">
        <v>40</v>
      </c>
      <c r="Y109" s="546">
        <f>IFERROR(IF(X109="",0,CEILING((X109/$H109),1)*$H109),"")</f>
        <v>40.799999999999997</v>
      </c>
      <c r="Z109" s="36">
        <f>IFERROR(IF(Y109=0,"",ROUNDUP(Y109/H109,0)*0.00651),"")</f>
        <v>0.11067</v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43</v>
      </c>
      <c r="BN109" s="64">
        <f>IFERROR(Y109*I109/H109,"0")</f>
        <v>43.86</v>
      </c>
      <c r="BO109" s="64">
        <f>IFERROR(1/J109*(X109/H109),"0")</f>
        <v>9.1575091575091583E-2</v>
      </c>
      <c r="BP109" s="64">
        <f>IFERROR(1/J109*(Y109/H109),"0")</f>
        <v>9.3406593406593408E-2</v>
      </c>
    </row>
    <row r="110" spans="1:68" x14ac:dyDescent="0.2">
      <c r="A110" s="572"/>
      <c r="B110" s="559"/>
      <c r="C110" s="559"/>
      <c r="D110" s="559"/>
      <c r="E110" s="559"/>
      <c r="F110" s="559"/>
      <c r="G110" s="559"/>
      <c r="H110" s="559"/>
      <c r="I110" s="559"/>
      <c r="J110" s="559"/>
      <c r="K110" s="559"/>
      <c r="L110" s="559"/>
      <c r="M110" s="559"/>
      <c r="N110" s="559"/>
      <c r="O110" s="573"/>
      <c r="P110" s="562" t="s">
        <v>70</v>
      </c>
      <c r="Q110" s="563"/>
      <c r="R110" s="563"/>
      <c r="S110" s="563"/>
      <c r="T110" s="563"/>
      <c r="U110" s="563"/>
      <c r="V110" s="564"/>
      <c r="W110" s="37" t="s">
        <v>71</v>
      </c>
      <c r="X110" s="547">
        <f>IFERROR(X107/H107,"0")+IFERROR(X108/H108,"0")+IFERROR(X109/H109,"0")</f>
        <v>16.666666666666668</v>
      </c>
      <c r="Y110" s="547">
        <f>IFERROR(Y107/H107,"0")+IFERROR(Y108/H108,"0")+IFERROR(Y109/H109,"0")</f>
        <v>17</v>
      </c>
      <c r="Z110" s="547">
        <f>IFERROR(IF(Z107="",0,Z107),"0")+IFERROR(IF(Z108="",0,Z108),"0")+IFERROR(IF(Z109="",0,Z109),"0")</f>
        <v>0.11067</v>
      </c>
      <c r="AA110" s="548"/>
      <c r="AB110" s="548"/>
      <c r="AC110" s="548"/>
    </row>
    <row r="111" spans="1:68" x14ac:dyDescent="0.2">
      <c r="A111" s="559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73"/>
      <c r="P111" s="562" t="s">
        <v>70</v>
      </c>
      <c r="Q111" s="563"/>
      <c r="R111" s="563"/>
      <c r="S111" s="563"/>
      <c r="T111" s="563"/>
      <c r="U111" s="563"/>
      <c r="V111" s="564"/>
      <c r="W111" s="37" t="s">
        <v>68</v>
      </c>
      <c r="X111" s="547">
        <f>IFERROR(SUM(X107:X109),"0")</f>
        <v>40</v>
      </c>
      <c r="Y111" s="547">
        <f>IFERROR(SUM(Y107:Y109),"0")</f>
        <v>40.799999999999997</v>
      </c>
      <c r="Z111" s="37"/>
      <c r="AA111" s="548"/>
      <c r="AB111" s="548"/>
      <c r="AC111" s="548"/>
    </row>
    <row r="112" spans="1:68" ht="14.25" customHeight="1" x14ac:dyDescent="0.25">
      <c r="A112" s="558" t="s">
        <v>72</v>
      </c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59"/>
      <c r="P112" s="559"/>
      <c r="Q112" s="559"/>
      <c r="R112" s="559"/>
      <c r="S112" s="559"/>
      <c r="T112" s="559"/>
      <c r="U112" s="559"/>
      <c r="V112" s="559"/>
      <c r="W112" s="559"/>
      <c r="X112" s="559"/>
      <c r="Y112" s="559"/>
      <c r="Z112" s="559"/>
      <c r="AA112" s="541"/>
      <c r="AB112" s="541"/>
      <c r="AC112" s="541"/>
    </row>
    <row r="113" spans="1:68" ht="16.5" customHeight="1" x14ac:dyDescent="0.25">
      <c r="A113" s="54" t="s">
        <v>204</v>
      </c>
      <c r="B113" s="54" t="s">
        <v>205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5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68</v>
      </c>
      <c r="X113" s="545">
        <v>200</v>
      </c>
      <c r="Y113" s="546">
        <f>IFERROR(IF(X113="",0,CEILING((X113/$H113),1)*$H113),"")</f>
        <v>202.5</v>
      </c>
      <c r="Z113" s="36">
        <f>IFERROR(IF(Y113=0,"",ROUNDUP(Y113/H113,0)*0.01898),"")</f>
        <v>0.47450000000000003</v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212.66666666666666</v>
      </c>
      <c r="BN113" s="64">
        <f>IFERROR(Y113*I113/H113,"0")</f>
        <v>215.32499999999999</v>
      </c>
      <c r="BO113" s="64">
        <f>IFERROR(1/J113*(X113/H113),"0")</f>
        <v>0.38580246913580246</v>
      </c>
      <c r="BP113" s="64">
        <f>IFERROR(1/J113*(Y113/H113),"0")</f>
        <v>0.390625</v>
      </c>
    </row>
    <row r="114" spans="1:68" ht="27" customHeight="1" x14ac:dyDescent="0.25">
      <c r="A114" s="54" t="s">
        <v>207</v>
      </c>
      <c r="B114" s="54" t="s">
        <v>208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0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209</v>
      </c>
      <c r="B115" s="54" t="s">
        <v>210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3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5">
        <v>900</v>
      </c>
      <c r="Y115" s="546">
        <f>IFERROR(IF(X115="",0,CEILING((X115/$H115),1)*$H115),"")</f>
        <v>901.80000000000007</v>
      </c>
      <c r="Z115" s="36">
        <f>IFERROR(IF(Y115=0,"",ROUNDUP(Y115/H115,0)*0.00651),"")</f>
        <v>2.1743399999999999</v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984</v>
      </c>
      <c r="BN115" s="64">
        <f>IFERROR(Y115*I115/H115,"0")</f>
        <v>985.96799999999996</v>
      </c>
      <c r="BO115" s="64">
        <f>IFERROR(1/J115*(X115/H115),"0")</f>
        <v>1.8315018315018314</v>
      </c>
      <c r="BP115" s="64">
        <f>IFERROR(1/J115*(Y115/H115),"0")</f>
        <v>1.8351648351648353</v>
      </c>
    </row>
    <row r="116" spans="1:68" ht="16.5" customHeight="1" x14ac:dyDescent="0.25">
      <c r="A116" s="54" t="s">
        <v>211</v>
      </c>
      <c r="B116" s="54" t="s">
        <v>212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4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72"/>
      <c r="B117" s="559"/>
      <c r="C117" s="559"/>
      <c r="D117" s="559"/>
      <c r="E117" s="559"/>
      <c r="F117" s="559"/>
      <c r="G117" s="559"/>
      <c r="H117" s="559"/>
      <c r="I117" s="559"/>
      <c r="J117" s="559"/>
      <c r="K117" s="559"/>
      <c r="L117" s="559"/>
      <c r="M117" s="559"/>
      <c r="N117" s="559"/>
      <c r="O117" s="573"/>
      <c r="P117" s="562" t="s">
        <v>70</v>
      </c>
      <c r="Q117" s="563"/>
      <c r="R117" s="563"/>
      <c r="S117" s="563"/>
      <c r="T117" s="563"/>
      <c r="U117" s="563"/>
      <c r="V117" s="564"/>
      <c r="W117" s="37" t="s">
        <v>71</v>
      </c>
      <c r="X117" s="547">
        <f>IFERROR(X113/H113,"0")+IFERROR(X114/H114,"0")+IFERROR(X115/H115,"0")+IFERROR(X116/H116,"0")</f>
        <v>358.02469135802465</v>
      </c>
      <c r="Y117" s="547">
        <f>IFERROR(Y113/H113,"0")+IFERROR(Y114/H114,"0")+IFERROR(Y115/H115,"0")+IFERROR(Y116/H116,"0")</f>
        <v>359</v>
      </c>
      <c r="Z117" s="547">
        <f>IFERROR(IF(Z113="",0,Z113),"0")+IFERROR(IF(Z114="",0,Z114),"0")+IFERROR(IF(Z115="",0,Z115),"0")+IFERROR(IF(Z116="",0,Z116),"0")</f>
        <v>2.6488399999999999</v>
      </c>
      <c r="AA117" s="548"/>
      <c r="AB117" s="548"/>
      <c r="AC117" s="548"/>
    </row>
    <row r="118" spans="1:68" x14ac:dyDescent="0.2">
      <c r="A118" s="559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73"/>
      <c r="P118" s="562" t="s">
        <v>70</v>
      </c>
      <c r="Q118" s="563"/>
      <c r="R118" s="563"/>
      <c r="S118" s="563"/>
      <c r="T118" s="563"/>
      <c r="U118" s="563"/>
      <c r="V118" s="564"/>
      <c r="W118" s="37" t="s">
        <v>68</v>
      </c>
      <c r="X118" s="547">
        <f>IFERROR(SUM(X113:X116),"0")</f>
        <v>1100</v>
      </c>
      <c r="Y118" s="547">
        <f>IFERROR(SUM(Y113:Y116),"0")</f>
        <v>1104.3000000000002</v>
      </c>
      <c r="Z118" s="37"/>
      <c r="AA118" s="548"/>
      <c r="AB118" s="548"/>
      <c r="AC118" s="548"/>
    </row>
    <row r="119" spans="1:68" ht="14.25" customHeight="1" x14ac:dyDescent="0.25">
      <c r="A119" s="558" t="s">
        <v>160</v>
      </c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59"/>
      <c r="P119" s="559"/>
      <c r="Q119" s="559"/>
      <c r="R119" s="559"/>
      <c r="S119" s="559"/>
      <c r="T119" s="559"/>
      <c r="U119" s="559"/>
      <c r="V119" s="559"/>
      <c r="W119" s="559"/>
      <c r="X119" s="559"/>
      <c r="Y119" s="559"/>
      <c r="Z119" s="559"/>
      <c r="AA119" s="541"/>
      <c r="AB119" s="541"/>
      <c r="AC119" s="541"/>
    </row>
    <row r="120" spans="1:68" ht="16.5" customHeight="1" x14ac:dyDescent="0.25">
      <c r="A120" s="54" t="s">
        <v>214</v>
      </c>
      <c r="B120" s="54" t="s">
        <v>215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2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68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2"/>
      <c r="B121" s="559"/>
      <c r="C121" s="559"/>
      <c r="D121" s="559"/>
      <c r="E121" s="559"/>
      <c r="F121" s="559"/>
      <c r="G121" s="559"/>
      <c r="H121" s="559"/>
      <c r="I121" s="559"/>
      <c r="J121" s="559"/>
      <c r="K121" s="559"/>
      <c r="L121" s="559"/>
      <c r="M121" s="559"/>
      <c r="N121" s="559"/>
      <c r="O121" s="573"/>
      <c r="P121" s="562" t="s">
        <v>70</v>
      </c>
      <c r="Q121" s="563"/>
      <c r="R121" s="563"/>
      <c r="S121" s="563"/>
      <c r="T121" s="563"/>
      <c r="U121" s="563"/>
      <c r="V121" s="564"/>
      <c r="W121" s="37" t="s">
        <v>71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x14ac:dyDescent="0.2">
      <c r="A122" s="559"/>
      <c r="B122" s="559"/>
      <c r="C122" s="559"/>
      <c r="D122" s="559"/>
      <c r="E122" s="559"/>
      <c r="F122" s="559"/>
      <c r="G122" s="559"/>
      <c r="H122" s="559"/>
      <c r="I122" s="559"/>
      <c r="J122" s="559"/>
      <c r="K122" s="559"/>
      <c r="L122" s="559"/>
      <c r="M122" s="559"/>
      <c r="N122" s="559"/>
      <c r="O122" s="573"/>
      <c r="P122" s="562" t="s">
        <v>70</v>
      </c>
      <c r="Q122" s="563"/>
      <c r="R122" s="563"/>
      <c r="S122" s="563"/>
      <c r="T122" s="563"/>
      <c r="U122" s="563"/>
      <c r="V122" s="564"/>
      <c r="W122" s="37" t="s">
        <v>68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customHeight="1" x14ac:dyDescent="0.25">
      <c r="A123" s="567" t="s">
        <v>217</v>
      </c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59"/>
      <c r="P123" s="559"/>
      <c r="Q123" s="559"/>
      <c r="R123" s="559"/>
      <c r="S123" s="559"/>
      <c r="T123" s="559"/>
      <c r="U123" s="559"/>
      <c r="V123" s="559"/>
      <c r="W123" s="559"/>
      <c r="X123" s="559"/>
      <c r="Y123" s="559"/>
      <c r="Z123" s="559"/>
      <c r="AA123" s="540"/>
      <c r="AB123" s="540"/>
      <c r="AC123" s="540"/>
    </row>
    <row r="124" spans="1:68" ht="14.25" customHeight="1" x14ac:dyDescent="0.25">
      <c r="A124" s="558" t="s">
        <v>98</v>
      </c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59"/>
      <c r="P124" s="559"/>
      <c r="Q124" s="559"/>
      <c r="R124" s="559"/>
      <c r="S124" s="559"/>
      <c r="T124" s="559"/>
      <c r="U124" s="559"/>
      <c r="V124" s="559"/>
      <c r="W124" s="559"/>
      <c r="X124" s="559"/>
      <c r="Y124" s="559"/>
      <c r="Z124" s="559"/>
      <c r="AA124" s="541"/>
      <c r="AB124" s="541"/>
      <c r="AC124" s="541"/>
    </row>
    <row r="125" spans="1:68" ht="27" customHeight="1" x14ac:dyDescent="0.25">
      <c r="A125" s="54" t="s">
        <v>218</v>
      </c>
      <c r="B125" s="54" t="s">
        <v>219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0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68</v>
      </c>
      <c r="X125" s="545">
        <v>40</v>
      </c>
      <c r="Y125" s="546">
        <f>IFERROR(IF(X125="",0,CEILING((X125/$H125),1)*$H125),"")</f>
        <v>41.6</v>
      </c>
      <c r="Z125" s="36">
        <f>IFERROR(IF(Y125=0,"",ROUNDUP(Y125/H125,0)*0.00651),"")</f>
        <v>8.4629999999999997E-2</v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42.249999999999993</v>
      </c>
      <c r="BN125" s="64">
        <f>IFERROR(Y125*I125/H125,"0")</f>
        <v>43.94</v>
      </c>
      <c r="BO125" s="64">
        <f>IFERROR(1/J125*(X125/H125),"0")</f>
        <v>6.8681318681318687E-2</v>
      </c>
      <c r="BP125" s="64">
        <f>IFERROR(1/J125*(Y125/H125),"0")</f>
        <v>7.1428571428571438E-2</v>
      </c>
    </row>
    <row r="126" spans="1:68" ht="27" customHeight="1" x14ac:dyDescent="0.25">
      <c r="A126" s="54" t="s">
        <v>218</v>
      </c>
      <c r="B126" s="54" t="s">
        <v>221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68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72"/>
      <c r="B127" s="559"/>
      <c r="C127" s="559"/>
      <c r="D127" s="559"/>
      <c r="E127" s="559"/>
      <c r="F127" s="559"/>
      <c r="G127" s="559"/>
      <c r="H127" s="559"/>
      <c r="I127" s="559"/>
      <c r="J127" s="559"/>
      <c r="K127" s="559"/>
      <c r="L127" s="559"/>
      <c r="M127" s="559"/>
      <c r="N127" s="559"/>
      <c r="O127" s="573"/>
      <c r="P127" s="562" t="s">
        <v>70</v>
      </c>
      <c r="Q127" s="563"/>
      <c r="R127" s="563"/>
      <c r="S127" s="563"/>
      <c r="T127" s="563"/>
      <c r="U127" s="563"/>
      <c r="V127" s="564"/>
      <c r="W127" s="37" t="s">
        <v>71</v>
      </c>
      <c r="X127" s="547">
        <f>IFERROR(X125/H125,"0")+IFERROR(X126/H126,"0")</f>
        <v>12.5</v>
      </c>
      <c r="Y127" s="547">
        <f>IFERROR(Y125/H125,"0")+IFERROR(Y126/H126,"0")</f>
        <v>13</v>
      </c>
      <c r="Z127" s="547">
        <f>IFERROR(IF(Z125="",0,Z125),"0")+IFERROR(IF(Z126="",0,Z126),"0")</f>
        <v>8.4629999999999997E-2</v>
      </c>
      <c r="AA127" s="548"/>
      <c r="AB127" s="548"/>
      <c r="AC127" s="548"/>
    </row>
    <row r="128" spans="1:68" x14ac:dyDescent="0.2">
      <c r="A128" s="559"/>
      <c r="B128" s="559"/>
      <c r="C128" s="559"/>
      <c r="D128" s="559"/>
      <c r="E128" s="559"/>
      <c r="F128" s="559"/>
      <c r="G128" s="559"/>
      <c r="H128" s="559"/>
      <c r="I128" s="559"/>
      <c r="J128" s="559"/>
      <c r="K128" s="559"/>
      <c r="L128" s="559"/>
      <c r="M128" s="559"/>
      <c r="N128" s="559"/>
      <c r="O128" s="573"/>
      <c r="P128" s="562" t="s">
        <v>70</v>
      </c>
      <c r="Q128" s="563"/>
      <c r="R128" s="563"/>
      <c r="S128" s="563"/>
      <c r="T128" s="563"/>
      <c r="U128" s="563"/>
      <c r="V128" s="564"/>
      <c r="W128" s="37" t="s">
        <v>68</v>
      </c>
      <c r="X128" s="547">
        <f>IFERROR(SUM(X125:X126),"0")</f>
        <v>40</v>
      </c>
      <c r="Y128" s="547">
        <f>IFERROR(SUM(Y125:Y126),"0")</f>
        <v>41.6</v>
      </c>
      <c r="Z128" s="37"/>
      <c r="AA128" s="548"/>
      <c r="AB128" s="548"/>
      <c r="AC128" s="548"/>
    </row>
    <row r="129" spans="1:68" ht="14.25" customHeight="1" x14ac:dyDescent="0.25">
      <c r="A129" s="558" t="s">
        <v>63</v>
      </c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59"/>
      <c r="P129" s="559"/>
      <c r="Q129" s="559"/>
      <c r="R129" s="559"/>
      <c r="S129" s="559"/>
      <c r="T129" s="559"/>
      <c r="U129" s="559"/>
      <c r="V129" s="559"/>
      <c r="W129" s="559"/>
      <c r="X129" s="559"/>
      <c r="Y129" s="559"/>
      <c r="Z129" s="559"/>
      <c r="AA129" s="541"/>
      <c r="AB129" s="541"/>
      <c r="AC129" s="541"/>
    </row>
    <row r="130" spans="1:68" ht="27" customHeight="1" x14ac:dyDescent="0.25">
      <c r="A130" s="54" t="s">
        <v>222</v>
      </c>
      <c r="B130" s="54" t="s">
        <v>223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7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68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222</v>
      </c>
      <c r="B131" s="54" t="s">
        <v>225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6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68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2"/>
      <c r="B132" s="559"/>
      <c r="C132" s="559"/>
      <c r="D132" s="559"/>
      <c r="E132" s="559"/>
      <c r="F132" s="559"/>
      <c r="G132" s="559"/>
      <c r="H132" s="559"/>
      <c r="I132" s="559"/>
      <c r="J132" s="559"/>
      <c r="K132" s="559"/>
      <c r="L132" s="559"/>
      <c r="M132" s="559"/>
      <c r="N132" s="559"/>
      <c r="O132" s="573"/>
      <c r="P132" s="562" t="s">
        <v>70</v>
      </c>
      <c r="Q132" s="563"/>
      <c r="R132" s="563"/>
      <c r="S132" s="563"/>
      <c r="T132" s="563"/>
      <c r="U132" s="563"/>
      <c r="V132" s="564"/>
      <c r="W132" s="37" t="s">
        <v>71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x14ac:dyDescent="0.2">
      <c r="A133" s="559"/>
      <c r="B133" s="559"/>
      <c r="C133" s="559"/>
      <c r="D133" s="559"/>
      <c r="E133" s="559"/>
      <c r="F133" s="559"/>
      <c r="G133" s="559"/>
      <c r="H133" s="559"/>
      <c r="I133" s="559"/>
      <c r="J133" s="559"/>
      <c r="K133" s="559"/>
      <c r="L133" s="559"/>
      <c r="M133" s="559"/>
      <c r="N133" s="559"/>
      <c r="O133" s="573"/>
      <c r="P133" s="562" t="s">
        <v>70</v>
      </c>
      <c r="Q133" s="563"/>
      <c r="R133" s="563"/>
      <c r="S133" s="563"/>
      <c r="T133" s="563"/>
      <c r="U133" s="563"/>
      <c r="V133" s="564"/>
      <c r="W133" s="37" t="s">
        <v>68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customHeight="1" x14ac:dyDescent="0.25">
      <c r="A134" s="558" t="s">
        <v>72</v>
      </c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59"/>
      <c r="P134" s="559"/>
      <c r="Q134" s="559"/>
      <c r="R134" s="559"/>
      <c r="S134" s="559"/>
      <c r="T134" s="559"/>
      <c r="U134" s="559"/>
      <c r="V134" s="559"/>
      <c r="W134" s="559"/>
      <c r="X134" s="559"/>
      <c r="Y134" s="559"/>
      <c r="Z134" s="559"/>
      <c r="AA134" s="541"/>
      <c r="AB134" s="541"/>
      <c r="AC134" s="541"/>
    </row>
    <row r="135" spans="1:68" ht="16.5" customHeight="1" x14ac:dyDescent="0.25">
      <c r="A135" s="54" t="s">
        <v>226</v>
      </c>
      <c r="B135" s="54" t="s">
        <v>227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68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226</v>
      </c>
      <c r="B136" s="54" t="s">
        <v>228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5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68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2"/>
      <c r="B137" s="559"/>
      <c r="C137" s="559"/>
      <c r="D137" s="559"/>
      <c r="E137" s="559"/>
      <c r="F137" s="559"/>
      <c r="G137" s="559"/>
      <c r="H137" s="559"/>
      <c r="I137" s="559"/>
      <c r="J137" s="559"/>
      <c r="K137" s="559"/>
      <c r="L137" s="559"/>
      <c r="M137" s="559"/>
      <c r="N137" s="559"/>
      <c r="O137" s="573"/>
      <c r="P137" s="562" t="s">
        <v>70</v>
      </c>
      <c r="Q137" s="563"/>
      <c r="R137" s="563"/>
      <c r="S137" s="563"/>
      <c r="T137" s="563"/>
      <c r="U137" s="563"/>
      <c r="V137" s="564"/>
      <c r="W137" s="37" t="s">
        <v>71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x14ac:dyDescent="0.2">
      <c r="A138" s="559"/>
      <c r="B138" s="559"/>
      <c r="C138" s="559"/>
      <c r="D138" s="559"/>
      <c r="E138" s="559"/>
      <c r="F138" s="559"/>
      <c r="G138" s="559"/>
      <c r="H138" s="559"/>
      <c r="I138" s="559"/>
      <c r="J138" s="559"/>
      <c r="K138" s="559"/>
      <c r="L138" s="559"/>
      <c r="M138" s="559"/>
      <c r="N138" s="559"/>
      <c r="O138" s="573"/>
      <c r="P138" s="562" t="s">
        <v>70</v>
      </c>
      <c r="Q138" s="563"/>
      <c r="R138" s="563"/>
      <c r="S138" s="563"/>
      <c r="T138" s="563"/>
      <c r="U138" s="563"/>
      <c r="V138" s="564"/>
      <c r="W138" s="37" t="s">
        <v>68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customHeight="1" x14ac:dyDescent="0.25">
      <c r="A139" s="567" t="s">
        <v>96</v>
      </c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59"/>
      <c r="P139" s="559"/>
      <c r="Q139" s="559"/>
      <c r="R139" s="559"/>
      <c r="S139" s="559"/>
      <c r="T139" s="559"/>
      <c r="U139" s="559"/>
      <c r="V139" s="559"/>
      <c r="W139" s="559"/>
      <c r="X139" s="559"/>
      <c r="Y139" s="559"/>
      <c r="Z139" s="559"/>
      <c r="AA139" s="540"/>
      <c r="AB139" s="540"/>
      <c r="AC139" s="540"/>
    </row>
    <row r="140" spans="1:68" ht="14.25" customHeight="1" x14ac:dyDescent="0.25">
      <c r="A140" s="558" t="s">
        <v>98</v>
      </c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59"/>
      <c r="P140" s="559"/>
      <c r="Q140" s="559"/>
      <c r="R140" s="559"/>
      <c r="S140" s="559"/>
      <c r="T140" s="559"/>
      <c r="U140" s="559"/>
      <c r="V140" s="559"/>
      <c r="W140" s="559"/>
      <c r="X140" s="559"/>
      <c r="Y140" s="559"/>
      <c r="Z140" s="559"/>
      <c r="AA140" s="541"/>
      <c r="AB140" s="541"/>
      <c r="AC140" s="541"/>
    </row>
    <row r="141" spans="1:68" ht="27" customHeight="1" x14ac:dyDescent="0.25">
      <c r="A141" s="54" t="s">
        <v>229</v>
      </c>
      <c r="B141" s="54" t="s">
        <v>230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68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232</v>
      </c>
      <c r="B142" s="54" t="s">
        <v>233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77" t="s">
        <v>234</v>
      </c>
      <c r="Q142" s="552"/>
      <c r="R142" s="552"/>
      <c r="S142" s="552"/>
      <c r="T142" s="553"/>
      <c r="U142" s="34"/>
      <c r="V142" s="34"/>
      <c r="W142" s="35" t="s">
        <v>68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72"/>
      <c r="B143" s="559"/>
      <c r="C143" s="559"/>
      <c r="D143" s="559"/>
      <c r="E143" s="559"/>
      <c r="F143" s="559"/>
      <c r="G143" s="559"/>
      <c r="H143" s="559"/>
      <c r="I143" s="559"/>
      <c r="J143" s="559"/>
      <c r="K143" s="559"/>
      <c r="L143" s="559"/>
      <c r="M143" s="559"/>
      <c r="N143" s="559"/>
      <c r="O143" s="573"/>
      <c r="P143" s="562" t="s">
        <v>70</v>
      </c>
      <c r="Q143" s="563"/>
      <c r="R143" s="563"/>
      <c r="S143" s="563"/>
      <c r="T143" s="563"/>
      <c r="U143" s="563"/>
      <c r="V143" s="564"/>
      <c r="W143" s="37" t="s">
        <v>71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x14ac:dyDescent="0.2">
      <c r="A144" s="559"/>
      <c r="B144" s="559"/>
      <c r="C144" s="559"/>
      <c r="D144" s="559"/>
      <c r="E144" s="559"/>
      <c r="F144" s="559"/>
      <c r="G144" s="559"/>
      <c r="H144" s="559"/>
      <c r="I144" s="559"/>
      <c r="J144" s="559"/>
      <c r="K144" s="559"/>
      <c r="L144" s="559"/>
      <c r="M144" s="559"/>
      <c r="N144" s="559"/>
      <c r="O144" s="573"/>
      <c r="P144" s="562" t="s">
        <v>70</v>
      </c>
      <c r="Q144" s="563"/>
      <c r="R144" s="563"/>
      <c r="S144" s="563"/>
      <c r="T144" s="563"/>
      <c r="U144" s="563"/>
      <c r="V144" s="564"/>
      <c r="W144" s="37" t="s">
        <v>68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customHeight="1" x14ac:dyDescent="0.25">
      <c r="A145" s="558" t="s">
        <v>63</v>
      </c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59"/>
      <c r="P145" s="559"/>
      <c r="Q145" s="559"/>
      <c r="R145" s="559"/>
      <c r="S145" s="559"/>
      <c r="T145" s="559"/>
      <c r="U145" s="559"/>
      <c r="V145" s="559"/>
      <c r="W145" s="559"/>
      <c r="X145" s="559"/>
      <c r="Y145" s="559"/>
      <c r="Z145" s="559"/>
      <c r="AA145" s="541"/>
      <c r="AB145" s="541"/>
      <c r="AC145" s="541"/>
    </row>
    <row r="146" spans="1:68" ht="16.5" customHeight="1" x14ac:dyDescent="0.25">
      <c r="A146" s="54" t="s">
        <v>236</v>
      </c>
      <c r="B146" s="54" t="s">
        <v>237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68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239</v>
      </c>
      <c r="B147" s="54" t="s">
        <v>240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68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242</v>
      </c>
      <c r="B148" s="54" t="s">
        <v>243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72"/>
      <c r="B149" s="559"/>
      <c r="C149" s="559"/>
      <c r="D149" s="559"/>
      <c r="E149" s="559"/>
      <c r="F149" s="559"/>
      <c r="G149" s="559"/>
      <c r="H149" s="559"/>
      <c r="I149" s="559"/>
      <c r="J149" s="559"/>
      <c r="K149" s="559"/>
      <c r="L149" s="559"/>
      <c r="M149" s="559"/>
      <c r="N149" s="559"/>
      <c r="O149" s="573"/>
      <c r="P149" s="562" t="s">
        <v>70</v>
      </c>
      <c r="Q149" s="563"/>
      <c r="R149" s="563"/>
      <c r="S149" s="563"/>
      <c r="T149" s="563"/>
      <c r="U149" s="563"/>
      <c r="V149" s="564"/>
      <c r="W149" s="37" t="s">
        <v>71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x14ac:dyDescent="0.2">
      <c r="A150" s="559"/>
      <c r="B150" s="559"/>
      <c r="C150" s="559"/>
      <c r="D150" s="559"/>
      <c r="E150" s="559"/>
      <c r="F150" s="559"/>
      <c r="G150" s="559"/>
      <c r="H150" s="559"/>
      <c r="I150" s="559"/>
      <c r="J150" s="559"/>
      <c r="K150" s="559"/>
      <c r="L150" s="559"/>
      <c r="M150" s="559"/>
      <c r="N150" s="559"/>
      <c r="O150" s="573"/>
      <c r="P150" s="562" t="s">
        <v>70</v>
      </c>
      <c r="Q150" s="563"/>
      <c r="R150" s="563"/>
      <c r="S150" s="563"/>
      <c r="T150" s="563"/>
      <c r="U150" s="563"/>
      <c r="V150" s="564"/>
      <c r="W150" s="37" t="s">
        <v>68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customHeight="1" x14ac:dyDescent="0.2">
      <c r="A151" s="605" t="s">
        <v>245</v>
      </c>
      <c r="B151" s="606"/>
      <c r="C151" s="606"/>
      <c r="D151" s="606"/>
      <c r="E151" s="606"/>
      <c r="F151" s="606"/>
      <c r="G151" s="606"/>
      <c r="H151" s="606"/>
      <c r="I151" s="606"/>
      <c r="J151" s="606"/>
      <c r="K151" s="606"/>
      <c r="L151" s="606"/>
      <c r="M151" s="606"/>
      <c r="N151" s="606"/>
      <c r="O151" s="606"/>
      <c r="P151" s="606"/>
      <c r="Q151" s="606"/>
      <c r="R151" s="606"/>
      <c r="S151" s="606"/>
      <c r="T151" s="606"/>
      <c r="U151" s="606"/>
      <c r="V151" s="606"/>
      <c r="W151" s="606"/>
      <c r="X151" s="606"/>
      <c r="Y151" s="606"/>
      <c r="Z151" s="606"/>
      <c r="AA151" s="48"/>
      <c r="AB151" s="48"/>
      <c r="AC151" s="48"/>
    </row>
    <row r="152" spans="1:68" ht="16.5" customHeight="1" x14ac:dyDescent="0.25">
      <c r="A152" s="567" t="s">
        <v>246</v>
      </c>
      <c r="B152" s="559"/>
      <c r="C152" s="559"/>
      <c r="D152" s="559"/>
      <c r="E152" s="559"/>
      <c r="F152" s="559"/>
      <c r="G152" s="559"/>
      <c r="H152" s="559"/>
      <c r="I152" s="559"/>
      <c r="J152" s="559"/>
      <c r="K152" s="559"/>
      <c r="L152" s="559"/>
      <c r="M152" s="559"/>
      <c r="N152" s="559"/>
      <c r="O152" s="559"/>
      <c r="P152" s="559"/>
      <c r="Q152" s="559"/>
      <c r="R152" s="559"/>
      <c r="S152" s="559"/>
      <c r="T152" s="559"/>
      <c r="U152" s="559"/>
      <c r="V152" s="559"/>
      <c r="W152" s="559"/>
      <c r="X152" s="559"/>
      <c r="Y152" s="559"/>
      <c r="Z152" s="559"/>
      <c r="AA152" s="540"/>
      <c r="AB152" s="540"/>
      <c r="AC152" s="540"/>
    </row>
    <row r="153" spans="1:68" ht="14.25" customHeight="1" x14ac:dyDescent="0.25">
      <c r="A153" s="558" t="s">
        <v>130</v>
      </c>
      <c r="B153" s="559"/>
      <c r="C153" s="559"/>
      <c r="D153" s="559"/>
      <c r="E153" s="559"/>
      <c r="F153" s="559"/>
      <c r="G153" s="559"/>
      <c r="H153" s="559"/>
      <c r="I153" s="559"/>
      <c r="J153" s="559"/>
      <c r="K153" s="559"/>
      <c r="L153" s="559"/>
      <c r="M153" s="559"/>
      <c r="N153" s="559"/>
      <c r="O153" s="559"/>
      <c r="P153" s="559"/>
      <c r="Q153" s="559"/>
      <c r="R153" s="559"/>
      <c r="S153" s="559"/>
      <c r="T153" s="559"/>
      <c r="U153" s="559"/>
      <c r="V153" s="559"/>
      <c r="W153" s="559"/>
      <c r="X153" s="559"/>
      <c r="Y153" s="559"/>
      <c r="Z153" s="559"/>
      <c r="AA153" s="541"/>
      <c r="AB153" s="541"/>
      <c r="AC153" s="541"/>
    </row>
    <row r="154" spans="1:68" ht="27" customHeight="1" x14ac:dyDescent="0.25">
      <c r="A154" s="54" t="s">
        <v>247</v>
      </c>
      <c r="B154" s="54" t="s">
        <v>248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68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72"/>
      <c r="B155" s="559"/>
      <c r="C155" s="559"/>
      <c r="D155" s="559"/>
      <c r="E155" s="559"/>
      <c r="F155" s="559"/>
      <c r="G155" s="559"/>
      <c r="H155" s="559"/>
      <c r="I155" s="559"/>
      <c r="J155" s="559"/>
      <c r="K155" s="559"/>
      <c r="L155" s="559"/>
      <c r="M155" s="559"/>
      <c r="N155" s="559"/>
      <c r="O155" s="573"/>
      <c r="P155" s="562" t="s">
        <v>70</v>
      </c>
      <c r="Q155" s="563"/>
      <c r="R155" s="563"/>
      <c r="S155" s="563"/>
      <c r="T155" s="563"/>
      <c r="U155" s="563"/>
      <c r="V155" s="564"/>
      <c r="W155" s="37" t="s">
        <v>71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x14ac:dyDescent="0.2">
      <c r="A156" s="559"/>
      <c r="B156" s="559"/>
      <c r="C156" s="559"/>
      <c r="D156" s="559"/>
      <c r="E156" s="559"/>
      <c r="F156" s="559"/>
      <c r="G156" s="559"/>
      <c r="H156" s="559"/>
      <c r="I156" s="559"/>
      <c r="J156" s="559"/>
      <c r="K156" s="559"/>
      <c r="L156" s="559"/>
      <c r="M156" s="559"/>
      <c r="N156" s="559"/>
      <c r="O156" s="573"/>
      <c r="P156" s="562" t="s">
        <v>70</v>
      </c>
      <c r="Q156" s="563"/>
      <c r="R156" s="563"/>
      <c r="S156" s="563"/>
      <c r="T156" s="563"/>
      <c r="U156" s="563"/>
      <c r="V156" s="564"/>
      <c r="W156" s="37" t="s">
        <v>68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customHeight="1" x14ac:dyDescent="0.25">
      <c r="A157" s="558" t="s">
        <v>63</v>
      </c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59"/>
      <c r="P157" s="559"/>
      <c r="Q157" s="559"/>
      <c r="R157" s="559"/>
      <c r="S157" s="559"/>
      <c r="T157" s="559"/>
      <c r="U157" s="559"/>
      <c r="V157" s="559"/>
      <c r="W157" s="559"/>
      <c r="X157" s="559"/>
      <c r="Y157" s="559"/>
      <c r="Z157" s="559"/>
      <c r="AA157" s="541"/>
      <c r="AB157" s="541"/>
      <c r="AC157" s="541"/>
    </row>
    <row r="158" spans="1:68" ht="27" customHeight="1" x14ac:dyDescent="0.25">
      <c r="A158" s="54" t="s">
        <v>250</v>
      </c>
      <c r="B158" s="54" t="s">
        <v>251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68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253</v>
      </c>
      <c r="B159" s="54" t="s">
        <v>254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68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256</v>
      </c>
      <c r="B160" s="54" t="s">
        <v>257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6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68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259</v>
      </c>
      <c r="B161" s="54" t="s">
        <v>260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68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261</v>
      </c>
      <c r="B162" s="54" t="s">
        <v>262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68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266</v>
      </c>
      <c r="B164" s="54" t="s">
        <v>267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68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68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72"/>
      <c r="B167" s="559"/>
      <c r="C167" s="559"/>
      <c r="D167" s="559"/>
      <c r="E167" s="559"/>
      <c r="F167" s="559"/>
      <c r="G167" s="559"/>
      <c r="H167" s="559"/>
      <c r="I167" s="559"/>
      <c r="J167" s="559"/>
      <c r="K167" s="559"/>
      <c r="L167" s="559"/>
      <c r="M167" s="559"/>
      <c r="N167" s="559"/>
      <c r="O167" s="573"/>
      <c r="P167" s="562" t="s">
        <v>70</v>
      </c>
      <c r="Q167" s="563"/>
      <c r="R167" s="563"/>
      <c r="S167" s="563"/>
      <c r="T167" s="563"/>
      <c r="U167" s="563"/>
      <c r="V167" s="564"/>
      <c r="W167" s="37" t="s">
        <v>71</v>
      </c>
      <c r="X167" s="547">
        <f>IFERROR(X158/H158,"0")+IFERROR(X159/H159,"0")+IFERROR(X160/H160,"0")+IFERROR(X161/H161,"0")+IFERROR(X162/H162,"0")+IFERROR(X163/H163,"0")+IFERROR(X164/H164,"0")+IFERROR(X165/H165,"0")+IFERROR(X166/H166,"0")</f>
        <v>0</v>
      </c>
      <c r="Y167" s="547">
        <f>IFERROR(Y158/H158,"0")+IFERROR(Y159/H159,"0")+IFERROR(Y160/H160,"0")+IFERROR(Y161/H161,"0")+IFERROR(Y162/H162,"0")+IFERROR(Y163/H163,"0")+IFERROR(Y164/H164,"0")+IFERROR(Y165/H165,"0")+IFERROR(Y166/H166,"0")</f>
        <v>0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8"/>
      <c r="AB167" s="548"/>
      <c r="AC167" s="548"/>
    </row>
    <row r="168" spans="1:68" x14ac:dyDescent="0.2">
      <c r="A168" s="559"/>
      <c r="B168" s="559"/>
      <c r="C168" s="559"/>
      <c r="D168" s="559"/>
      <c r="E168" s="559"/>
      <c r="F168" s="559"/>
      <c r="G168" s="559"/>
      <c r="H168" s="559"/>
      <c r="I168" s="559"/>
      <c r="J168" s="559"/>
      <c r="K168" s="559"/>
      <c r="L168" s="559"/>
      <c r="M168" s="559"/>
      <c r="N168" s="559"/>
      <c r="O168" s="573"/>
      <c r="P168" s="562" t="s">
        <v>70</v>
      </c>
      <c r="Q168" s="563"/>
      <c r="R168" s="563"/>
      <c r="S168" s="563"/>
      <c r="T168" s="563"/>
      <c r="U168" s="563"/>
      <c r="V168" s="564"/>
      <c r="W168" s="37" t="s">
        <v>68</v>
      </c>
      <c r="X168" s="547">
        <f>IFERROR(SUM(X158:X166),"0")</f>
        <v>0</v>
      </c>
      <c r="Y168" s="547">
        <f>IFERROR(SUM(Y158:Y166),"0")</f>
        <v>0</v>
      </c>
      <c r="Z168" s="37"/>
      <c r="AA168" s="548"/>
      <c r="AB168" s="548"/>
      <c r="AC168" s="548"/>
    </row>
    <row r="169" spans="1:68" ht="14.25" customHeight="1" x14ac:dyDescent="0.25">
      <c r="A169" s="558" t="s">
        <v>90</v>
      </c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59"/>
      <c r="P169" s="559"/>
      <c r="Q169" s="559"/>
      <c r="R169" s="559"/>
      <c r="S169" s="559"/>
      <c r="T169" s="559"/>
      <c r="U169" s="559"/>
      <c r="V169" s="559"/>
      <c r="W169" s="559"/>
      <c r="X169" s="559"/>
      <c r="Y169" s="559"/>
      <c r="Z169" s="559"/>
      <c r="AA169" s="541"/>
      <c r="AB169" s="541"/>
      <c r="AC169" s="541"/>
    </row>
    <row r="170" spans="1:68" ht="27" customHeight="1" x14ac:dyDescent="0.25">
      <c r="A170" s="54" t="s">
        <v>273</v>
      </c>
      <c r="B170" s="54" t="s">
        <v>274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60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68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278</v>
      </c>
      <c r="B171" s="54" t="s">
        <v>279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2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68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281</v>
      </c>
      <c r="B172" s="54" t="s">
        <v>282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7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72"/>
      <c r="B173" s="559"/>
      <c r="C173" s="559"/>
      <c r="D173" s="559"/>
      <c r="E173" s="559"/>
      <c r="F173" s="559"/>
      <c r="G173" s="559"/>
      <c r="H173" s="559"/>
      <c r="I173" s="559"/>
      <c r="J173" s="559"/>
      <c r="K173" s="559"/>
      <c r="L173" s="559"/>
      <c r="M173" s="559"/>
      <c r="N173" s="559"/>
      <c r="O173" s="573"/>
      <c r="P173" s="562" t="s">
        <v>70</v>
      </c>
      <c r="Q173" s="563"/>
      <c r="R173" s="563"/>
      <c r="S173" s="563"/>
      <c r="T173" s="563"/>
      <c r="U173" s="563"/>
      <c r="V173" s="564"/>
      <c r="W173" s="37" t="s">
        <v>71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x14ac:dyDescent="0.2">
      <c r="A174" s="559"/>
      <c r="B174" s="559"/>
      <c r="C174" s="559"/>
      <c r="D174" s="559"/>
      <c r="E174" s="559"/>
      <c r="F174" s="559"/>
      <c r="G174" s="559"/>
      <c r="H174" s="559"/>
      <c r="I174" s="559"/>
      <c r="J174" s="559"/>
      <c r="K174" s="559"/>
      <c r="L174" s="559"/>
      <c r="M174" s="559"/>
      <c r="N174" s="559"/>
      <c r="O174" s="573"/>
      <c r="P174" s="562" t="s">
        <v>70</v>
      </c>
      <c r="Q174" s="563"/>
      <c r="R174" s="563"/>
      <c r="S174" s="563"/>
      <c r="T174" s="563"/>
      <c r="U174" s="563"/>
      <c r="V174" s="564"/>
      <c r="W174" s="37" t="s">
        <v>68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customHeight="1" x14ac:dyDescent="0.25">
      <c r="A175" s="558" t="s">
        <v>283</v>
      </c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59"/>
      <c r="P175" s="559"/>
      <c r="Q175" s="559"/>
      <c r="R175" s="559"/>
      <c r="S175" s="559"/>
      <c r="T175" s="559"/>
      <c r="U175" s="559"/>
      <c r="V175" s="559"/>
      <c r="W175" s="559"/>
      <c r="X175" s="559"/>
      <c r="Y175" s="559"/>
      <c r="Z175" s="559"/>
      <c r="AA175" s="541"/>
      <c r="AB175" s="541"/>
      <c r="AC175" s="541"/>
    </row>
    <row r="176" spans="1:68" ht="27" customHeight="1" x14ac:dyDescent="0.25">
      <c r="A176" s="54" t="s">
        <v>284</v>
      </c>
      <c r="B176" s="54" t="s">
        <v>285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8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68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2"/>
      <c r="B177" s="559"/>
      <c r="C177" s="559"/>
      <c r="D177" s="559"/>
      <c r="E177" s="559"/>
      <c r="F177" s="559"/>
      <c r="G177" s="559"/>
      <c r="H177" s="559"/>
      <c r="I177" s="559"/>
      <c r="J177" s="559"/>
      <c r="K177" s="559"/>
      <c r="L177" s="559"/>
      <c r="M177" s="559"/>
      <c r="N177" s="559"/>
      <c r="O177" s="573"/>
      <c r="P177" s="562" t="s">
        <v>70</v>
      </c>
      <c r="Q177" s="563"/>
      <c r="R177" s="563"/>
      <c r="S177" s="563"/>
      <c r="T177" s="563"/>
      <c r="U177" s="563"/>
      <c r="V177" s="564"/>
      <c r="W177" s="37" t="s">
        <v>71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x14ac:dyDescent="0.2">
      <c r="A178" s="559"/>
      <c r="B178" s="559"/>
      <c r="C178" s="559"/>
      <c r="D178" s="559"/>
      <c r="E178" s="559"/>
      <c r="F178" s="559"/>
      <c r="G178" s="559"/>
      <c r="H178" s="559"/>
      <c r="I178" s="559"/>
      <c r="J178" s="559"/>
      <c r="K178" s="559"/>
      <c r="L178" s="559"/>
      <c r="M178" s="559"/>
      <c r="N178" s="559"/>
      <c r="O178" s="573"/>
      <c r="P178" s="562" t="s">
        <v>70</v>
      </c>
      <c r="Q178" s="563"/>
      <c r="R178" s="563"/>
      <c r="S178" s="563"/>
      <c r="T178" s="563"/>
      <c r="U178" s="563"/>
      <c r="V178" s="564"/>
      <c r="W178" s="37" t="s">
        <v>68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customHeight="1" x14ac:dyDescent="0.25">
      <c r="A179" s="567" t="s">
        <v>286</v>
      </c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59"/>
      <c r="P179" s="559"/>
      <c r="Q179" s="559"/>
      <c r="R179" s="559"/>
      <c r="S179" s="559"/>
      <c r="T179" s="559"/>
      <c r="U179" s="559"/>
      <c r="V179" s="559"/>
      <c r="W179" s="559"/>
      <c r="X179" s="559"/>
      <c r="Y179" s="559"/>
      <c r="Z179" s="559"/>
      <c r="AA179" s="540"/>
      <c r="AB179" s="540"/>
      <c r="AC179" s="540"/>
    </row>
    <row r="180" spans="1:68" ht="14.25" customHeight="1" x14ac:dyDescent="0.25">
      <c r="A180" s="558" t="s">
        <v>98</v>
      </c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59"/>
      <c r="P180" s="559"/>
      <c r="Q180" s="559"/>
      <c r="R180" s="559"/>
      <c r="S180" s="559"/>
      <c r="T180" s="559"/>
      <c r="U180" s="559"/>
      <c r="V180" s="559"/>
      <c r="W180" s="559"/>
      <c r="X180" s="559"/>
      <c r="Y180" s="559"/>
      <c r="Z180" s="559"/>
      <c r="AA180" s="541"/>
      <c r="AB180" s="541"/>
      <c r="AC180" s="541"/>
    </row>
    <row r="181" spans="1:68" ht="16.5" customHeight="1" x14ac:dyDescent="0.25">
      <c r="A181" s="54" t="s">
        <v>287</v>
      </c>
      <c r="B181" s="54" t="s">
        <v>288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68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290</v>
      </c>
      <c r="B182" s="54" t="s">
        <v>291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8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68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72"/>
      <c r="B183" s="559"/>
      <c r="C183" s="559"/>
      <c r="D183" s="559"/>
      <c r="E183" s="559"/>
      <c r="F183" s="559"/>
      <c r="G183" s="559"/>
      <c r="H183" s="559"/>
      <c r="I183" s="559"/>
      <c r="J183" s="559"/>
      <c r="K183" s="559"/>
      <c r="L183" s="559"/>
      <c r="M183" s="559"/>
      <c r="N183" s="559"/>
      <c r="O183" s="573"/>
      <c r="P183" s="562" t="s">
        <v>70</v>
      </c>
      <c r="Q183" s="563"/>
      <c r="R183" s="563"/>
      <c r="S183" s="563"/>
      <c r="T183" s="563"/>
      <c r="U183" s="563"/>
      <c r="V183" s="564"/>
      <c r="W183" s="37" t="s">
        <v>71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x14ac:dyDescent="0.2">
      <c r="A184" s="559"/>
      <c r="B184" s="559"/>
      <c r="C184" s="559"/>
      <c r="D184" s="559"/>
      <c r="E184" s="559"/>
      <c r="F184" s="559"/>
      <c r="G184" s="559"/>
      <c r="H184" s="559"/>
      <c r="I184" s="559"/>
      <c r="J184" s="559"/>
      <c r="K184" s="559"/>
      <c r="L184" s="559"/>
      <c r="M184" s="559"/>
      <c r="N184" s="559"/>
      <c r="O184" s="573"/>
      <c r="P184" s="562" t="s">
        <v>70</v>
      </c>
      <c r="Q184" s="563"/>
      <c r="R184" s="563"/>
      <c r="S184" s="563"/>
      <c r="T184" s="563"/>
      <c r="U184" s="563"/>
      <c r="V184" s="564"/>
      <c r="W184" s="37" t="s">
        <v>68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customHeight="1" x14ac:dyDescent="0.25">
      <c r="A185" s="558" t="s">
        <v>130</v>
      </c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59"/>
      <c r="P185" s="559"/>
      <c r="Q185" s="559"/>
      <c r="R185" s="559"/>
      <c r="S185" s="559"/>
      <c r="T185" s="559"/>
      <c r="U185" s="559"/>
      <c r="V185" s="559"/>
      <c r="W185" s="559"/>
      <c r="X185" s="559"/>
      <c r="Y185" s="559"/>
      <c r="Z185" s="559"/>
      <c r="AA185" s="541"/>
      <c r="AB185" s="541"/>
      <c r="AC185" s="541"/>
    </row>
    <row r="186" spans="1:68" ht="16.5" customHeight="1" x14ac:dyDescent="0.25">
      <c r="A186" s="54" t="s">
        <v>292</v>
      </c>
      <c r="B186" s="54" t="s">
        <v>293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68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295</v>
      </c>
      <c r="B187" s="54" t="s">
        <v>296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68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72"/>
      <c r="B188" s="559"/>
      <c r="C188" s="559"/>
      <c r="D188" s="559"/>
      <c r="E188" s="559"/>
      <c r="F188" s="559"/>
      <c r="G188" s="559"/>
      <c r="H188" s="559"/>
      <c r="I188" s="559"/>
      <c r="J188" s="559"/>
      <c r="K188" s="559"/>
      <c r="L188" s="559"/>
      <c r="M188" s="559"/>
      <c r="N188" s="559"/>
      <c r="O188" s="573"/>
      <c r="P188" s="562" t="s">
        <v>70</v>
      </c>
      <c r="Q188" s="563"/>
      <c r="R188" s="563"/>
      <c r="S188" s="563"/>
      <c r="T188" s="563"/>
      <c r="U188" s="563"/>
      <c r="V188" s="564"/>
      <c r="W188" s="37" t="s">
        <v>71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x14ac:dyDescent="0.2">
      <c r="A189" s="559"/>
      <c r="B189" s="559"/>
      <c r="C189" s="559"/>
      <c r="D189" s="559"/>
      <c r="E189" s="559"/>
      <c r="F189" s="559"/>
      <c r="G189" s="559"/>
      <c r="H189" s="559"/>
      <c r="I189" s="559"/>
      <c r="J189" s="559"/>
      <c r="K189" s="559"/>
      <c r="L189" s="559"/>
      <c r="M189" s="559"/>
      <c r="N189" s="559"/>
      <c r="O189" s="573"/>
      <c r="P189" s="562" t="s">
        <v>70</v>
      </c>
      <c r="Q189" s="563"/>
      <c r="R189" s="563"/>
      <c r="S189" s="563"/>
      <c r="T189" s="563"/>
      <c r="U189" s="563"/>
      <c r="V189" s="564"/>
      <c r="W189" s="37" t="s">
        <v>68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customHeight="1" x14ac:dyDescent="0.25">
      <c r="A190" s="558" t="s">
        <v>63</v>
      </c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59"/>
      <c r="P190" s="559"/>
      <c r="Q190" s="559"/>
      <c r="R190" s="559"/>
      <c r="S190" s="559"/>
      <c r="T190" s="559"/>
      <c r="U190" s="559"/>
      <c r="V190" s="559"/>
      <c r="W190" s="559"/>
      <c r="X190" s="559"/>
      <c r="Y190" s="559"/>
      <c r="Z190" s="559"/>
      <c r="AA190" s="541"/>
      <c r="AB190" s="541"/>
      <c r="AC190" s="541"/>
    </row>
    <row r="191" spans="1:68" ht="27" customHeight="1" x14ac:dyDescent="0.25">
      <c r="A191" s="54" t="s">
        <v>297</v>
      </c>
      <c r="B191" s="54" t="s">
        <v>298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68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300</v>
      </c>
      <c r="B192" s="54" t="s">
        <v>301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68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303</v>
      </c>
      <c r="B193" s="54" t="s">
        <v>304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306</v>
      </c>
      <c r="B194" s="54" t="s">
        <v>307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5">
        <v>0</v>
      </c>
      <c r="Y194" s="546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311</v>
      </c>
      <c r="B196" s="54" t="s">
        <v>312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2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72"/>
      <c r="B199" s="559"/>
      <c r="C199" s="559"/>
      <c r="D199" s="559"/>
      <c r="E199" s="559"/>
      <c r="F199" s="559"/>
      <c r="G199" s="559"/>
      <c r="H199" s="559"/>
      <c r="I199" s="559"/>
      <c r="J199" s="559"/>
      <c r="K199" s="559"/>
      <c r="L199" s="559"/>
      <c r="M199" s="559"/>
      <c r="N199" s="559"/>
      <c r="O199" s="573"/>
      <c r="P199" s="562" t="s">
        <v>70</v>
      </c>
      <c r="Q199" s="563"/>
      <c r="R199" s="563"/>
      <c r="S199" s="563"/>
      <c r="T199" s="563"/>
      <c r="U199" s="563"/>
      <c r="V199" s="564"/>
      <c r="W199" s="37" t="s">
        <v>71</v>
      </c>
      <c r="X199" s="547">
        <f>IFERROR(X191/H191,"0")+IFERROR(X192/H192,"0")+IFERROR(X193/H193,"0")+IFERROR(X194/H194,"0")+IFERROR(X195/H195,"0")+IFERROR(X196/H196,"0")+IFERROR(X197/H197,"0")+IFERROR(X198/H198,"0")</f>
        <v>0</v>
      </c>
      <c r="Y199" s="547">
        <f>IFERROR(Y191/H191,"0")+IFERROR(Y192/H192,"0")+IFERROR(Y193/H193,"0")+IFERROR(Y194/H194,"0")+IFERROR(Y195/H195,"0")+IFERROR(Y196/H196,"0")+IFERROR(Y197/H197,"0")+IFERROR(Y198/H198,"0")</f>
        <v>0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8"/>
      <c r="AB199" s="548"/>
      <c r="AC199" s="548"/>
    </row>
    <row r="200" spans="1:68" x14ac:dyDescent="0.2">
      <c r="A200" s="559"/>
      <c r="B200" s="559"/>
      <c r="C200" s="559"/>
      <c r="D200" s="559"/>
      <c r="E200" s="559"/>
      <c r="F200" s="559"/>
      <c r="G200" s="559"/>
      <c r="H200" s="559"/>
      <c r="I200" s="559"/>
      <c r="J200" s="559"/>
      <c r="K200" s="559"/>
      <c r="L200" s="559"/>
      <c r="M200" s="559"/>
      <c r="N200" s="559"/>
      <c r="O200" s="573"/>
      <c r="P200" s="562" t="s">
        <v>70</v>
      </c>
      <c r="Q200" s="563"/>
      <c r="R200" s="563"/>
      <c r="S200" s="563"/>
      <c r="T200" s="563"/>
      <c r="U200" s="563"/>
      <c r="V200" s="564"/>
      <c r="W200" s="37" t="s">
        <v>68</v>
      </c>
      <c r="X200" s="547">
        <f>IFERROR(SUM(X191:X198),"0")</f>
        <v>0</v>
      </c>
      <c r="Y200" s="547">
        <f>IFERROR(SUM(Y191:Y198),"0")</f>
        <v>0</v>
      </c>
      <c r="Z200" s="37"/>
      <c r="AA200" s="548"/>
      <c r="AB200" s="548"/>
      <c r="AC200" s="548"/>
    </row>
    <row r="201" spans="1:68" ht="14.25" customHeight="1" x14ac:dyDescent="0.25">
      <c r="A201" s="558" t="s">
        <v>72</v>
      </c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59"/>
      <c r="P201" s="559"/>
      <c r="Q201" s="559"/>
      <c r="R201" s="559"/>
      <c r="S201" s="559"/>
      <c r="T201" s="559"/>
      <c r="U201" s="559"/>
      <c r="V201" s="559"/>
      <c r="W201" s="559"/>
      <c r="X201" s="559"/>
      <c r="Y201" s="559"/>
      <c r="Z201" s="559"/>
      <c r="AA201" s="541"/>
      <c r="AB201" s="541"/>
      <c r="AC201" s="541"/>
    </row>
    <row r="202" spans="1:68" ht="27" customHeight="1" x14ac:dyDescent="0.25">
      <c r="A202" s="54" t="s">
        <v>317</v>
      </c>
      <c r="B202" s="54" t="s">
        <v>318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68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320</v>
      </c>
      <c r="B203" s="54" t="s">
        <v>321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68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323</v>
      </c>
      <c r="B204" s="54" t="s">
        <v>324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326</v>
      </c>
      <c r="B205" s="54" t="s">
        <v>327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68</v>
      </c>
      <c r="X205" s="545">
        <v>0</v>
      </c>
      <c r="Y205" s="546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customHeight="1" x14ac:dyDescent="0.25">
      <c r="A206" s="54" t="s">
        <v>328</v>
      </c>
      <c r="B206" s="54" t="s">
        <v>329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5">
        <v>80</v>
      </c>
      <c r="Y207" s="546">
        <f t="shared" si="15"/>
        <v>81.599999999999994</v>
      </c>
      <c r="Z207" s="36">
        <f t="shared" si="20"/>
        <v>0.22134000000000001</v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88.40000000000002</v>
      </c>
      <c r="BN207" s="64">
        <f t="shared" si="17"/>
        <v>90.168000000000006</v>
      </c>
      <c r="BO207" s="64">
        <f t="shared" si="18"/>
        <v>0.18315018315018317</v>
      </c>
      <c r="BP207" s="64">
        <f t="shared" si="19"/>
        <v>0.18681318681318682</v>
      </c>
    </row>
    <row r="208" spans="1:68" ht="27" customHeight="1" x14ac:dyDescent="0.25">
      <c r="A208" s="54" t="s">
        <v>333</v>
      </c>
      <c r="B208" s="54" t="s">
        <v>334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5">
        <v>160</v>
      </c>
      <c r="Y208" s="546">
        <f t="shared" si="15"/>
        <v>160.79999999999998</v>
      </c>
      <c r="Z208" s="36">
        <f t="shared" si="20"/>
        <v>0.43617</v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176.80000000000004</v>
      </c>
      <c r="BN208" s="64">
        <f t="shared" si="17"/>
        <v>177.684</v>
      </c>
      <c r="BO208" s="64">
        <f t="shared" si="18"/>
        <v>0.36630036630036633</v>
      </c>
      <c r="BP208" s="64">
        <f t="shared" si="19"/>
        <v>0.36813186813186816</v>
      </c>
    </row>
    <row r="209" spans="1:68" ht="27" customHeight="1" x14ac:dyDescent="0.25">
      <c r="A209" s="54" t="s">
        <v>335</v>
      </c>
      <c r="B209" s="54" t="s">
        <v>336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68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72"/>
      <c r="B211" s="559"/>
      <c r="C211" s="559"/>
      <c r="D211" s="559"/>
      <c r="E211" s="559"/>
      <c r="F211" s="559"/>
      <c r="G211" s="559"/>
      <c r="H211" s="559"/>
      <c r="I211" s="559"/>
      <c r="J211" s="559"/>
      <c r="K211" s="559"/>
      <c r="L211" s="559"/>
      <c r="M211" s="559"/>
      <c r="N211" s="559"/>
      <c r="O211" s="573"/>
      <c r="P211" s="562" t="s">
        <v>70</v>
      </c>
      <c r="Q211" s="563"/>
      <c r="R211" s="563"/>
      <c r="S211" s="563"/>
      <c r="T211" s="563"/>
      <c r="U211" s="563"/>
      <c r="V211" s="564"/>
      <c r="W211" s="37" t="s">
        <v>71</v>
      </c>
      <c r="X211" s="547">
        <f>IFERROR(X202/H202,"0")+IFERROR(X203/H203,"0")+IFERROR(X204/H204,"0")+IFERROR(X205/H205,"0")+IFERROR(X206/H206,"0")+IFERROR(X207/H207,"0")+IFERROR(X208/H208,"0")+IFERROR(X209/H209,"0")+IFERROR(X210/H210,"0")</f>
        <v>100</v>
      </c>
      <c r="Y211" s="547">
        <f>IFERROR(Y202/H202,"0")+IFERROR(Y203/H203,"0")+IFERROR(Y204/H204,"0")+IFERROR(Y205/H205,"0")+IFERROR(Y206/H206,"0")+IFERROR(Y207/H207,"0")+IFERROR(Y208/H208,"0")+IFERROR(Y209/H209,"0")+IFERROR(Y210/H210,"0")</f>
        <v>101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0.65751000000000004</v>
      </c>
      <c r="AA211" s="548"/>
      <c r="AB211" s="548"/>
      <c r="AC211" s="548"/>
    </row>
    <row r="212" spans="1:68" x14ac:dyDescent="0.2">
      <c r="A212" s="559"/>
      <c r="B212" s="559"/>
      <c r="C212" s="559"/>
      <c r="D212" s="559"/>
      <c r="E212" s="559"/>
      <c r="F212" s="559"/>
      <c r="G212" s="559"/>
      <c r="H212" s="559"/>
      <c r="I212" s="559"/>
      <c r="J212" s="559"/>
      <c r="K212" s="559"/>
      <c r="L212" s="559"/>
      <c r="M212" s="559"/>
      <c r="N212" s="559"/>
      <c r="O212" s="573"/>
      <c r="P212" s="562" t="s">
        <v>70</v>
      </c>
      <c r="Q212" s="563"/>
      <c r="R212" s="563"/>
      <c r="S212" s="563"/>
      <c r="T212" s="563"/>
      <c r="U212" s="563"/>
      <c r="V212" s="564"/>
      <c r="W212" s="37" t="s">
        <v>68</v>
      </c>
      <c r="X212" s="547">
        <f>IFERROR(SUM(X202:X210),"0")</f>
        <v>240</v>
      </c>
      <c r="Y212" s="547">
        <f>IFERROR(SUM(Y202:Y210),"0")</f>
        <v>242.39999999999998</v>
      </c>
      <c r="Z212" s="37"/>
      <c r="AA212" s="548"/>
      <c r="AB212" s="548"/>
      <c r="AC212" s="548"/>
    </row>
    <row r="213" spans="1:68" ht="14.25" customHeight="1" x14ac:dyDescent="0.25">
      <c r="A213" s="558" t="s">
        <v>160</v>
      </c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59"/>
      <c r="P213" s="559"/>
      <c r="Q213" s="559"/>
      <c r="R213" s="559"/>
      <c r="S213" s="559"/>
      <c r="T213" s="559"/>
      <c r="U213" s="559"/>
      <c r="V213" s="559"/>
      <c r="W213" s="559"/>
      <c r="X213" s="559"/>
      <c r="Y213" s="559"/>
      <c r="Z213" s="559"/>
      <c r="AA213" s="541"/>
      <c r="AB213" s="541"/>
      <c r="AC213" s="541"/>
    </row>
    <row r="214" spans="1:68" ht="27" customHeight="1" x14ac:dyDescent="0.25">
      <c r="A214" s="54" t="s">
        <v>340</v>
      </c>
      <c r="B214" s="54" t="s">
        <v>341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81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68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343</v>
      </c>
      <c r="B215" s="54" t="s">
        <v>344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68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72"/>
      <c r="B216" s="559"/>
      <c r="C216" s="559"/>
      <c r="D216" s="559"/>
      <c r="E216" s="559"/>
      <c r="F216" s="559"/>
      <c r="G216" s="559"/>
      <c r="H216" s="559"/>
      <c r="I216" s="559"/>
      <c r="J216" s="559"/>
      <c r="K216" s="559"/>
      <c r="L216" s="559"/>
      <c r="M216" s="559"/>
      <c r="N216" s="559"/>
      <c r="O216" s="573"/>
      <c r="P216" s="562" t="s">
        <v>70</v>
      </c>
      <c r="Q216" s="563"/>
      <c r="R216" s="563"/>
      <c r="S216" s="563"/>
      <c r="T216" s="563"/>
      <c r="U216" s="563"/>
      <c r="V216" s="564"/>
      <c r="W216" s="37" t="s">
        <v>71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x14ac:dyDescent="0.2">
      <c r="A217" s="559"/>
      <c r="B217" s="559"/>
      <c r="C217" s="559"/>
      <c r="D217" s="559"/>
      <c r="E217" s="559"/>
      <c r="F217" s="559"/>
      <c r="G217" s="559"/>
      <c r="H217" s="559"/>
      <c r="I217" s="559"/>
      <c r="J217" s="559"/>
      <c r="K217" s="559"/>
      <c r="L217" s="559"/>
      <c r="M217" s="559"/>
      <c r="N217" s="559"/>
      <c r="O217" s="573"/>
      <c r="P217" s="562" t="s">
        <v>70</v>
      </c>
      <c r="Q217" s="563"/>
      <c r="R217" s="563"/>
      <c r="S217" s="563"/>
      <c r="T217" s="563"/>
      <c r="U217" s="563"/>
      <c r="V217" s="564"/>
      <c r="W217" s="37" t="s">
        <v>68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customHeight="1" x14ac:dyDescent="0.25">
      <c r="A218" s="567" t="s">
        <v>346</v>
      </c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59"/>
      <c r="P218" s="559"/>
      <c r="Q218" s="559"/>
      <c r="R218" s="559"/>
      <c r="S218" s="559"/>
      <c r="T218" s="559"/>
      <c r="U218" s="559"/>
      <c r="V218" s="559"/>
      <c r="W218" s="559"/>
      <c r="X218" s="559"/>
      <c r="Y218" s="559"/>
      <c r="Z218" s="559"/>
      <c r="AA218" s="540"/>
      <c r="AB218" s="540"/>
      <c r="AC218" s="540"/>
    </row>
    <row r="219" spans="1:68" ht="14.25" customHeight="1" x14ac:dyDescent="0.25">
      <c r="A219" s="558" t="s">
        <v>98</v>
      </c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59"/>
      <c r="P219" s="559"/>
      <c r="Q219" s="559"/>
      <c r="R219" s="559"/>
      <c r="S219" s="559"/>
      <c r="T219" s="559"/>
      <c r="U219" s="559"/>
      <c r="V219" s="559"/>
      <c r="W219" s="559"/>
      <c r="X219" s="559"/>
      <c r="Y219" s="559"/>
      <c r="Z219" s="559"/>
      <c r="AA219" s="541"/>
      <c r="AB219" s="541"/>
      <c r="AC219" s="541"/>
    </row>
    <row r="220" spans="1:68" ht="27" customHeight="1" x14ac:dyDescent="0.25">
      <c r="A220" s="54" t="s">
        <v>347</v>
      </c>
      <c r="B220" s="54" t="s">
        <v>348</v>
      </c>
      <c r="C220" s="31">
        <v>4301011826</v>
      </c>
      <c r="D220" s="549">
        <v>4680115884137</v>
      </c>
      <c r="E220" s="550"/>
      <c r="F220" s="544">
        <v>1.45</v>
      </c>
      <c r="G220" s="32">
        <v>8</v>
      </c>
      <c r="H220" s="544">
        <v>11.6</v>
      </c>
      <c r="I220" s="544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7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2"/>
      <c r="R220" s="552"/>
      <c r="S220" s="552"/>
      <c r="T220" s="553"/>
      <c r="U220" s="34"/>
      <c r="V220" s="34"/>
      <c r="W220" s="35" t="s">
        <v>68</v>
      </c>
      <c r="X220" s="545">
        <v>0</v>
      </c>
      <c r="Y220" s="546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customHeight="1" x14ac:dyDescent="0.25">
      <c r="A221" s="54" t="s">
        <v>350</v>
      </c>
      <c r="B221" s="54" t="s">
        <v>351</v>
      </c>
      <c r="C221" s="31">
        <v>4301011724</v>
      </c>
      <c r="D221" s="549">
        <v>4680115884236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68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4301011721</v>
      </c>
      <c r="D222" s="549">
        <v>4680115884175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356</v>
      </c>
      <c r="B223" s="54" t="s">
        <v>357</v>
      </c>
      <c r="C223" s="31">
        <v>4301011824</v>
      </c>
      <c r="D223" s="549">
        <v>4680115884144</v>
      </c>
      <c r="E223" s="550"/>
      <c r="F223" s="544">
        <v>0.4</v>
      </c>
      <c r="G223" s="32">
        <v>10</v>
      </c>
      <c r="H223" s="544">
        <v>4</v>
      </c>
      <c r="I223" s="544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6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5">
        <v>0</v>
      </c>
      <c r="Y223" s="546">
        <f t="shared" si="21"/>
        <v>0</v>
      </c>
      <c r="Z223" s="36" t="str">
        <f t="shared" ref="Z223:Z228" si="26">IFERROR(IF(Y223=0,"",ROUNDUP(Y223/H223,0)*0.00902),"")</f>
        <v/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356</v>
      </c>
      <c r="B224" s="54" t="s">
        <v>358</v>
      </c>
      <c r="C224" s="31">
        <v>4301012196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5" t="s">
        <v>359</v>
      </c>
      <c r="Q224" s="552"/>
      <c r="R224" s="552"/>
      <c r="S224" s="552"/>
      <c r="T224" s="553"/>
      <c r="U224" s="34"/>
      <c r="V224" s="34"/>
      <c r="W224" s="35" t="s">
        <v>68</v>
      </c>
      <c r="X224" s="545">
        <v>0</v>
      </c>
      <c r="Y224" s="546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4301012149</v>
      </c>
      <c r="D225" s="549">
        <v>4680115886551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8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4301011726</v>
      </c>
      <c r="D226" s="549">
        <v>4680115884182</v>
      </c>
      <c r="E226" s="550"/>
      <c r="F226" s="544">
        <v>0.37</v>
      </c>
      <c r="G226" s="32">
        <v>10</v>
      </c>
      <c r="H226" s="544">
        <v>3.7</v>
      </c>
      <c r="I226" s="544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2"/>
      <c r="R226" s="552"/>
      <c r="S226" s="552"/>
      <c r="T226" s="553"/>
      <c r="U226" s="34"/>
      <c r="V226" s="34"/>
      <c r="W226" s="35" t="s">
        <v>68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4301011722</v>
      </c>
      <c r="D227" s="549">
        <v>4680115884205</v>
      </c>
      <c r="E227" s="550"/>
      <c r="F227" s="544">
        <v>0.4</v>
      </c>
      <c r="G227" s="32">
        <v>10</v>
      </c>
      <c r="H227" s="544">
        <v>4</v>
      </c>
      <c r="I227" s="544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365</v>
      </c>
      <c r="B228" s="54" t="s">
        <v>367</v>
      </c>
      <c r="C228" s="31">
        <v>4301012195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59" t="s">
        <v>368</v>
      </c>
      <c r="Q228" s="552"/>
      <c r="R228" s="552"/>
      <c r="S228" s="552"/>
      <c r="T228" s="553"/>
      <c r="U228" s="34"/>
      <c r="V228" s="34"/>
      <c r="W228" s="35" t="s">
        <v>68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x14ac:dyDescent="0.2">
      <c r="A229" s="572"/>
      <c r="B229" s="559"/>
      <c r="C229" s="559"/>
      <c r="D229" s="559"/>
      <c r="E229" s="559"/>
      <c r="F229" s="559"/>
      <c r="G229" s="559"/>
      <c r="H229" s="559"/>
      <c r="I229" s="559"/>
      <c r="J229" s="559"/>
      <c r="K229" s="559"/>
      <c r="L229" s="559"/>
      <c r="M229" s="559"/>
      <c r="N229" s="559"/>
      <c r="O229" s="573"/>
      <c r="P229" s="562" t="s">
        <v>70</v>
      </c>
      <c r="Q229" s="563"/>
      <c r="R229" s="563"/>
      <c r="S229" s="563"/>
      <c r="T229" s="563"/>
      <c r="U229" s="563"/>
      <c r="V229" s="564"/>
      <c r="W229" s="37" t="s">
        <v>71</v>
      </c>
      <c r="X229" s="547">
        <f>IFERROR(X220/H220,"0")+IFERROR(X221/H221,"0")+IFERROR(X222/H222,"0")+IFERROR(X223/H223,"0")+IFERROR(X224/H224,"0")+IFERROR(X225/H225,"0")+IFERROR(X226/H226,"0")+IFERROR(X227/H227,"0")+IFERROR(X228/H228,"0")</f>
        <v>0</v>
      </c>
      <c r="Y229" s="547">
        <f>IFERROR(Y220/H220,"0")+IFERROR(Y221/H221,"0")+IFERROR(Y222/H222,"0")+IFERROR(Y223/H223,"0")+IFERROR(Y224/H224,"0")+IFERROR(Y225/H225,"0")+IFERROR(Y226/H226,"0")+IFERROR(Y227/H227,"0")+IFERROR(Y228/H228,"0")</f>
        <v>0</v>
      </c>
      <c r="Z229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548"/>
      <c r="AB229" s="548"/>
      <c r="AC229" s="548"/>
    </row>
    <row r="230" spans="1:68" x14ac:dyDescent="0.2">
      <c r="A230" s="559"/>
      <c r="B230" s="559"/>
      <c r="C230" s="559"/>
      <c r="D230" s="559"/>
      <c r="E230" s="559"/>
      <c r="F230" s="559"/>
      <c r="G230" s="559"/>
      <c r="H230" s="559"/>
      <c r="I230" s="559"/>
      <c r="J230" s="559"/>
      <c r="K230" s="559"/>
      <c r="L230" s="559"/>
      <c r="M230" s="559"/>
      <c r="N230" s="559"/>
      <c r="O230" s="573"/>
      <c r="P230" s="562" t="s">
        <v>70</v>
      </c>
      <c r="Q230" s="563"/>
      <c r="R230" s="563"/>
      <c r="S230" s="563"/>
      <c r="T230" s="563"/>
      <c r="U230" s="563"/>
      <c r="V230" s="564"/>
      <c r="W230" s="37" t="s">
        <v>68</v>
      </c>
      <c r="X230" s="547">
        <f>IFERROR(SUM(X220:X228),"0")</f>
        <v>0</v>
      </c>
      <c r="Y230" s="547">
        <f>IFERROR(SUM(Y220:Y228),"0")</f>
        <v>0</v>
      </c>
      <c r="Z230" s="37"/>
      <c r="AA230" s="548"/>
      <c r="AB230" s="548"/>
      <c r="AC230" s="548"/>
    </row>
    <row r="231" spans="1:68" ht="14.25" customHeight="1" x14ac:dyDescent="0.25">
      <c r="A231" s="558" t="s">
        <v>130</v>
      </c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59"/>
      <c r="P231" s="559"/>
      <c r="Q231" s="559"/>
      <c r="R231" s="559"/>
      <c r="S231" s="559"/>
      <c r="T231" s="559"/>
      <c r="U231" s="559"/>
      <c r="V231" s="559"/>
      <c r="W231" s="559"/>
      <c r="X231" s="559"/>
      <c r="Y231" s="559"/>
      <c r="Z231" s="559"/>
      <c r="AA231" s="541"/>
      <c r="AB231" s="541"/>
      <c r="AC231" s="541"/>
    </row>
    <row r="232" spans="1:68" ht="27" customHeight="1" x14ac:dyDescent="0.25">
      <c r="A232" s="54" t="s">
        <v>369</v>
      </c>
      <c r="B232" s="54" t="s">
        <v>370</v>
      </c>
      <c r="C232" s="31">
        <v>4301020377</v>
      </c>
      <c r="D232" s="549">
        <v>4680115885981</v>
      </c>
      <c r="E232" s="550"/>
      <c r="F232" s="544">
        <v>0.33</v>
      </c>
      <c r="G232" s="32">
        <v>6</v>
      </c>
      <c r="H232" s="544">
        <v>1.98</v>
      </c>
      <c r="I232" s="544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2"/>
      <c r="R232" s="552"/>
      <c r="S232" s="552"/>
      <c r="T232" s="553"/>
      <c r="U232" s="34"/>
      <c r="V232" s="34"/>
      <c r="W232" s="35" t="s">
        <v>68</v>
      </c>
      <c r="X232" s="545">
        <v>0</v>
      </c>
      <c r="Y232" s="546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x14ac:dyDescent="0.2">
      <c r="A233" s="572"/>
      <c r="B233" s="559"/>
      <c r="C233" s="559"/>
      <c r="D233" s="559"/>
      <c r="E233" s="559"/>
      <c r="F233" s="559"/>
      <c r="G233" s="559"/>
      <c r="H233" s="559"/>
      <c r="I233" s="559"/>
      <c r="J233" s="559"/>
      <c r="K233" s="559"/>
      <c r="L233" s="559"/>
      <c r="M233" s="559"/>
      <c r="N233" s="559"/>
      <c r="O233" s="573"/>
      <c r="P233" s="562" t="s">
        <v>70</v>
      </c>
      <c r="Q233" s="563"/>
      <c r="R233" s="563"/>
      <c r="S233" s="563"/>
      <c r="T233" s="563"/>
      <c r="U233" s="563"/>
      <c r="V233" s="564"/>
      <c r="W233" s="37" t="s">
        <v>71</v>
      </c>
      <c r="X233" s="547">
        <f>IFERROR(X232/H232,"0")</f>
        <v>0</v>
      </c>
      <c r="Y233" s="547">
        <f>IFERROR(Y232/H232,"0")</f>
        <v>0</v>
      </c>
      <c r="Z233" s="547">
        <f>IFERROR(IF(Z232="",0,Z232),"0")</f>
        <v>0</v>
      </c>
      <c r="AA233" s="548"/>
      <c r="AB233" s="548"/>
      <c r="AC233" s="548"/>
    </row>
    <row r="234" spans="1:68" x14ac:dyDescent="0.2">
      <c r="A234" s="559"/>
      <c r="B234" s="559"/>
      <c r="C234" s="559"/>
      <c r="D234" s="559"/>
      <c r="E234" s="559"/>
      <c r="F234" s="559"/>
      <c r="G234" s="559"/>
      <c r="H234" s="559"/>
      <c r="I234" s="559"/>
      <c r="J234" s="559"/>
      <c r="K234" s="559"/>
      <c r="L234" s="559"/>
      <c r="M234" s="559"/>
      <c r="N234" s="559"/>
      <c r="O234" s="573"/>
      <c r="P234" s="562" t="s">
        <v>70</v>
      </c>
      <c r="Q234" s="563"/>
      <c r="R234" s="563"/>
      <c r="S234" s="563"/>
      <c r="T234" s="563"/>
      <c r="U234" s="563"/>
      <c r="V234" s="564"/>
      <c r="W234" s="37" t="s">
        <v>68</v>
      </c>
      <c r="X234" s="547">
        <f>IFERROR(SUM(X232:X232),"0")</f>
        <v>0</v>
      </c>
      <c r="Y234" s="547">
        <f>IFERROR(SUM(Y232:Y232),"0")</f>
        <v>0</v>
      </c>
      <c r="Z234" s="37"/>
      <c r="AA234" s="548"/>
      <c r="AB234" s="548"/>
      <c r="AC234" s="548"/>
    </row>
    <row r="235" spans="1:68" ht="14.25" customHeight="1" x14ac:dyDescent="0.25">
      <c r="A235" s="558" t="s">
        <v>372</v>
      </c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59"/>
      <c r="P235" s="559"/>
      <c r="Q235" s="559"/>
      <c r="R235" s="559"/>
      <c r="S235" s="559"/>
      <c r="T235" s="559"/>
      <c r="U235" s="559"/>
      <c r="V235" s="559"/>
      <c r="W235" s="559"/>
      <c r="X235" s="559"/>
      <c r="Y235" s="559"/>
      <c r="Z235" s="559"/>
      <c r="AA235" s="541"/>
      <c r="AB235" s="541"/>
      <c r="AC235" s="541"/>
    </row>
    <row r="236" spans="1:68" ht="27" customHeight="1" x14ac:dyDescent="0.25">
      <c r="A236" s="54" t="s">
        <v>373</v>
      </c>
      <c r="B236" s="54" t="s">
        <v>374</v>
      </c>
      <c r="C236" s="31">
        <v>4301040362</v>
      </c>
      <c r="D236" s="549">
        <v>4680115886803</v>
      </c>
      <c r="E236" s="550"/>
      <c r="F236" s="544">
        <v>0.12</v>
      </c>
      <c r="G236" s="32">
        <v>15</v>
      </c>
      <c r="H236" s="544">
        <v>1.8</v>
      </c>
      <c r="I236" s="544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2" t="s">
        <v>375</v>
      </c>
      <c r="Q236" s="552"/>
      <c r="R236" s="552"/>
      <c r="S236" s="552"/>
      <c r="T236" s="553"/>
      <c r="U236" s="34"/>
      <c r="V236" s="34"/>
      <c r="W236" s="35" t="s">
        <v>68</v>
      </c>
      <c r="X236" s="545">
        <v>0</v>
      </c>
      <c r="Y236" s="546">
        <f>IFERROR(IF(X236="",0,CEILING((X236/$H236),1)*$H236),"")</f>
        <v>0</v>
      </c>
      <c r="Z236" s="36" t="str">
        <f>IFERROR(IF(Y236=0,"",ROUNDUP(Y236/H236,0)*0.0059),"")</f>
        <v/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72"/>
      <c r="B237" s="559"/>
      <c r="C237" s="559"/>
      <c r="D237" s="559"/>
      <c r="E237" s="559"/>
      <c r="F237" s="559"/>
      <c r="G237" s="559"/>
      <c r="H237" s="559"/>
      <c r="I237" s="559"/>
      <c r="J237" s="559"/>
      <c r="K237" s="559"/>
      <c r="L237" s="559"/>
      <c r="M237" s="559"/>
      <c r="N237" s="559"/>
      <c r="O237" s="573"/>
      <c r="P237" s="562" t="s">
        <v>70</v>
      </c>
      <c r="Q237" s="563"/>
      <c r="R237" s="563"/>
      <c r="S237" s="563"/>
      <c r="T237" s="563"/>
      <c r="U237" s="563"/>
      <c r="V237" s="564"/>
      <c r="W237" s="37" t="s">
        <v>71</v>
      </c>
      <c r="X237" s="547">
        <f>IFERROR(X236/H236,"0")</f>
        <v>0</v>
      </c>
      <c r="Y237" s="547">
        <f>IFERROR(Y236/H236,"0")</f>
        <v>0</v>
      </c>
      <c r="Z237" s="547">
        <f>IFERROR(IF(Z236="",0,Z236),"0")</f>
        <v>0</v>
      </c>
      <c r="AA237" s="548"/>
      <c r="AB237" s="548"/>
      <c r="AC237" s="548"/>
    </row>
    <row r="238" spans="1:68" x14ac:dyDescent="0.2">
      <c r="A238" s="559"/>
      <c r="B238" s="559"/>
      <c r="C238" s="559"/>
      <c r="D238" s="559"/>
      <c r="E238" s="559"/>
      <c r="F238" s="559"/>
      <c r="G238" s="559"/>
      <c r="H238" s="559"/>
      <c r="I238" s="559"/>
      <c r="J238" s="559"/>
      <c r="K238" s="559"/>
      <c r="L238" s="559"/>
      <c r="M238" s="559"/>
      <c r="N238" s="559"/>
      <c r="O238" s="573"/>
      <c r="P238" s="562" t="s">
        <v>70</v>
      </c>
      <c r="Q238" s="563"/>
      <c r="R238" s="563"/>
      <c r="S238" s="563"/>
      <c r="T238" s="563"/>
      <c r="U238" s="563"/>
      <c r="V238" s="564"/>
      <c r="W238" s="37" t="s">
        <v>68</v>
      </c>
      <c r="X238" s="547">
        <f>IFERROR(SUM(X236:X236),"0")</f>
        <v>0</v>
      </c>
      <c r="Y238" s="547">
        <f>IFERROR(SUM(Y236:Y236),"0")</f>
        <v>0</v>
      </c>
      <c r="Z238" s="37"/>
      <c r="AA238" s="548"/>
      <c r="AB238" s="548"/>
      <c r="AC238" s="548"/>
    </row>
    <row r="239" spans="1:68" ht="14.25" customHeight="1" x14ac:dyDescent="0.25">
      <c r="A239" s="558" t="s">
        <v>377</v>
      </c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59"/>
      <c r="P239" s="559"/>
      <c r="Q239" s="559"/>
      <c r="R239" s="559"/>
      <c r="S239" s="559"/>
      <c r="T239" s="559"/>
      <c r="U239" s="559"/>
      <c r="V239" s="559"/>
      <c r="W239" s="559"/>
      <c r="X239" s="559"/>
      <c r="Y239" s="559"/>
      <c r="Z239" s="559"/>
      <c r="AA239" s="541"/>
      <c r="AB239" s="541"/>
      <c r="AC239" s="541"/>
    </row>
    <row r="240" spans="1:68" ht="27" customHeight="1" x14ac:dyDescent="0.25">
      <c r="A240" s="54" t="s">
        <v>378</v>
      </c>
      <c r="B240" s="54" t="s">
        <v>379</v>
      </c>
      <c r="C240" s="31">
        <v>4301041004</v>
      </c>
      <c r="D240" s="549">
        <v>4680115886704</v>
      </c>
      <c r="E240" s="550"/>
      <c r="F240" s="544">
        <v>5.5E-2</v>
      </c>
      <c r="G240" s="32">
        <v>18</v>
      </c>
      <c r="H240" s="544">
        <v>0.99</v>
      </c>
      <c r="I240" s="544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2"/>
      <c r="R240" s="552"/>
      <c r="S240" s="552"/>
      <c r="T240" s="553"/>
      <c r="U240" s="34"/>
      <c r="V240" s="34"/>
      <c r="W240" s="35" t="s">
        <v>68</v>
      </c>
      <c r="X240" s="545">
        <v>0</v>
      </c>
      <c r="Y240" s="546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381</v>
      </c>
      <c r="B241" s="54" t="s">
        <v>382</v>
      </c>
      <c r="C241" s="31">
        <v>4301041008</v>
      </c>
      <c r="D241" s="549">
        <v>4680115886681</v>
      </c>
      <c r="E241" s="550"/>
      <c r="F241" s="544">
        <v>0.12</v>
      </c>
      <c r="G241" s="32">
        <v>15</v>
      </c>
      <c r="H241" s="544">
        <v>1.8</v>
      </c>
      <c r="I241" s="544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09" t="s">
        <v>383</v>
      </c>
      <c r="Q241" s="552"/>
      <c r="R241" s="552"/>
      <c r="S241" s="552"/>
      <c r="T241" s="553"/>
      <c r="U241" s="34"/>
      <c r="V241" s="34"/>
      <c r="W241" s="35" t="s">
        <v>68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385</v>
      </c>
      <c r="C242" s="31">
        <v>4301041007</v>
      </c>
      <c r="D242" s="549">
        <v>4680115886735</v>
      </c>
      <c r="E242" s="550"/>
      <c r="F242" s="544">
        <v>0.05</v>
      </c>
      <c r="G242" s="32">
        <v>18</v>
      </c>
      <c r="H242" s="544">
        <v>0.9</v>
      </c>
      <c r="I242" s="544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3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386</v>
      </c>
      <c r="B243" s="54" t="s">
        <v>387</v>
      </c>
      <c r="C243" s="31">
        <v>4301041006</v>
      </c>
      <c r="D243" s="549">
        <v>4680115886728</v>
      </c>
      <c r="E243" s="550"/>
      <c r="F243" s="544">
        <v>5.5E-2</v>
      </c>
      <c r="G243" s="32">
        <v>18</v>
      </c>
      <c r="H243" s="544">
        <v>0.99</v>
      </c>
      <c r="I243" s="544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6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2"/>
      <c r="R243" s="552"/>
      <c r="S243" s="552"/>
      <c r="T243" s="553"/>
      <c r="U243" s="34"/>
      <c r="V243" s="34"/>
      <c r="W243" s="35" t="s">
        <v>68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388</v>
      </c>
      <c r="B244" s="54" t="s">
        <v>389</v>
      </c>
      <c r="C244" s="31">
        <v>4301041005</v>
      </c>
      <c r="D244" s="549">
        <v>4680115886711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572"/>
      <c r="B245" s="559"/>
      <c r="C245" s="559"/>
      <c r="D245" s="559"/>
      <c r="E245" s="559"/>
      <c r="F245" s="559"/>
      <c r="G245" s="559"/>
      <c r="H245" s="559"/>
      <c r="I245" s="559"/>
      <c r="J245" s="559"/>
      <c r="K245" s="559"/>
      <c r="L245" s="559"/>
      <c r="M245" s="559"/>
      <c r="N245" s="559"/>
      <c r="O245" s="573"/>
      <c r="P245" s="562" t="s">
        <v>70</v>
      </c>
      <c r="Q245" s="563"/>
      <c r="R245" s="563"/>
      <c r="S245" s="563"/>
      <c r="T245" s="563"/>
      <c r="U245" s="563"/>
      <c r="V245" s="564"/>
      <c r="W245" s="37" t="s">
        <v>71</v>
      </c>
      <c r="X245" s="547">
        <f>IFERROR(X240/H240,"0")+IFERROR(X241/H241,"0")+IFERROR(X242/H242,"0")+IFERROR(X243/H243,"0")+IFERROR(X244/H244,"0")</f>
        <v>0</v>
      </c>
      <c r="Y245" s="547">
        <f>IFERROR(Y240/H240,"0")+IFERROR(Y241/H241,"0")+IFERROR(Y242/H242,"0")+IFERROR(Y243/H243,"0")+IFERROR(Y244/H244,"0")</f>
        <v>0</v>
      </c>
      <c r="Z245" s="547">
        <f>IFERROR(IF(Z240="",0,Z240),"0")+IFERROR(IF(Z241="",0,Z241),"0")+IFERROR(IF(Z242="",0,Z242),"0")+IFERROR(IF(Z243="",0,Z243),"0")+IFERROR(IF(Z244="",0,Z244),"0")</f>
        <v>0</v>
      </c>
      <c r="AA245" s="548"/>
      <c r="AB245" s="548"/>
      <c r="AC245" s="548"/>
    </row>
    <row r="246" spans="1:68" x14ac:dyDescent="0.2">
      <c r="A246" s="559"/>
      <c r="B246" s="559"/>
      <c r="C246" s="559"/>
      <c r="D246" s="559"/>
      <c r="E246" s="559"/>
      <c r="F246" s="559"/>
      <c r="G246" s="559"/>
      <c r="H246" s="559"/>
      <c r="I246" s="559"/>
      <c r="J246" s="559"/>
      <c r="K246" s="559"/>
      <c r="L246" s="559"/>
      <c r="M246" s="559"/>
      <c r="N246" s="559"/>
      <c r="O246" s="573"/>
      <c r="P246" s="562" t="s">
        <v>70</v>
      </c>
      <c r="Q246" s="563"/>
      <c r="R246" s="563"/>
      <c r="S246" s="563"/>
      <c r="T246" s="563"/>
      <c r="U246" s="563"/>
      <c r="V246" s="564"/>
      <c r="W246" s="37" t="s">
        <v>68</v>
      </c>
      <c r="X246" s="547">
        <f>IFERROR(SUM(X240:X244),"0")</f>
        <v>0</v>
      </c>
      <c r="Y246" s="547">
        <f>IFERROR(SUM(Y240:Y244),"0")</f>
        <v>0</v>
      </c>
      <c r="Z246" s="37"/>
      <c r="AA246" s="548"/>
      <c r="AB246" s="548"/>
      <c r="AC246" s="548"/>
    </row>
    <row r="247" spans="1:68" ht="16.5" customHeight="1" x14ac:dyDescent="0.25">
      <c r="A247" s="567" t="s">
        <v>390</v>
      </c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59"/>
      <c r="P247" s="559"/>
      <c r="Q247" s="559"/>
      <c r="R247" s="559"/>
      <c r="S247" s="559"/>
      <c r="T247" s="559"/>
      <c r="U247" s="559"/>
      <c r="V247" s="559"/>
      <c r="W247" s="559"/>
      <c r="X247" s="559"/>
      <c r="Y247" s="559"/>
      <c r="Z247" s="559"/>
      <c r="AA247" s="540"/>
      <c r="AB247" s="540"/>
      <c r="AC247" s="540"/>
    </row>
    <row r="248" spans="1:68" ht="14.25" customHeight="1" x14ac:dyDescent="0.25">
      <c r="A248" s="558" t="s">
        <v>98</v>
      </c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59"/>
      <c r="P248" s="559"/>
      <c r="Q248" s="559"/>
      <c r="R248" s="559"/>
      <c r="S248" s="559"/>
      <c r="T248" s="559"/>
      <c r="U248" s="559"/>
      <c r="V248" s="559"/>
      <c r="W248" s="559"/>
      <c r="X248" s="559"/>
      <c r="Y248" s="559"/>
      <c r="Z248" s="559"/>
      <c r="AA248" s="541"/>
      <c r="AB248" s="541"/>
      <c r="AC248" s="541"/>
    </row>
    <row r="249" spans="1:68" ht="27" customHeight="1" x14ac:dyDescent="0.25">
      <c r="A249" s="54" t="s">
        <v>391</v>
      </c>
      <c r="B249" s="54" t="s">
        <v>392</v>
      </c>
      <c r="C249" s="31">
        <v>4301011855</v>
      </c>
      <c r="D249" s="549">
        <v>4680115885837</v>
      </c>
      <c r="E249" s="550"/>
      <c r="F249" s="544">
        <v>1.35</v>
      </c>
      <c r="G249" s="32">
        <v>8</v>
      </c>
      <c r="H249" s="544">
        <v>10.8</v>
      </c>
      <c r="I249" s="544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2"/>
      <c r="R249" s="552"/>
      <c r="S249" s="552"/>
      <c r="T249" s="553"/>
      <c r="U249" s="34"/>
      <c r="V249" s="34"/>
      <c r="W249" s="35" t="s">
        <v>68</v>
      </c>
      <c r="X249" s="545">
        <v>0</v>
      </c>
      <c r="Y249" s="546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394</v>
      </c>
      <c r="B250" s="54" t="s">
        <v>395</v>
      </c>
      <c r="C250" s="31">
        <v>4301011853</v>
      </c>
      <c r="D250" s="549">
        <v>4680115885851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68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397</v>
      </c>
      <c r="B251" s="54" t="s">
        <v>398</v>
      </c>
      <c r="C251" s="31">
        <v>4301011850</v>
      </c>
      <c r="D251" s="549">
        <v>4680115885806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400</v>
      </c>
      <c r="B252" s="54" t="s">
        <v>401</v>
      </c>
      <c r="C252" s="31">
        <v>4301011852</v>
      </c>
      <c r="D252" s="549">
        <v>4680115885844</v>
      </c>
      <c r="E252" s="550"/>
      <c r="F252" s="544">
        <v>0.4</v>
      </c>
      <c r="G252" s="32">
        <v>10</v>
      </c>
      <c r="H252" s="544">
        <v>4</v>
      </c>
      <c r="I252" s="544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403</v>
      </c>
      <c r="B253" s="54" t="s">
        <v>404</v>
      </c>
      <c r="C253" s="31">
        <v>4301011851</v>
      </c>
      <c r="D253" s="549">
        <v>4680115885820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4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72"/>
      <c r="B254" s="559"/>
      <c r="C254" s="559"/>
      <c r="D254" s="559"/>
      <c r="E254" s="559"/>
      <c r="F254" s="559"/>
      <c r="G254" s="559"/>
      <c r="H254" s="559"/>
      <c r="I254" s="559"/>
      <c r="J254" s="559"/>
      <c r="K254" s="559"/>
      <c r="L254" s="559"/>
      <c r="M254" s="559"/>
      <c r="N254" s="559"/>
      <c r="O254" s="573"/>
      <c r="P254" s="562" t="s">
        <v>70</v>
      </c>
      <c r="Q254" s="563"/>
      <c r="R254" s="563"/>
      <c r="S254" s="563"/>
      <c r="T254" s="563"/>
      <c r="U254" s="563"/>
      <c r="V254" s="564"/>
      <c r="W254" s="37" t="s">
        <v>71</v>
      </c>
      <c r="X254" s="547">
        <f>IFERROR(X249/H249,"0")+IFERROR(X250/H250,"0")+IFERROR(X251/H251,"0")+IFERROR(X252/H252,"0")+IFERROR(X253/H253,"0")</f>
        <v>0</v>
      </c>
      <c r="Y254" s="547">
        <f>IFERROR(Y249/H249,"0")+IFERROR(Y250/H250,"0")+IFERROR(Y251/H251,"0")+IFERROR(Y252/H252,"0")+IFERROR(Y253/H253,"0")</f>
        <v>0</v>
      </c>
      <c r="Z254" s="547">
        <f>IFERROR(IF(Z249="",0,Z249),"0")+IFERROR(IF(Z250="",0,Z250),"0")+IFERROR(IF(Z251="",0,Z251),"0")+IFERROR(IF(Z252="",0,Z252),"0")+IFERROR(IF(Z253="",0,Z253),"0")</f>
        <v>0</v>
      </c>
      <c r="AA254" s="548"/>
      <c r="AB254" s="548"/>
      <c r="AC254" s="548"/>
    </row>
    <row r="255" spans="1:68" x14ac:dyDescent="0.2">
      <c r="A255" s="559"/>
      <c r="B255" s="559"/>
      <c r="C255" s="559"/>
      <c r="D255" s="559"/>
      <c r="E255" s="559"/>
      <c r="F255" s="559"/>
      <c r="G255" s="559"/>
      <c r="H255" s="559"/>
      <c r="I255" s="559"/>
      <c r="J255" s="559"/>
      <c r="K255" s="559"/>
      <c r="L255" s="559"/>
      <c r="M255" s="559"/>
      <c r="N255" s="559"/>
      <c r="O255" s="573"/>
      <c r="P255" s="562" t="s">
        <v>70</v>
      </c>
      <c r="Q255" s="563"/>
      <c r="R255" s="563"/>
      <c r="S255" s="563"/>
      <c r="T255" s="563"/>
      <c r="U255" s="563"/>
      <c r="V255" s="564"/>
      <c r="W255" s="37" t="s">
        <v>68</v>
      </c>
      <c r="X255" s="547">
        <f>IFERROR(SUM(X249:X253),"0")</f>
        <v>0</v>
      </c>
      <c r="Y255" s="547">
        <f>IFERROR(SUM(Y249:Y253),"0")</f>
        <v>0</v>
      </c>
      <c r="Z255" s="37"/>
      <c r="AA255" s="548"/>
      <c r="AB255" s="548"/>
      <c r="AC255" s="548"/>
    </row>
    <row r="256" spans="1:68" ht="16.5" customHeight="1" x14ac:dyDescent="0.25">
      <c r="A256" s="567" t="s">
        <v>406</v>
      </c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59"/>
      <c r="P256" s="559"/>
      <c r="Q256" s="559"/>
      <c r="R256" s="559"/>
      <c r="S256" s="559"/>
      <c r="T256" s="559"/>
      <c r="U256" s="559"/>
      <c r="V256" s="559"/>
      <c r="W256" s="559"/>
      <c r="X256" s="559"/>
      <c r="Y256" s="559"/>
      <c r="Z256" s="559"/>
      <c r="AA256" s="540"/>
      <c r="AB256" s="540"/>
      <c r="AC256" s="540"/>
    </row>
    <row r="257" spans="1:68" ht="14.25" customHeight="1" x14ac:dyDescent="0.25">
      <c r="A257" s="558" t="s">
        <v>98</v>
      </c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59"/>
      <c r="P257" s="559"/>
      <c r="Q257" s="559"/>
      <c r="R257" s="559"/>
      <c r="S257" s="559"/>
      <c r="T257" s="559"/>
      <c r="U257" s="559"/>
      <c r="V257" s="559"/>
      <c r="W257" s="559"/>
      <c r="X257" s="559"/>
      <c r="Y257" s="559"/>
      <c r="Z257" s="559"/>
      <c r="AA257" s="541"/>
      <c r="AB257" s="541"/>
      <c r="AC257" s="541"/>
    </row>
    <row r="258" spans="1:68" ht="27" customHeight="1" x14ac:dyDescent="0.25">
      <c r="A258" s="54" t="s">
        <v>407</v>
      </c>
      <c r="B258" s="54" t="s">
        <v>408</v>
      </c>
      <c r="C258" s="31">
        <v>4301011223</v>
      </c>
      <c r="D258" s="549">
        <v>4607091383423</v>
      </c>
      <c r="E258" s="550"/>
      <c r="F258" s="544">
        <v>1.35</v>
      </c>
      <c r="G258" s="32">
        <v>8</v>
      </c>
      <c r="H258" s="544">
        <v>10.8</v>
      </c>
      <c r="I258" s="544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66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2"/>
      <c r="R258" s="552"/>
      <c r="S258" s="552"/>
      <c r="T258" s="553"/>
      <c r="U258" s="34"/>
      <c r="V258" s="34"/>
      <c r="W258" s="35" t="s">
        <v>68</v>
      </c>
      <c r="X258" s="545">
        <v>0</v>
      </c>
      <c r="Y258" s="546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409</v>
      </c>
      <c r="B259" s="54" t="s">
        <v>410</v>
      </c>
      <c r="C259" s="31">
        <v>4301012199</v>
      </c>
      <c r="D259" s="549">
        <v>4680115886957</v>
      </c>
      <c r="E259" s="550"/>
      <c r="F259" s="544">
        <v>1.35</v>
      </c>
      <c r="G259" s="32">
        <v>8</v>
      </c>
      <c r="H259" s="544">
        <v>10.8</v>
      </c>
      <c r="I259" s="544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39" t="s">
        <v>411</v>
      </c>
      <c r="Q259" s="552"/>
      <c r="R259" s="552"/>
      <c r="S259" s="552"/>
      <c r="T259" s="553"/>
      <c r="U259" s="34"/>
      <c r="V259" s="34"/>
      <c r="W259" s="35" t="s">
        <v>68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4301012098</v>
      </c>
      <c r="D260" s="549">
        <v>4680115885660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68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416</v>
      </c>
      <c r="B261" s="54" t="s">
        <v>417</v>
      </c>
      <c r="C261" s="31">
        <v>4301012176</v>
      </c>
      <c r="D261" s="549">
        <v>4680115886773</v>
      </c>
      <c r="E261" s="550"/>
      <c r="F261" s="544">
        <v>0.9</v>
      </c>
      <c r="G261" s="32">
        <v>10</v>
      </c>
      <c r="H261" s="544">
        <v>9</v>
      </c>
      <c r="I261" s="544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50" t="s">
        <v>418</v>
      </c>
      <c r="Q261" s="552"/>
      <c r="R261" s="552"/>
      <c r="S261" s="552"/>
      <c r="T261" s="553"/>
      <c r="U261" s="34"/>
      <c r="V261" s="34"/>
      <c r="W261" s="35" t="s">
        <v>68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72"/>
      <c r="B262" s="559"/>
      <c r="C262" s="559"/>
      <c r="D262" s="559"/>
      <c r="E262" s="559"/>
      <c r="F262" s="559"/>
      <c r="G262" s="559"/>
      <c r="H262" s="559"/>
      <c r="I262" s="559"/>
      <c r="J262" s="559"/>
      <c r="K262" s="559"/>
      <c r="L262" s="559"/>
      <c r="M262" s="559"/>
      <c r="N262" s="559"/>
      <c r="O262" s="573"/>
      <c r="P262" s="562" t="s">
        <v>70</v>
      </c>
      <c r="Q262" s="563"/>
      <c r="R262" s="563"/>
      <c r="S262" s="563"/>
      <c r="T262" s="563"/>
      <c r="U262" s="563"/>
      <c r="V262" s="564"/>
      <c r="W262" s="37" t="s">
        <v>71</v>
      </c>
      <c r="X262" s="547">
        <f>IFERROR(X258/H258,"0")+IFERROR(X259/H259,"0")+IFERROR(X260/H260,"0")+IFERROR(X261/H261,"0")</f>
        <v>0</v>
      </c>
      <c r="Y262" s="547">
        <f>IFERROR(Y258/H258,"0")+IFERROR(Y259/H259,"0")+IFERROR(Y260/H260,"0")+IFERROR(Y261/H261,"0")</f>
        <v>0</v>
      </c>
      <c r="Z262" s="547">
        <f>IFERROR(IF(Z258="",0,Z258),"0")+IFERROR(IF(Z259="",0,Z259),"0")+IFERROR(IF(Z260="",0,Z260),"0")+IFERROR(IF(Z261="",0,Z261),"0")</f>
        <v>0</v>
      </c>
      <c r="AA262" s="548"/>
      <c r="AB262" s="548"/>
      <c r="AC262" s="548"/>
    </row>
    <row r="263" spans="1:68" x14ac:dyDescent="0.2">
      <c r="A263" s="559"/>
      <c r="B263" s="559"/>
      <c r="C263" s="559"/>
      <c r="D263" s="559"/>
      <c r="E263" s="559"/>
      <c r="F263" s="559"/>
      <c r="G263" s="559"/>
      <c r="H263" s="559"/>
      <c r="I263" s="559"/>
      <c r="J263" s="559"/>
      <c r="K263" s="559"/>
      <c r="L263" s="559"/>
      <c r="M263" s="559"/>
      <c r="N263" s="559"/>
      <c r="O263" s="573"/>
      <c r="P263" s="562" t="s">
        <v>70</v>
      </c>
      <c r="Q263" s="563"/>
      <c r="R263" s="563"/>
      <c r="S263" s="563"/>
      <c r="T263" s="563"/>
      <c r="U263" s="563"/>
      <c r="V263" s="564"/>
      <c r="W263" s="37" t="s">
        <v>68</v>
      </c>
      <c r="X263" s="547">
        <f>IFERROR(SUM(X258:X261),"0")</f>
        <v>0</v>
      </c>
      <c r="Y263" s="547">
        <f>IFERROR(SUM(Y258:Y261),"0")</f>
        <v>0</v>
      </c>
      <c r="Z263" s="37"/>
      <c r="AA263" s="548"/>
      <c r="AB263" s="548"/>
      <c r="AC263" s="548"/>
    </row>
    <row r="264" spans="1:68" ht="16.5" customHeight="1" x14ac:dyDescent="0.25">
      <c r="A264" s="567" t="s">
        <v>420</v>
      </c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59"/>
      <c r="P264" s="559"/>
      <c r="Q264" s="559"/>
      <c r="R264" s="559"/>
      <c r="S264" s="559"/>
      <c r="T264" s="559"/>
      <c r="U264" s="559"/>
      <c r="V264" s="559"/>
      <c r="W264" s="559"/>
      <c r="X264" s="559"/>
      <c r="Y264" s="559"/>
      <c r="Z264" s="559"/>
      <c r="AA264" s="540"/>
      <c r="AB264" s="540"/>
      <c r="AC264" s="540"/>
    </row>
    <row r="265" spans="1:68" ht="14.25" customHeight="1" x14ac:dyDescent="0.25">
      <c r="A265" s="558" t="s">
        <v>72</v>
      </c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59"/>
      <c r="P265" s="559"/>
      <c r="Q265" s="559"/>
      <c r="R265" s="559"/>
      <c r="S265" s="559"/>
      <c r="T265" s="559"/>
      <c r="U265" s="559"/>
      <c r="V265" s="559"/>
      <c r="W265" s="559"/>
      <c r="X265" s="559"/>
      <c r="Y265" s="559"/>
      <c r="Z265" s="559"/>
      <c r="AA265" s="541"/>
      <c r="AB265" s="541"/>
      <c r="AC265" s="541"/>
    </row>
    <row r="266" spans="1:68" ht="27" customHeight="1" x14ac:dyDescent="0.25">
      <c r="A266" s="54" t="s">
        <v>421</v>
      </c>
      <c r="B266" s="54" t="s">
        <v>422</v>
      </c>
      <c r="C266" s="31">
        <v>4301051893</v>
      </c>
      <c r="D266" s="549">
        <v>4680115886186</v>
      </c>
      <c r="E266" s="550"/>
      <c r="F266" s="544">
        <v>0.3</v>
      </c>
      <c r="G266" s="32">
        <v>6</v>
      </c>
      <c r="H266" s="544">
        <v>1.8</v>
      </c>
      <c r="I266" s="544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2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2"/>
      <c r="R266" s="552"/>
      <c r="S266" s="552"/>
      <c r="T266" s="553"/>
      <c r="U266" s="34"/>
      <c r="V266" s="34"/>
      <c r="W266" s="35" t="s">
        <v>68</v>
      </c>
      <c r="X266" s="545">
        <v>0</v>
      </c>
      <c r="Y266" s="546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424</v>
      </c>
      <c r="B267" s="54" t="s">
        <v>425</v>
      </c>
      <c r="C267" s="31">
        <v>4301051795</v>
      </c>
      <c r="D267" s="549">
        <v>4680115881228</v>
      </c>
      <c r="E267" s="550"/>
      <c r="F267" s="544">
        <v>0.4</v>
      </c>
      <c r="G267" s="32">
        <v>6</v>
      </c>
      <c r="H267" s="544">
        <v>2.4</v>
      </c>
      <c r="I267" s="544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2"/>
      <c r="R267" s="552"/>
      <c r="S267" s="552"/>
      <c r="T267" s="553"/>
      <c r="U267" s="34"/>
      <c r="V267" s="34"/>
      <c r="W267" s="35" t="s">
        <v>68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427</v>
      </c>
      <c r="B268" s="54" t="s">
        <v>428</v>
      </c>
      <c r="C268" s="31">
        <v>4301051388</v>
      </c>
      <c r="D268" s="549">
        <v>4680115881211</v>
      </c>
      <c r="E268" s="550"/>
      <c r="F268" s="544">
        <v>0.4</v>
      </c>
      <c r="G268" s="32">
        <v>6</v>
      </c>
      <c r="H268" s="544">
        <v>2.4</v>
      </c>
      <c r="I268" s="544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5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2"/>
      <c r="R268" s="552"/>
      <c r="S268" s="552"/>
      <c r="T268" s="553"/>
      <c r="U268" s="34"/>
      <c r="V268" s="34"/>
      <c r="W268" s="35" t="s">
        <v>68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72"/>
      <c r="B269" s="559"/>
      <c r="C269" s="559"/>
      <c r="D269" s="559"/>
      <c r="E269" s="559"/>
      <c r="F269" s="559"/>
      <c r="G269" s="559"/>
      <c r="H269" s="559"/>
      <c r="I269" s="559"/>
      <c r="J269" s="559"/>
      <c r="K269" s="559"/>
      <c r="L269" s="559"/>
      <c r="M269" s="559"/>
      <c r="N269" s="559"/>
      <c r="O269" s="573"/>
      <c r="P269" s="562" t="s">
        <v>70</v>
      </c>
      <c r="Q269" s="563"/>
      <c r="R269" s="563"/>
      <c r="S269" s="563"/>
      <c r="T269" s="563"/>
      <c r="U269" s="563"/>
      <c r="V269" s="564"/>
      <c r="W269" s="37" t="s">
        <v>71</v>
      </c>
      <c r="X269" s="547">
        <f>IFERROR(X266/H266,"0")+IFERROR(X267/H267,"0")+IFERROR(X268/H268,"0")</f>
        <v>0</v>
      </c>
      <c r="Y269" s="547">
        <f>IFERROR(Y266/H266,"0")+IFERROR(Y267/H267,"0")+IFERROR(Y268/H268,"0")</f>
        <v>0</v>
      </c>
      <c r="Z269" s="547">
        <f>IFERROR(IF(Z266="",0,Z266),"0")+IFERROR(IF(Z267="",0,Z267),"0")+IFERROR(IF(Z268="",0,Z268),"0")</f>
        <v>0</v>
      </c>
      <c r="AA269" s="548"/>
      <c r="AB269" s="548"/>
      <c r="AC269" s="548"/>
    </row>
    <row r="270" spans="1:68" x14ac:dyDescent="0.2">
      <c r="A270" s="559"/>
      <c r="B270" s="559"/>
      <c r="C270" s="559"/>
      <c r="D270" s="559"/>
      <c r="E270" s="559"/>
      <c r="F270" s="559"/>
      <c r="G270" s="559"/>
      <c r="H270" s="559"/>
      <c r="I270" s="559"/>
      <c r="J270" s="559"/>
      <c r="K270" s="559"/>
      <c r="L270" s="559"/>
      <c r="M270" s="559"/>
      <c r="N270" s="559"/>
      <c r="O270" s="573"/>
      <c r="P270" s="562" t="s">
        <v>70</v>
      </c>
      <c r="Q270" s="563"/>
      <c r="R270" s="563"/>
      <c r="S270" s="563"/>
      <c r="T270" s="563"/>
      <c r="U270" s="563"/>
      <c r="V270" s="564"/>
      <c r="W270" s="37" t="s">
        <v>68</v>
      </c>
      <c r="X270" s="547">
        <f>IFERROR(SUM(X266:X268),"0")</f>
        <v>0</v>
      </c>
      <c r="Y270" s="547">
        <f>IFERROR(SUM(Y266:Y268),"0")</f>
        <v>0</v>
      </c>
      <c r="Z270" s="37"/>
      <c r="AA270" s="548"/>
      <c r="AB270" s="548"/>
      <c r="AC270" s="548"/>
    </row>
    <row r="271" spans="1:68" ht="16.5" customHeight="1" x14ac:dyDescent="0.25">
      <c r="A271" s="567" t="s">
        <v>430</v>
      </c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59"/>
      <c r="P271" s="559"/>
      <c r="Q271" s="559"/>
      <c r="R271" s="559"/>
      <c r="S271" s="559"/>
      <c r="T271" s="559"/>
      <c r="U271" s="559"/>
      <c r="V271" s="559"/>
      <c r="W271" s="559"/>
      <c r="X271" s="559"/>
      <c r="Y271" s="559"/>
      <c r="Z271" s="559"/>
      <c r="AA271" s="540"/>
      <c r="AB271" s="540"/>
      <c r="AC271" s="540"/>
    </row>
    <row r="272" spans="1:68" ht="14.25" customHeight="1" x14ac:dyDescent="0.25">
      <c r="A272" s="558" t="s">
        <v>63</v>
      </c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59"/>
      <c r="P272" s="559"/>
      <c r="Q272" s="559"/>
      <c r="R272" s="559"/>
      <c r="S272" s="559"/>
      <c r="T272" s="559"/>
      <c r="U272" s="559"/>
      <c r="V272" s="559"/>
      <c r="W272" s="559"/>
      <c r="X272" s="559"/>
      <c r="Y272" s="559"/>
      <c r="Z272" s="559"/>
      <c r="AA272" s="541"/>
      <c r="AB272" s="541"/>
      <c r="AC272" s="541"/>
    </row>
    <row r="273" spans="1:68" ht="27" customHeight="1" x14ac:dyDescent="0.25">
      <c r="A273" s="54" t="s">
        <v>431</v>
      </c>
      <c r="B273" s="54" t="s">
        <v>432</v>
      </c>
      <c r="C273" s="31">
        <v>4301031307</v>
      </c>
      <c r="D273" s="549">
        <v>4680115880344</v>
      </c>
      <c r="E273" s="550"/>
      <c r="F273" s="544">
        <v>0.28000000000000003</v>
      </c>
      <c r="G273" s="32">
        <v>6</v>
      </c>
      <c r="H273" s="544">
        <v>1.68</v>
      </c>
      <c r="I273" s="544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4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2"/>
      <c r="R273" s="552"/>
      <c r="S273" s="552"/>
      <c r="T273" s="553"/>
      <c r="U273" s="34"/>
      <c r="V273" s="34"/>
      <c r="W273" s="35" t="s">
        <v>68</v>
      </c>
      <c r="X273" s="545">
        <v>0</v>
      </c>
      <c r="Y273" s="546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72"/>
      <c r="B274" s="559"/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73"/>
      <c r="P274" s="562" t="s">
        <v>70</v>
      </c>
      <c r="Q274" s="563"/>
      <c r="R274" s="563"/>
      <c r="S274" s="563"/>
      <c r="T274" s="563"/>
      <c r="U274" s="563"/>
      <c r="V274" s="564"/>
      <c r="W274" s="37" t="s">
        <v>71</v>
      </c>
      <c r="X274" s="547">
        <f>IFERROR(X273/H273,"0")</f>
        <v>0</v>
      </c>
      <c r="Y274" s="547">
        <f>IFERROR(Y273/H273,"0")</f>
        <v>0</v>
      </c>
      <c r="Z274" s="547">
        <f>IFERROR(IF(Z273="",0,Z273),"0")</f>
        <v>0</v>
      </c>
      <c r="AA274" s="548"/>
      <c r="AB274" s="548"/>
      <c r="AC274" s="548"/>
    </row>
    <row r="275" spans="1:68" x14ac:dyDescent="0.2">
      <c r="A275" s="559"/>
      <c r="B275" s="559"/>
      <c r="C275" s="559"/>
      <c r="D275" s="559"/>
      <c r="E275" s="559"/>
      <c r="F275" s="559"/>
      <c r="G275" s="559"/>
      <c r="H275" s="559"/>
      <c r="I275" s="559"/>
      <c r="J275" s="559"/>
      <c r="K275" s="559"/>
      <c r="L275" s="559"/>
      <c r="M275" s="559"/>
      <c r="N275" s="559"/>
      <c r="O275" s="573"/>
      <c r="P275" s="562" t="s">
        <v>70</v>
      </c>
      <c r="Q275" s="563"/>
      <c r="R275" s="563"/>
      <c r="S275" s="563"/>
      <c r="T275" s="563"/>
      <c r="U275" s="563"/>
      <c r="V275" s="564"/>
      <c r="W275" s="37" t="s">
        <v>68</v>
      </c>
      <c r="X275" s="547">
        <f>IFERROR(SUM(X273:X273),"0")</f>
        <v>0</v>
      </c>
      <c r="Y275" s="547">
        <f>IFERROR(SUM(Y273:Y273),"0")</f>
        <v>0</v>
      </c>
      <c r="Z275" s="37"/>
      <c r="AA275" s="548"/>
      <c r="AB275" s="548"/>
      <c r="AC275" s="548"/>
    </row>
    <row r="276" spans="1:68" ht="14.25" customHeight="1" x14ac:dyDescent="0.25">
      <c r="A276" s="558" t="s">
        <v>72</v>
      </c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59"/>
      <c r="P276" s="559"/>
      <c r="Q276" s="559"/>
      <c r="R276" s="559"/>
      <c r="S276" s="559"/>
      <c r="T276" s="559"/>
      <c r="U276" s="559"/>
      <c r="V276" s="559"/>
      <c r="W276" s="559"/>
      <c r="X276" s="559"/>
      <c r="Y276" s="559"/>
      <c r="Z276" s="559"/>
      <c r="AA276" s="541"/>
      <c r="AB276" s="541"/>
      <c r="AC276" s="541"/>
    </row>
    <row r="277" spans="1:68" ht="27" customHeight="1" x14ac:dyDescent="0.25">
      <c r="A277" s="54" t="s">
        <v>434</v>
      </c>
      <c r="B277" s="54" t="s">
        <v>435</v>
      </c>
      <c r="C277" s="31">
        <v>4301051782</v>
      </c>
      <c r="D277" s="549">
        <v>4680115884618</v>
      </c>
      <c r="E277" s="550"/>
      <c r="F277" s="544">
        <v>0.6</v>
      </c>
      <c r="G277" s="32">
        <v>6</v>
      </c>
      <c r="H277" s="544">
        <v>3.6</v>
      </c>
      <c r="I277" s="544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2"/>
      <c r="R277" s="552"/>
      <c r="S277" s="552"/>
      <c r="T277" s="553"/>
      <c r="U277" s="34"/>
      <c r="V277" s="34"/>
      <c r="W277" s="35" t="s">
        <v>68</v>
      </c>
      <c r="X277" s="545">
        <v>0</v>
      </c>
      <c r="Y277" s="546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72"/>
      <c r="B278" s="559"/>
      <c r="C278" s="559"/>
      <c r="D278" s="559"/>
      <c r="E278" s="559"/>
      <c r="F278" s="559"/>
      <c r="G278" s="559"/>
      <c r="H278" s="559"/>
      <c r="I278" s="559"/>
      <c r="J278" s="559"/>
      <c r="K278" s="559"/>
      <c r="L278" s="559"/>
      <c r="M278" s="559"/>
      <c r="N278" s="559"/>
      <c r="O278" s="573"/>
      <c r="P278" s="562" t="s">
        <v>70</v>
      </c>
      <c r="Q278" s="563"/>
      <c r="R278" s="563"/>
      <c r="S278" s="563"/>
      <c r="T278" s="563"/>
      <c r="U278" s="563"/>
      <c r="V278" s="564"/>
      <c r="W278" s="37" t="s">
        <v>71</v>
      </c>
      <c r="X278" s="547">
        <f>IFERROR(X277/H277,"0")</f>
        <v>0</v>
      </c>
      <c r="Y278" s="547">
        <f>IFERROR(Y277/H277,"0")</f>
        <v>0</v>
      </c>
      <c r="Z278" s="547">
        <f>IFERROR(IF(Z277="",0,Z277),"0")</f>
        <v>0</v>
      </c>
      <c r="AA278" s="548"/>
      <c r="AB278" s="548"/>
      <c r="AC278" s="548"/>
    </row>
    <row r="279" spans="1:68" x14ac:dyDescent="0.2">
      <c r="A279" s="559"/>
      <c r="B279" s="559"/>
      <c r="C279" s="559"/>
      <c r="D279" s="559"/>
      <c r="E279" s="559"/>
      <c r="F279" s="559"/>
      <c r="G279" s="559"/>
      <c r="H279" s="559"/>
      <c r="I279" s="559"/>
      <c r="J279" s="559"/>
      <c r="K279" s="559"/>
      <c r="L279" s="559"/>
      <c r="M279" s="559"/>
      <c r="N279" s="559"/>
      <c r="O279" s="573"/>
      <c r="P279" s="562" t="s">
        <v>70</v>
      </c>
      <c r="Q279" s="563"/>
      <c r="R279" s="563"/>
      <c r="S279" s="563"/>
      <c r="T279" s="563"/>
      <c r="U279" s="563"/>
      <c r="V279" s="564"/>
      <c r="W279" s="37" t="s">
        <v>68</v>
      </c>
      <c r="X279" s="547">
        <f>IFERROR(SUM(X277:X277),"0")</f>
        <v>0</v>
      </c>
      <c r="Y279" s="547">
        <f>IFERROR(SUM(Y277:Y277),"0")</f>
        <v>0</v>
      </c>
      <c r="Z279" s="37"/>
      <c r="AA279" s="548"/>
      <c r="AB279" s="548"/>
      <c r="AC279" s="548"/>
    </row>
    <row r="280" spans="1:68" ht="16.5" customHeight="1" x14ac:dyDescent="0.25">
      <c r="A280" s="567" t="s">
        <v>437</v>
      </c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59"/>
      <c r="P280" s="559"/>
      <c r="Q280" s="559"/>
      <c r="R280" s="559"/>
      <c r="S280" s="559"/>
      <c r="T280" s="559"/>
      <c r="U280" s="559"/>
      <c r="V280" s="559"/>
      <c r="W280" s="559"/>
      <c r="X280" s="559"/>
      <c r="Y280" s="559"/>
      <c r="Z280" s="559"/>
      <c r="AA280" s="540"/>
      <c r="AB280" s="540"/>
      <c r="AC280" s="540"/>
    </row>
    <row r="281" spans="1:68" ht="14.25" customHeight="1" x14ac:dyDescent="0.25">
      <c r="A281" s="558" t="s">
        <v>98</v>
      </c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59"/>
      <c r="P281" s="559"/>
      <c r="Q281" s="559"/>
      <c r="R281" s="559"/>
      <c r="S281" s="559"/>
      <c r="T281" s="559"/>
      <c r="U281" s="559"/>
      <c r="V281" s="559"/>
      <c r="W281" s="559"/>
      <c r="X281" s="559"/>
      <c r="Y281" s="559"/>
      <c r="Z281" s="559"/>
      <c r="AA281" s="541"/>
      <c r="AB281" s="541"/>
      <c r="AC281" s="541"/>
    </row>
    <row r="282" spans="1:68" ht="27" customHeight="1" x14ac:dyDescent="0.25">
      <c r="A282" s="54" t="s">
        <v>438</v>
      </c>
      <c r="B282" s="54" t="s">
        <v>439</v>
      </c>
      <c r="C282" s="31">
        <v>4301011662</v>
      </c>
      <c r="D282" s="549">
        <v>4680115883703</v>
      </c>
      <c r="E282" s="550"/>
      <c r="F282" s="544">
        <v>1.35</v>
      </c>
      <c r="G282" s="32">
        <v>8</v>
      </c>
      <c r="H282" s="544">
        <v>10.8</v>
      </c>
      <c r="I282" s="544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79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2"/>
      <c r="R282" s="552"/>
      <c r="S282" s="552"/>
      <c r="T282" s="553"/>
      <c r="U282" s="34"/>
      <c r="V282" s="34"/>
      <c r="W282" s="35" t="s">
        <v>68</v>
      </c>
      <c r="X282" s="545">
        <v>0</v>
      </c>
      <c r="Y282" s="546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72"/>
      <c r="B283" s="559"/>
      <c r="C283" s="559"/>
      <c r="D283" s="559"/>
      <c r="E283" s="559"/>
      <c r="F283" s="559"/>
      <c r="G283" s="559"/>
      <c r="H283" s="559"/>
      <c r="I283" s="559"/>
      <c r="J283" s="559"/>
      <c r="K283" s="559"/>
      <c r="L283" s="559"/>
      <c r="M283" s="559"/>
      <c r="N283" s="559"/>
      <c r="O283" s="573"/>
      <c r="P283" s="562" t="s">
        <v>70</v>
      </c>
      <c r="Q283" s="563"/>
      <c r="R283" s="563"/>
      <c r="S283" s="563"/>
      <c r="T283" s="563"/>
      <c r="U283" s="563"/>
      <c r="V283" s="564"/>
      <c r="W283" s="37" t="s">
        <v>71</v>
      </c>
      <c r="X283" s="547">
        <f>IFERROR(X282/H282,"0")</f>
        <v>0</v>
      </c>
      <c r="Y283" s="547">
        <f>IFERROR(Y282/H282,"0")</f>
        <v>0</v>
      </c>
      <c r="Z283" s="547">
        <f>IFERROR(IF(Z282="",0,Z282),"0")</f>
        <v>0</v>
      </c>
      <c r="AA283" s="548"/>
      <c r="AB283" s="548"/>
      <c r="AC283" s="548"/>
    </row>
    <row r="284" spans="1:68" x14ac:dyDescent="0.2">
      <c r="A284" s="559"/>
      <c r="B284" s="559"/>
      <c r="C284" s="559"/>
      <c r="D284" s="559"/>
      <c r="E284" s="559"/>
      <c r="F284" s="559"/>
      <c r="G284" s="559"/>
      <c r="H284" s="559"/>
      <c r="I284" s="559"/>
      <c r="J284" s="559"/>
      <c r="K284" s="559"/>
      <c r="L284" s="559"/>
      <c r="M284" s="559"/>
      <c r="N284" s="559"/>
      <c r="O284" s="573"/>
      <c r="P284" s="562" t="s">
        <v>70</v>
      </c>
      <c r="Q284" s="563"/>
      <c r="R284" s="563"/>
      <c r="S284" s="563"/>
      <c r="T284" s="563"/>
      <c r="U284" s="563"/>
      <c r="V284" s="564"/>
      <c r="W284" s="37" t="s">
        <v>68</v>
      </c>
      <c r="X284" s="547">
        <f>IFERROR(SUM(X282:X282),"0")</f>
        <v>0</v>
      </c>
      <c r="Y284" s="547">
        <f>IFERROR(SUM(Y282:Y282),"0")</f>
        <v>0</v>
      </c>
      <c r="Z284" s="37"/>
      <c r="AA284" s="548"/>
      <c r="AB284" s="548"/>
      <c r="AC284" s="548"/>
    </row>
    <row r="285" spans="1:68" ht="16.5" customHeight="1" x14ac:dyDescent="0.25">
      <c r="A285" s="567" t="s">
        <v>442</v>
      </c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59"/>
      <c r="P285" s="559"/>
      <c r="Q285" s="559"/>
      <c r="R285" s="559"/>
      <c r="S285" s="559"/>
      <c r="T285" s="559"/>
      <c r="U285" s="559"/>
      <c r="V285" s="559"/>
      <c r="W285" s="559"/>
      <c r="X285" s="559"/>
      <c r="Y285" s="559"/>
      <c r="Z285" s="559"/>
      <c r="AA285" s="540"/>
      <c r="AB285" s="540"/>
      <c r="AC285" s="540"/>
    </row>
    <row r="286" spans="1:68" ht="14.25" customHeight="1" x14ac:dyDescent="0.25">
      <c r="A286" s="558" t="s">
        <v>98</v>
      </c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59"/>
      <c r="P286" s="559"/>
      <c r="Q286" s="559"/>
      <c r="R286" s="559"/>
      <c r="S286" s="559"/>
      <c r="T286" s="559"/>
      <c r="U286" s="559"/>
      <c r="V286" s="559"/>
      <c r="W286" s="559"/>
      <c r="X286" s="559"/>
      <c r="Y286" s="559"/>
      <c r="Z286" s="559"/>
      <c r="AA286" s="541"/>
      <c r="AB286" s="541"/>
      <c r="AC286" s="541"/>
    </row>
    <row r="287" spans="1:68" ht="27" customHeight="1" x14ac:dyDescent="0.25">
      <c r="A287" s="54" t="s">
        <v>443</v>
      </c>
      <c r="B287" s="54" t="s">
        <v>444</v>
      </c>
      <c r="C287" s="31">
        <v>4301012126</v>
      </c>
      <c r="D287" s="549">
        <v>4607091386004</v>
      </c>
      <c r="E287" s="550"/>
      <c r="F287" s="544">
        <v>1.35</v>
      </c>
      <c r="G287" s="32">
        <v>8</v>
      </c>
      <c r="H287" s="544">
        <v>10.8</v>
      </c>
      <c r="I287" s="544">
        <v>11.234999999999999</v>
      </c>
      <c r="J287" s="32">
        <v>64</v>
      </c>
      <c r="K287" s="32" t="s">
        <v>101</v>
      </c>
      <c r="L287" s="32"/>
      <c r="M287" s="33" t="s">
        <v>102</v>
      </c>
      <c r="N287" s="33"/>
      <c r="O287" s="32">
        <v>55</v>
      </c>
      <c r="P287" s="668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7" s="552"/>
      <c r="R287" s="552"/>
      <c r="S287" s="552"/>
      <c r="T287" s="553"/>
      <c r="U287" s="34"/>
      <c r="V287" s="34"/>
      <c r="W287" s="35" t="s">
        <v>68</v>
      </c>
      <c r="X287" s="545">
        <v>0</v>
      </c>
      <c r="Y287" s="546">
        <f t="shared" ref="Y287:Y292" si="27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 t="shared" ref="BM287:BM292" si="28">IFERROR(X287*I287/H287,"0")</f>
        <v>0</v>
      </c>
      <c r="BN287" s="64">
        <f t="shared" ref="BN287:BN292" si="29">IFERROR(Y287*I287/H287,"0")</f>
        <v>0</v>
      </c>
      <c r="BO287" s="64">
        <f t="shared" ref="BO287:BO292" si="30">IFERROR(1/J287*(X287/H287),"0")</f>
        <v>0</v>
      </c>
      <c r="BP287" s="64">
        <f t="shared" ref="BP287:BP292" si="31">IFERROR(1/J287*(Y287/H287),"0")</f>
        <v>0</v>
      </c>
    </row>
    <row r="288" spans="1:68" ht="27" customHeight="1" x14ac:dyDescent="0.25">
      <c r="A288" s="54" t="s">
        <v>446</v>
      </c>
      <c r="B288" s="54" t="s">
        <v>447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101</v>
      </c>
      <c r="L288" s="32"/>
      <c r="M288" s="33" t="s">
        <v>76</v>
      </c>
      <c r="N288" s="33"/>
      <c r="O288" s="32">
        <v>55</v>
      </c>
      <c r="P288" s="85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68</v>
      </c>
      <c r="X288" s="545">
        <v>0</v>
      </c>
      <c r="Y288" s="546">
        <f t="shared" si="27"/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 t="shared" si="28"/>
        <v>0</v>
      </c>
      <c r="BN288" s="64">
        <f t="shared" si="29"/>
        <v>0</v>
      </c>
      <c r="BO288" s="64">
        <f t="shared" si="30"/>
        <v>0</v>
      </c>
      <c r="BP288" s="64">
        <f t="shared" si="31"/>
        <v>0</v>
      </c>
    </row>
    <row r="289" spans="1:68" ht="37.5" customHeight="1" x14ac:dyDescent="0.25">
      <c r="A289" s="54" t="s">
        <v>449</v>
      </c>
      <c r="B289" s="54" t="s">
        <v>450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101</v>
      </c>
      <c r="L289" s="32"/>
      <c r="M289" s="33" t="s">
        <v>102</v>
      </c>
      <c r="N289" s="33"/>
      <c r="O289" s="32">
        <v>55</v>
      </c>
      <c r="P289" s="69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5">
        <v>0</v>
      </c>
      <c r="Y289" s="546">
        <f t="shared" si="27"/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si="28"/>
        <v>0</v>
      </c>
      <c r="BN289" s="64">
        <f t="shared" si="29"/>
        <v>0</v>
      </c>
      <c r="BO289" s="64">
        <f t="shared" si="30"/>
        <v>0</v>
      </c>
      <c r="BP289" s="64">
        <f t="shared" si="31"/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101</v>
      </c>
      <c r="L290" s="32"/>
      <c r="M290" s="33" t="s">
        <v>76</v>
      </c>
      <c r="N290" s="33"/>
      <c r="O290" s="32">
        <v>55</v>
      </c>
      <c r="P290" s="5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5">
        <v>0</v>
      </c>
      <c r="Y290" s="546">
        <f t="shared" si="2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28"/>
        <v>0</v>
      </c>
      <c r="BN290" s="64">
        <f t="shared" si="29"/>
        <v>0</v>
      </c>
      <c r="BO290" s="64">
        <f t="shared" si="30"/>
        <v>0</v>
      </c>
      <c r="BP290" s="64">
        <f t="shared" si="31"/>
        <v>0</v>
      </c>
    </row>
    <row r="291" spans="1:68" ht="27" customHeight="1" x14ac:dyDescent="0.25">
      <c r="A291" s="54" t="s">
        <v>455</v>
      </c>
      <c r="B291" s="54" t="s">
        <v>456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5">
        <v>0</v>
      </c>
      <c r="Y291" s="546">
        <f t="shared" si="27"/>
        <v>0</v>
      </c>
      <c r="Z291" s="36" t="str">
        <f>IFERROR(IF(Y291=0,"",ROUNDUP(Y291/H291,0)*0.00902),"")</f>
        <v/>
      </c>
      <c r="AA291" s="56"/>
      <c r="AB291" s="57"/>
      <c r="AC291" s="333" t="s">
        <v>448</v>
      </c>
      <c r="AG291" s="64"/>
      <c r="AJ291" s="68"/>
      <c r="AK291" s="68">
        <v>0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106</v>
      </c>
      <c r="L292" s="32"/>
      <c r="M292" s="33" t="s">
        <v>102</v>
      </c>
      <c r="N292" s="33"/>
      <c r="O292" s="32">
        <v>55</v>
      </c>
      <c r="P292" s="8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68</v>
      </c>
      <c r="X292" s="545">
        <v>0</v>
      </c>
      <c r="Y292" s="546">
        <f t="shared" si="27"/>
        <v>0</v>
      </c>
      <c r="Z292" s="36" t="str">
        <f>IFERROR(IF(Y292=0,"",ROUNDUP(Y292/H292,0)*0.00902),"")</f>
        <v/>
      </c>
      <c r="AA292" s="56"/>
      <c r="AB292" s="57"/>
      <c r="AC292" s="335" t="s">
        <v>459</v>
      </c>
      <c r="AG292" s="64"/>
      <c r="AJ292" s="68"/>
      <c r="AK292" s="68">
        <v>0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x14ac:dyDescent="0.2">
      <c r="A293" s="572"/>
      <c r="B293" s="559"/>
      <c r="C293" s="559"/>
      <c r="D293" s="559"/>
      <c r="E293" s="559"/>
      <c r="F293" s="559"/>
      <c r="G293" s="559"/>
      <c r="H293" s="559"/>
      <c r="I293" s="559"/>
      <c r="J293" s="559"/>
      <c r="K293" s="559"/>
      <c r="L293" s="559"/>
      <c r="M293" s="559"/>
      <c r="N293" s="559"/>
      <c r="O293" s="573"/>
      <c r="P293" s="562" t="s">
        <v>70</v>
      </c>
      <c r="Q293" s="563"/>
      <c r="R293" s="563"/>
      <c r="S293" s="563"/>
      <c r="T293" s="563"/>
      <c r="U293" s="563"/>
      <c r="V293" s="564"/>
      <c r="W293" s="37" t="s">
        <v>71</v>
      </c>
      <c r="X293" s="547">
        <f>IFERROR(X287/H287,"0")+IFERROR(X288/H288,"0")+IFERROR(X289/H289,"0")+IFERROR(X290/H290,"0")+IFERROR(X291/H291,"0")+IFERROR(X292/H292,"0")</f>
        <v>0</v>
      </c>
      <c r="Y293" s="547">
        <f>IFERROR(Y287/H287,"0")+IFERROR(Y288/H288,"0")+IFERROR(Y289/H289,"0")+IFERROR(Y290/H290,"0")+IFERROR(Y291/H291,"0")+IFERROR(Y292/H292,"0")</f>
        <v>0</v>
      </c>
      <c r="Z293" s="547">
        <f>IFERROR(IF(Z287="",0,Z287),"0")+IFERROR(IF(Z288="",0,Z288),"0")+IFERROR(IF(Z289="",0,Z289),"0")+IFERROR(IF(Z290="",0,Z290),"0")+IFERROR(IF(Z291="",0,Z291),"0")+IFERROR(IF(Z292="",0,Z292),"0")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x14ac:dyDescent="0.2">
      <c r="A294" s="559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73"/>
      <c r="P294" s="562" t="s">
        <v>70</v>
      </c>
      <c r="Q294" s="563"/>
      <c r="R294" s="563"/>
      <c r="S294" s="563"/>
      <c r="T294" s="563"/>
      <c r="U294" s="563"/>
      <c r="V294" s="564"/>
      <c r="W294" s="37" t="s">
        <v>68</v>
      </c>
      <c r="X294" s="547">
        <f>IFERROR(SUM(X287:X292),"0")</f>
        <v>0</v>
      </c>
      <c r="Y294" s="547">
        <f>IFERROR(SUM(Y287:Y292),"0")</f>
        <v>0</v>
      </c>
      <c r="Z294" s="37"/>
      <c r="AA294" s="548"/>
      <c r="AB294" s="548"/>
      <c r="AC294" s="548"/>
    </row>
    <row r="295" spans="1:68" ht="14.25" customHeight="1" x14ac:dyDescent="0.25">
      <c r="A295" s="558" t="s">
        <v>63</v>
      </c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59"/>
      <c r="P295" s="559"/>
      <c r="Q295" s="559"/>
      <c r="R295" s="559"/>
      <c r="S295" s="559"/>
      <c r="T295" s="559"/>
      <c r="U295" s="559"/>
      <c r="V295" s="559"/>
      <c r="W295" s="559"/>
      <c r="X295" s="559"/>
      <c r="Y295" s="559"/>
      <c r="Z295" s="559"/>
      <c r="AA295" s="541"/>
      <c r="AB295" s="541"/>
      <c r="AC295" s="541"/>
    </row>
    <row r="296" spans="1:68" ht="27" customHeight="1" x14ac:dyDescent="0.25">
      <c r="A296" s="54" t="s">
        <v>460</v>
      </c>
      <c r="B296" s="54" t="s">
        <v>461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35</v>
      </c>
      <c r="P296" s="7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68</v>
      </c>
      <c r="X296" s="545">
        <v>0</v>
      </c>
      <c r="Y296" s="546">
        <f t="shared" ref="Y296:Y302" si="32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ref="BM296:BM302" si="33">IFERROR(X296*I296/H296,"0")</f>
        <v>0</v>
      </c>
      <c r="BN296" s="64">
        <f t="shared" ref="BN296:BN302" si="34">IFERROR(Y296*I296/H296,"0")</f>
        <v>0</v>
      </c>
      <c r="BO296" s="64">
        <f t="shared" ref="BO296:BO302" si="35">IFERROR(1/J296*(X296/H296),"0")</f>
        <v>0</v>
      </c>
      <c r="BP296" s="64">
        <f t="shared" ref="BP296:BP302" si="36">IFERROR(1/J296*(Y296/H296),"0")</f>
        <v>0</v>
      </c>
    </row>
    <row r="297" spans="1:68" ht="27" customHeight="1" x14ac:dyDescent="0.25">
      <c r="A297" s="54" t="s">
        <v>463</v>
      </c>
      <c r="B297" s="54" t="s">
        <v>464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40</v>
      </c>
      <c r="P297" s="8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5">
        <v>0</v>
      </c>
      <c r="Y297" s="546">
        <f t="shared" si="32"/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33"/>
        <v>0</v>
      </c>
      <c r="BN297" s="64">
        <f t="shared" si="34"/>
        <v>0</v>
      </c>
      <c r="BO297" s="64">
        <f t="shared" si="35"/>
        <v>0</v>
      </c>
      <c r="BP297" s="64">
        <f t="shared" si="36"/>
        <v>0</v>
      </c>
    </row>
    <row r="298" spans="1:68" ht="27" customHeight="1" x14ac:dyDescent="0.25">
      <c r="A298" s="54" t="s">
        <v>466</v>
      </c>
      <c r="B298" s="54" t="s">
        <v>467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106</v>
      </c>
      <c r="L298" s="32"/>
      <c r="M298" s="33" t="s">
        <v>67</v>
      </c>
      <c r="N298" s="33"/>
      <c r="O298" s="32">
        <v>45</v>
      </c>
      <c r="P298" s="82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5">
        <v>0</v>
      </c>
      <c r="Y298" s="546">
        <f t="shared" si="32"/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si="33"/>
        <v>0</v>
      </c>
      <c r="BN298" s="64">
        <f t="shared" si="34"/>
        <v>0</v>
      </c>
      <c r="BO298" s="64">
        <f t="shared" si="35"/>
        <v>0</v>
      </c>
      <c r="BP298" s="64">
        <f t="shared" si="36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5">
        <v>0</v>
      </c>
      <c r="Y299" s="546">
        <f t="shared" si="32"/>
        <v>0</v>
      </c>
      <c r="Z299" s="36" t="str">
        <f>IFERROR(IF(Y299=0,"",ROUNDUP(Y299/H299,0)*0.00502),"")</f>
        <v/>
      </c>
      <c r="AA299" s="56"/>
      <c r="AB299" s="57"/>
      <c r="AC299" s="343" t="s">
        <v>465</v>
      </c>
      <c r="AG299" s="64"/>
      <c r="AJ299" s="68"/>
      <c r="AK299" s="68">
        <v>0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68</v>
      </c>
      <c r="X300" s="545">
        <v>0</v>
      </c>
      <c r="Y300" s="546">
        <f t="shared" si="32"/>
        <v>0</v>
      </c>
      <c r="Z300" s="36" t="str">
        <f>IFERROR(IF(Y300=0,"",ROUNDUP(Y300/H300,0)*0.00502),"")</f>
        <v/>
      </c>
      <c r="AA300" s="56"/>
      <c r="AB300" s="57"/>
      <c r="AC300" s="345" t="s">
        <v>473</v>
      </c>
      <c r="AG300" s="64"/>
      <c r="AJ300" s="68"/>
      <c r="AK300" s="68">
        <v>0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customHeight="1" x14ac:dyDescent="0.25">
      <c r="A301" s="54" t="s">
        <v>474</v>
      </c>
      <c r="B301" s="54" t="s">
        <v>475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68</v>
      </c>
      <c r="X301" s="545">
        <v>0</v>
      </c>
      <c r="Y301" s="546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customHeight="1" x14ac:dyDescent="0.25">
      <c r="A302" s="54" t="s">
        <v>476</v>
      </c>
      <c r="B302" s="54" t="s">
        <v>477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68</v>
      </c>
      <c r="X302" s="545">
        <v>0</v>
      </c>
      <c r="Y302" s="546">
        <f t="shared" si="32"/>
        <v>0</v>
      </c>
      <c r="Z302" s="36" t="str">
        <f>IFERROR(IF(Y302=0,"",ROUNDUP(Y302/H302,0)*0.00651),"")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x14ac:dyDescent="0.2">
      <c r="A303" s="572"/>
      <c r="B303" s="559"/>
      <c r="C303" s="559"/>
      <c r="D303" s="559"/>
      <c r="E303" s="559"/>
      <c r="F303" s="559"/>
      <c r="G303" s="559"/>
      <c r="H303" s="559"/>
      <c r="I303" s="559"/>
      <c r="J303" s="559"/>
      <c r="K303" s="559"/>
      <c r="L303" s="559"/>
      <c r="M303" s="559"/>
      <c r="N303" s="559"/>
      <c r="O303" s="573"/>
      <c r="P303" s="562" t="s">
        <v>70</v>
      </c>
      <c r="Q303" s="563"/>
      <c r="R303" s="563"/>
      <c r="S303" s="563"/>
      <c r="T303" s="563"/>
      <c r="U303" s="563"/>
      <c r="V303" s="564"/>
      <c r="W303" s="37" t="s">
        <v>71</v>
      </c>
      <c r="X303" s="547">
        <f>IFERROR(X296/H296,"0")+IFERROR(X297/H297,"0")+IFERROR(X298/H298,"0")+IFERROR(X299/H299,"0")+IFERROR(X300/H300,"0")+IFERROR(X301/H301,"0")+IFERROR(X302/H302,"0")</f>
        <v>0</v>
      </c>
      <c r="Y303" s="547">
        <f>IFERROR(Y296/H296,"0")+IFERROR(Y297/H297,"0")+IFERROR(Y298/H298,"0")+IFERROR(Y299/H299,"0")+IFERROR(Y300/H300,"0")+IFERROR(Y301/H301,"0")+IFERROR(Y302/H302,"0")</f>
        <v>0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8"/>
      <c r="AB303" s="548"/>
      <c r="AC303" s="548"/>
    </row>
    <row r="304" spans="1:68" x14ac:dyDescent="0.2">
      <c r="A304" s="559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73"/>
      <c r="P304" s="562" t="s">
        <v>70</v>
      </c>
      <c r="Q304" s="563"/>
      <c r="R304" s="563"/>
      <c r="S304" s="563"/>
      <c r="T304" s="563"/>
      <c r="U304" s="563"/>
      <c r="V304" s="564"/>
      <c r="W304" s="37" t="s">
        <v>68</v>
      </c>
      <c r="X304" s="547">
        <f>IFERROR(SUM(X296:X302),"0")</f>
        <v>0</v>
      </c>
      <c r="Y304" s="547">
        <f>IFERROR(SUM(Y296:Y302),"0")</f>
        <v>0</v>
      </c>
      <c r="Z304" s="37"/>
      <c r="AA304" s="548"/>
      <c r="AB304" s="548"/>
      <c r="AC304" s="548"/>
    </row>
    <row r="305" spans="1:68" ht="14.25" customHeight="1" x14ac:dyDescent="0.25">
      <c r="A305" s="558" t="s">
        <v>72</v>
      </c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59"/>
      <c r="P305" s="559"/>
      <c r="Q305" s="559"/>
      <c r="R305" s="559"/>
      <c r="S305" s="559"/>
      <c r="T305" s="559"/>
      <c r="U305" s="559"/>
      <c r="V305" s="559"/>
      <c r="W305" s="559"/>
      <c r="X305" s="559"/>
      <c r="Y305" s="559"/>
      <c r="Z305" s="559"/>
      <c r="AA305" s="541"/>
      <c r="AB305" s="541"/>
      <c r="AC305" s="541"/>
    </row>
    <row r="306" spans="1:68" ht="27" customHeight="1" x14ac:dyDescent="0.25">
      <c r="A306" s="54" t="s">
        <v>479</v>
      </c>
      <c r="B306" s="54" t="s">
        <v>480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68</v>
      </c>
      <c r="X306" s="545">
        <v>100</v>
      </c>
      <c r="Y306" s="546">
        <f>IFERROR(IF(X306="",0,CEILING((X306/$H306),1)*$H306),"")</f>
        <v>101.39999999999999</v>
      </c>
      <c r="Z306" s="36">
        <f>IFERROR(IF(Y306=0,"",ROUNDUP(Y306/H306,0)*0.01898),"")</f>
        <v>0.24674000000000001</v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106.57692307692309</v>
      </c>
      <c r="BN306" s="64">
        <f>IFERROR(Y306*I306/H306,"0")</f>
        <v>108.06899999999999</v>
      </c>
      <c r="BO306" s="64">
        <f>IFERROR(1/J306*(X306/H306),"0")</f>
        <v>0.20032051282051283</v>
      </c>
      <c r="BP306" s="64">
        <f>IFERROR(1/J306*(Y306/H306),"0")</f>
        <v>0.203125</v>
      </c>
    </row>
    <row r="307" spans="1:68" ht="27" customHeight="1" x14ac:dyDescent="0.25">
      <c r="A307" s="54" t="s">
        <v>482</v>
      </c>
      <c r="B307" s="54" t="s">
        <v>483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68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485</v>
      </c>
      <c r="B308" s="54" t="s">
        <v>486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101</v>
      </c>
      <c r="L308" s="32"/>
      <c r="M308" s="33" t="s">
        <v>76</v>
      </c>
      <c r="N308" s="33"/>
      <c r="O308" s="32">
        <v>40</v>
      </c>
      <c r="P308" s="7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68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68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491</v>
      </c>
      <c r="B310" s="54" t="s">
        <v>492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75</v>
      </c>
      <c r="L310" s="32"/>
      <c r="M310" s="33" t="s">
        <v>83</v>
      </c>
      <c r="N310" s="33"/>
      <c r="O310" s="32">
        <v>40</v>
      </c>
      <c r="P310" s="7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68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2"/>
      <c r="B311" s="559"/>
      <c r="C311" s="559"/>
      <c r="D311" s="559"/>
      <c r="E311" s="559"/>
      <c r="F311" s="559"/>
      <c r="G311" s="559"/>
      <c r="H311" s="559"/>
      <c r="I311" s="559"/>
      <c r="J311" s="559"/>
      <c r="K311" s="559"/>
      <c r="L311" s="559"/>
      <c r="M311" s="559"/>
      <c r="N311" s="559"/>
      <c r="O311" s="573"/>
      <c r="P311" s="562" t="s">
        <v>70</v>
      </c>
      <c r="Q311" s="563"/>
      <c r="R311" s="563"/>
      <c r="S311" s="563"/>
      <c r="T311" s="563"/>
      <c r="U311" s="563"/>
      <c r="V311" s="564"/>
      <c r="W311" s="37" t="s">
        <v>71</v>
      </c>
      <c r="X311" s="547">
        <f>IFERROR(X306/H306,"0")+IFERROR(X307/H307,"0")+IFERROR(X308/H308,"0")+IFERROR(X309/H309,"0")+IFERROR(X310/H310,"0")</f>
        <v>12.820512820512821</v>
      </c>
      <c r="Y311" s="547">
        <f>IFERROR(Y306/H306,"0")+IFERROR(Y307/H307,"0")+IFERROR(Y308/H308,"0")+IFERROR(Y309/H309,"0")+IFERROR(Y310/H310,"0")</f>
        <v>13</v>
      </c>
      <c r="Z311" s="547">
        <f>IFERROR(IF(Z306="",0,Z306),"0")+IFERROR(IF(Z307="",0,Z307),"0")+IFERROR(IF(Z308="",0,Z308),"0")+IFERROR(IF(Z309="",0,Z309),"0")+IFERROR(IF(Z310="",0,Z310),"0")</f>
        <v>0.24674000000000001</v>
      </c>
      <c r="AA311" s="548"/>
      <c r="AB311" s="548"/>
      <c r="AC311" s="548"/>
    </row>
    <row r="312" spans="1:68" x14ac:dyDescent="0.2">
      <c r="A312" s="559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73"/>
      <c r="P312" s="562" t="s">
        <v>70</v>
      </c>
      <c r="Q312" s="563"/>
      <c r="R312" s="563"/>
      <c r="S312" s="563"/>
      <c r="T312" s="563"/>
      <c r="U312" s="563"/>
      <c r="V312" s="564"/>
      <c r="W312" s="37" t="s">
        <v>68</v>
      </c>
      <c r="X312" s="547">
        <f>IFERROR(SUM(X306:X310),"0")</f>
        <v>100</v>
      </c>
      <c r="Y312" s="547">
        <f>IFERROR(SUM(Y306:Y310),"0")</f>
        <v>101.39999999999999</v>
      </c>
      <c r="Z312" s="37"/>
      <c r="AA312" s="548"/>
      <c r="AB312" s="548"/>
      <c r="AC312" s="548"/>
    </row>
    <row r="313" spans="1:68" ht="14.25" customHeight="1" x14ac:dyDescent="0.25">
      <c r="A313" s="558" t="s">
        <v>160</v>
      </c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59"/>
      <c r="P313" s="559"/>
      <c r="Q313" s="559"/>
      <c r="R313" s="559"/>
      <c r="S313" s="559"/>
      <c r="T313" s="559"/>
      <c r="U313" s="559"/>
      <c r="V313" s="559"/>
      <c r="W313" s="559"/>
      <c r="X313" s="559"/>
      <c r="Y313" s="559"/>
      <c r="Z313" s="559"/>
      <c r="AA313" s="541"/>
      <c r="AB313" s="541"/>
      <c r="AC313" s="541"/>
    </row>
    <row r="314" spans="1:68" ht="27" customHeight="1" x14ac:dyDescent="0.25">
      <c r="A314" s="54" t="s">
        <v>494</v>
      </c>
      <c r="B314" s="54" t="s">
        <v>495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7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68</v>
      </c>
      <c r="X314" s="545">
        <v>0</v>
      </c>
      <c r="Y314" s="54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101</v>
      </c>
      <c r="L315" s="32"/>
      <c r="M315" s="33" t="s">
        <v>76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5">
        <v>200</v>
      </c>
      <c r="Y315" s="546">
        <f>IFERROR(IF(X315="",0,CEILING((X315/$H315),1)*$H315),"")</f>
        <v>202.79999999999998</v>
      </c>
      <c r="Z315" s="36">
        <f>IFERROR(IF(Y315=0,"",ROUNDUP(Y315/H315,0)*0.01898),"")</f>
        <v>0.49348000000000003</v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213.30769230769235</v>
      </c>
      <c r="BN315" s="64">
        <f>IFERROR(Y315*I315/H315,"0")</f>
        <v>216.29400000000001</v>
      </c>
      <c r="BO315" s="64">
        <f>IFERROR(1/J315*(X315/H315),"0")</f>
        <v>0.40064102564102566</v>
      </c>
      <c r="BP315" s="64">
        <f>IFERROR(1/J315*(Y315/H315),"0")</f>
        <v>0.40625</v>
      </c>
    </row>
    <row r="316" spans="1:68" ht="16.5" customHeight="1" x14ac:dyDescent="0.25">
      <c r="A316" s="54" t="s">
        <v>500</v>
      </c>
      <c r="B316" s="54" t="s">
        <v>501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101</v>
      </c>
      <c r="L316" s="32"/>
      <c r="M316" s="33" t="s">
        <v>83</v>
      </c>
      <c r="N316" s="33"/>
      <c r="O316" s="32">
        <v>30</v>
      </c>
      <c r="P316" s="60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68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72"/>
      <c r="B317" s="559"/>
      <c r="C317" s="559"/>
      <c r="D317" s="559"/>
      <c r="E317" s="559"/>
      <c r="F317" s="559"/>
      <c r="G317" s="559"/>
      <c r="H317" s="559"/>
      <c r="I317" s="559"/>
      <c r="J317" s="559"/>
      <c r="K317" s="559"/>
      <c r="L317" s="559"/>
      <c r="M317" s="559"/>
      <c r="N317" s="559"/>
      <c r="O317" s="573"/>
      <c r="P317" s="562" t="s">
        <v>70</v>
      </c>
      <c r="Q317" s="563"/>
      <c r="R317" s="563"/>
      <c r="S317" s="563"/>
      <c r="T317" s="563"/>
      <c r="U317" s="563"/>
      <c r="V317" s="564"/>
      <c r="W317" s="37" t="s">
        <v>71</v>
      </c>
      <c r="X317" s="547">
        <f>IFERROR(X314/H314,"0")+IFERROR(X315/H315,"0")+IFERROR(X316/H316,"0")</f>
        <v>25.641025641025642</v>
      </c>
      <c r="Y317" s="547">
        <f>IFERROR(Y314/H314,"0")+IFERROR(Y315/H315,"0")+IFERROR(Y316/H316,"0")</f>
        <v>26</v>
      </c>
      <c r="Z317" s="547">
        <f>IFERROR(IF(Z314="",0,Z314),"0")+IFERROR(IF(Z315="",0,Z315),"0")+IFERROR(IF(Z316="",0,Z316),"0")</f>
        <v>0.49348000000000003</v>
      </c>
      <c r="AA317" s="548"/>
      <c r="AB317" s="548"/>
      <c r="AC317" s="548"/>
    </row>
    <row r="318" spans="1:68" x14ac:dyDescent="0.2">
      <c r="A318" s="559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73"/>
      <c r="P318" s="562" t="s">
        <v>70</v>
      </c>
      <c r="Q318" s="563"/>
      <c r="R318" s="563"/>
      <c r="S318" s="563"/>
      <c r="T318" s="563"/>
      <c r="U318" s="563"/>
      <c r="V318" s="564"/>
      <c r="W318" s="37" t="s">
        <v>68</v>
      </c>
      <c r="X318" s="547">
        <f>IFERROR(SUM(X314:X316),"0")</f>
        <v>200</v>
      </c>
      <c r="Y318" s="547">
        <f>IFERROR(SUM(Y314:Y316),"0")</f>
        <v>202.79999999999998</v>
      </c>
      <c r="Z318" s="37"/>
      <c r="AA318" s="548"/>
      <c r="AB318" s="548"/>
      <c r="AC318" s="548"/>
    </row>
    <row r="319" spans="1:68" ht="14.25" customHeight="1" x14ac:dyDescent="0.25">
      <c r="A319" s="558" t="s">
        <v>90</v>
      </c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59"/>
      <c r="P319" s="559"/>
      <c r="Q319" s="559"/>
      <c r="R319" s="559"/>
      <c r="S319" s="559"/>
      <c r="T319" s="559"/>
      <c r="U319" s="559"/>
      <c r="V319" s="559"/>
      <c r="W319" s="559"/>
      <c r="X319" s="559"/>
      <c r="Y319" s="559"/>
      <c r="Z319" s="559"/>
      <c r="AA319" s="541"/>
      <c r="AB319" s="541"/>
      <c r="AC319" s="541"/>
    </row>
    <row r="320" spans="1:68" ht="27" customHeight="1" x14ac:dyDescent="0.25">
      <c r="A320" s="54" t="s">
        <v>503</v>
      </c>
      <c r="B320" s="54" t="s">
        <v>504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75" t="s">
        <v>505</v>
      </c>
      <c r="Q320" s="552"/>
      <c r="R320" s="552"/>
      <c r="S320" s="552"/>
      <c r="T320" s="553"/>
      <c r="U320" s="34"/>
      <c r="V320" s="34"/>
      <c r="W320" s="35" t="s">
        <v>68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506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507</v>
      </c>
      <c r="B321" s="54" t="s">
        <v>508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106</v>
      </c>
      <c r="L321" s="32"/>
      <c r="M321" s="33" t="s">
        <v>93</v>
      </c>
      <c r="N321" s="33"/>
      <c r="O321" s="32">
        <v>180</v>
      </c>
      <c r="P321" s="802" t="s">
        <v>509</v>
      </c>
      <c r="Q321" s="552"/>
      <c r="R321" s="552"/>
      <c r="S321" s="552"/>
      <c r="T321" s="553"/>
      <c r="U321" s="34"/>
      <c r="V321" s="34"/>
      <c r="W321" s="35" t="s">
        <v>68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510</v>
      </c>
      <c r="B322" s="54" t="s">
        <v>511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68</v>
      </c>
      <c r="X322" s="545">
        <v>17</v>
      </c>
      <c r="Y322" s="546">
        <f>IFERROR(IF(X322="",0,CEILING((X322/$H322),1)*$H322),"")</f>
        <v>17.849999999999998</v>
      </c>
      <c r="Z322" s="36">
        <f>IFERROR(IF(Y322=0,"",ROUNDUP(Y322/H322,0)*0.00651),"")</f>
        <v>4.5569999999999999E-2</v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19.700000000000003</v>
      </c>
      <c r="BN322" s="64">
        <f>IFERROR(Y322*I322/H322,"0")</f>
        <v>20.684999999999999</v>
      </c>
      <c r="BO322" s="64">
        <f>IFERROR(1/J322*(X322/H322),"0")</f>
        <v>3.6630036630036632E-2</v>
      </c>
      <c r="BP322" s="64">
        <f>IFERROR(1/J322*(Y322/H322),"0")</f>
        <v>3.8461538461538464E-2</v>
      </c>
    </row>
    <row r="323" spans="1:68" ht="27" customHeight="1" x14ac:dyDescent="0.25">
      <c r="A323" s="54" t="s">
        <v>513</v>
      </c>
      <c r="B323" s="54" t="s">
        <v>514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75</v>
      </c>
      <c r="L323" s="32"/>
      <c r="M323" s="33" t="s">
        <v>93</v>
      </c>
      <c r="N323" s="33"/>
      <c r="O323" s="32">
        <v>180</v>
      </c>
      <c r="P323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68</v>
      </c>
      <c r="X323" s="545">
        <v>34</v>
      </c>
      <c r="Y323" s="546">
        <f>IFERROR(IF(X323="",0,CEILING((X323/$H323),1)*$H323),"")</f>
        <v>35.699999999999996</v>
      </c>
      <c r="Z323" s="36">
        <f>IFERROR(IF(Y323=0,"",ROUNDUP(Y323/H323,0)*0.00651),"")</f>
        <v>9.1139999999999999E-2</v>
      </c>
      <c r="AA323" s="56"/>
      <c r="AB323" s="57"/>
      <c r="AC323" s="373" t="s">
        <v>506</v>
      </c>
      <c r="AG323" s="64"/>
      <c r="AJ323" s="68"/>
      <c r="AK323" s="68">
        <v>0</v>
      </c>
      <c r="BB323" s="374" t="s">
        <v>1</v>
      </c>
      <c r="BM323" s="64">
        <f>IFERROR(X323*I323/H323,"0")</f>
        <v>38.400000000000006</v>
      </c>
      <c r="BN323" s="64">
        <f>IFERROR(Y323*I323/H323,"0")</f>
        <v>40.32</v>
      </c>
      <c r="BO323" s="64">
        <f>IFERROR(1/J323*(X323/H323),"0")</f>
        <v>7.3260073260073263E-2</v>
      </c>
      <c r="BP323" s="64">
        <f>IFERROR(1/J323*(Y323/H323),"0")</f>
        <v>7.6923076923076927E-2</v>
      </c>
    </row>
    <row r="324" spans="1:68" x14ac:dyDescent="0.2">
      <c r="A324" s="572"/>
      <c r="B324" s="559"/>
      <c r="C324" s="559"/>
      <c r="D324" s="559"/>
      <c r="E324" s="559"/>
      <c r="F324" s="559"/>
      <c r="G324" s="559"/>
      <c r="H324" s="559"/>
      <c r="I324" s="559"/>
      <c r="J324" s="559"/>
      <c r="K324" s="559"/>
      <c r="L324" s="559"/>
      <c r="M324" s="559"/>
      <c r="N324" s="559"/>
      <c r="O324" s="573"/>
      <c r="P324" s="562" t="s">
        <v>70</v>
      </c>
      <c r="Q324" s="563"/>
      <c r="R324" s="563"/>
      <c r="S324" s="563"/>
      <c r="T324" s="563"/>
      <c r="U324" s="563"/>
      <c r="V324" s="564"/>
      <c r="W324" s="37" t="s">
        <v>71</v>
      </c>
      <c r="X324" s="547">
        <f>IFERROR(X320/H320,"0")+IFERROR(X321/H321,"0")+IFERROR(X322/H322,"0")+IFERROR(X323/H323,"0")</f>
        <v>20</v>
      </c>
      <c r="Y324" s="547">
        <f>IFERROR(Y320/H320,"0")+IFERROR(Y321/H321,"0")+IFERROR(Y322/H322,"0")+IFERROR(Y323/H323,"0")</f>
        <v>21</v>
      </c>
      <c r="Z324" s="547">
        <f>IFERROR(IF(Z320="",0,Z320),"0")+IFERROR(IF(Z321="",0,Z321),"0")+IFERROR(IF(Z322="",0,Z322),"0")+IFERROR(IF(Z323="",0,Z323),"0")</f>
        <v>0.13671</v>
      </c>
      <c r="AA324" s="548"/>
      <c r="AB324" s="548"/>
      <c r="AC324" s="548"/>
    </row>
    <row r="325" spans="1:68" x14ac:dyDescent="0.2">
      <c r="A325" s="559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73"/>
      <c r="P325" s="562" t="s">
        <v>70</v>
      </c>
      <c r="Q325" s="563"/>
      <c r="R325" s="563"/>
      <c r="S325" s="563"/>
      <c r="T325" s="563"/>
      <c r="U325" s="563"/>
      <c r="V325" s="564"/>
      <c r="W325" s="37" t="s">
        <v>68</v>
      </c>
      <c r="X325" s="547">
        <f>IFERROR(SUM(X320:X323),"0")</f>
        <v>51</v>
      </c>
      <c r="Y325" s="547">
        <f>IFERROR(SUM(Y320:Y323),"0")</f>
        <v>53.55</v>
      </c>
      <c r="Z325" s="37"/>
      <c r="AA325" s="548"/>
      <c r="AB325" s="548"/>
      <c r="AC325" s="548"/>
    </row>
    <row r="326" spans="1:68" ht="14.25" customHeight="1" x14ac:dyDescent="0.25">
      <c r="A326" s="558" t="s">
        <v>515</v>
      </c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59"/>
      <c r="P326" s="559"/>
      <c r="Q326" s="559"/>
      <c r="R326" s="559"/>
      <c r="S326" s="559"/>
      <c r="T326" s="559"/>
      <c r="U326" s="559"/>
      <c r="V326" s="559"/>
      <c r="W326" s="559"/>
      <c r="X326" s="559"/>
      <c r="Y326" s="559"/>
      <c r="Z326" s="559"/>
      <c r="AA326" s="541"/>
      <c r="AB326" s="541"/>
      <c r="AC326" s="541"/>
    </row>
    <row r="327" spans="1:68" ht="16.5" customHeight="1" x14ac:dyDescent="0.25">
      <c r="A327" s="54" t="s">
        <v>516</v>
      </c>
      <c r="B327" s="54" t="s">
        <v>517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75</v>
      </c>
      <c r="L327" s="32"/>
      <c r="M327" s="33" t="s">
        <v>518</v>
      </c>
      <c r="N327" s="33"/>
      <c r="O327" s="32">
        <v>730</v>
      </c>
      <c r="P327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68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519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520</v>
      </c>
      <c r="B328" s="54" t="s">
        <v>521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75</v>
      </c>
      <c r="L328" s="32"/>
      <c r="M328" s="33" t="s">
        <v>518</v>
      </c>
      <c r="N328" s="33"/>
      <c r="O328" s="32">
        <v>730</v>
      </c>
      <c r="P328" s="5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68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522</v>
      </c>
      <c r="B329" s="54" t="s">
        <v>523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75</v>
      </c>
      <c r="L329" s="32"/>
      <c r="M329" s="33" t="s">
        <v>518</v>
      </c>
      <c r="N329" s="33"/>
      <c r="O329" s="32">
        <v>730</v>
      </c>
      <c r="P329" s="6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68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519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2"/>
      <c r="B330" s="559"/>
      <c r="C330" s="559"/>
      <c r="D330" s="559"/>
      <c r="E330" s="559"/>
      <c r="F330" s="559"/>
      <c r="G330" s="559"/>
      <c r="H330" s="559"/>
      <c r="I330" s="559"/>
      <c r="J330" s="559"/>
      <c r="K330" s="559"/>
      <c r="L330" s="559"/>
      <c r="M330" s="559"/>
      <c r="N330" s="559"/>
      <c r="O330" s="573"/>
      <c r="P330" s="562" t="s">
        <v>70</v>
      </c>
      <c r="Q330" s="563"/>
      <c r="R330" s="563"/>
      <c r="S330" s="563"/>
      <c r="T330" s="563"/>
      <c r="U330" s="563"/>
      <c r="V330" s="564"/>
      <c r="W330" s="37" t="s">
        <v>71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x14ac:dyDescent="0.2">
      <c r="A331" s="559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73"/>
      <c r="P331" s="562" t="s">
        <v>70</v>
      </c>
      <c r="Q331" s="563"/>
      <c r="R331" s="563"/>
      <c r="S331" s="563"/>
      <c r="T331" s="563"/>
      <c r="U331" s="563"/>
      <c r="V331" s="564"/>
      <c r="W331" s="37" t="s">
        <v>68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customHeight="1" x14ac:dyDescent="0.25">
      <c r="A332" s="567" t="s">
        <v>524</v>
      </c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59"/>
      <c r="P332" s="559"/>
      <c r="Q332" s="559"/>
      <c r="R332" s="559"/>
      <c r="S332" s="559"/>
      <c r="T332" s="559"/>
      <c r="U332" s="559"/>
      <c r="V332" s="559"/>
      <c r="W332" s="559"/>
      <c r="X332" s="559"/>
      <c r="Y332" s="559"/>
      <c r="Z332" s="559"/>
      <c r="AA332" s="540"/>
      <c r="AB332" s="540"/>
      <c r="AC332" s="540"/>
    </row>
    <row r="333" spans="1:68" ht="14.25" customHeight="1" x14ac:dyDescent="0.25">
      <c r="A333" s="558" t="s">
        <v>72</v>
      </c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  <c r="T333" s="559"/>
      <c r="U333" s="559"/>
      <c r="V333" s="559"/>
      <c r="W333" s="559"/>
      <c r="X333" s="559"/>
      <c r="Y333" s="559"/>
      <c r="Z333" s="559"/>
      <c r="AA333" s="541"/>
      <c r="AB333" s="541"/>
      <c r="AC333" s="541"/>
    </row>
    <row r="334" spans="1:68" ht="27" customHeight="1" x14ac:dyDescent="0.25">
      <c r="A334" s="54" t="s">
        <v>525</v>
      </c>
      <c r="B334" s="54" t="s">
        <v>526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101</v>
      </c>
      <c r="L334" s="32"/>
      <c r="M334" s="33" t="s">
        <v>83</v>
      </c>
      <c r="N334" s="33"/>
      <c r="O334" s="32">
        <v>45</v>
      </c>
      <c r="P334" s="6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68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528</v>
      </c>
      <c r="B335" s="54" t="s">
        <v>529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9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68</v>
      </c>
      <c r="X335" s="545">
        <v>294</v>
      </c>
      <c r="Y335" s="546">
        <f>IFERROR(IF(X335="",0,CEILING((X335/$H335),1)*$H335),"")</f>
        <v>294</v>
      </c>
      <c r="Z335" s="36">
        <f>IFERROR(IF(Y335=0,"",ROUNDUP(Y335/H335,0)*0.00651),"")</f>
        <v>0.91139999999999999</v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329.28</v>
      </c>
      <c r="BN335" s="64">
        <f>IFERROR(Y335*I335/H335,"0")</f>
        <v>329.28</v>
      </c>
      <c r="BO335" s="64">
        <f>IFERROR(1/J335*(X335/H335),"0")</f>
        <v>0.76923076923076927</v>
      </c>
      <c r="BP335" s="64">
        <f>IFERROR(1/J335*(Y335/H335),"0")</f>
        <v>0.76923076923076927</v>
      </c>
    </row>
    <row r="336" spans="1:68" ht="27" customHeight="1" x14ac:dyDescent="0.25">
      <c r="A336" s="54" t="s">
        <v>531</v>
      </c>
      <c r="B336" s="54" t="s">
        <v>532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75</v>
      </c>
      <c r="L336" s="32"/>
      <c r="M336" s="33" t="s">
        <v>83</v>
      </c>
      <c r="N336" s="33"/>
      <c r="O336" s="32">
        <v>40</v>
      </c>
      <c r="P336" s="81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68</v>
      </c>
      <c r="X336" s="545">
        <v>84</v>
      </c>
      <c r="Y336" s="546">
        <f>IFERROR(IF(X336="",0,CEILING((X336/$H336),1)*$H336),"")</f>
        <v>84</v>
      </c>
      <c r="Z336" s="36">
        <f>IFERROR(IF(Y336=0,"",ROUNDUP(Y336/H336,0)*0.00651),"")</f>
        <v>0.26040000000000002</v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93.6</v>
      </c>
      <c r="BN336" s="64">
        <f>IFERROR(Y336*I336/H336,"0")</f>
        <v>93.6</v>
      </c>
      <c r="BO336" s="64">
        <f>IFERROR(1/J336*(X336/H336),"0")</f>
        <v>0.2197802197802198</v>
      </c>
      <c r="BP336" s="64">
        <f>IFERROR(1/J336*(Y336/H336),"0")</f>
        <v>0.2197802197802198</v>
      </c>
    </row>
    <row r="337" spans="1:68" x14ac:dyDescent="0.2">
      <c r="A337" s="572"/>
      <c r="B337" s="559"/>
      <c r="C337" s="559"/>
      <c r="D337" s="559"/>
      <c r="E337" s="559"/>
      <c r="F337" s="559"/>
      <c r="G337" s="559"/>
      <c r="H337" s="559"/>
      <c r="I337" s="559"/>
      <c r="J337" s="559"/>
      <c r="K337" s="559"/>
      <c r="L337" s="559"/>
      <c r="M337" s="559"/>
      <c r="N337" s="559"/>
      <c r="O337" s="573"/>
      <c r="P337" s="562" t="s">
        <v>70</v>
      </c>
      <c r="Q337" s="563"/>
      <c r="R337" s="563"/>
      <c r="S337" s="563"/>
      <c r="T337" s="563"/>
      <c r="U337" s="563"/>
      <c r="V337" s="564"/>
      <c r="W337" s="37" t="s">
        <v>71</v>
      </c>
      <c r="X337" s="547">
        <f>IFERROR(X334/H334,"0")+IFERROR(X335/H335,"0")+IFERROR(X336/H336,"0")</f>
        <v>180</v>
      </c>
      <c r="Y337" s="547">
        <f>IFERROR(Y334/H334,"0")+IFERROR(Y335/H335,"0")+IFERROR(Y336/H336,"0")</f>
        <v>180</v>
      </c>
      <c r="Z337" s="547">
        <f>IFERROR(IF(Z334="",0,Z334),"0")+IFERROR(IF(Z335="",0,Z335),"0")+IFERROR(IF(Z336="",0,Z336),"0")</f>
        <v>1.1718</v>
      </c>
      <c r="AA337" s="548"/>
      <c r="AB337" s="548"/>
      <c r="AC337" s="548"/>
    </row>
    <row r="338" spans="1:68" x14ac:dyDescent="0.2">
      <c r="A338" s="559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73"/>
      <c r="P338" s="562" t="s">
        <v>70</v>
      </c>
      <c r="Q338" s="563"/>
      <c r="R338" s="563"/>
      <c r="S338" s="563"/>
      <c r="T338" s="563"/>
      <c r="U338" s="563"/>
      <c r="V338" s="564"/>
      <c r="W338" s="37" t="s">
        <v>68</v>
      </c>
      <c r="X338" s="547">
        <f>IFERROR(SUM(X334:X336),"0")</f>
        <v>378</v>
      </c>
      <c r="Y338" s="547">
        <f>IFERROR(SUM(Y334:Y336),"0")</f>
        <v>378</v>
      </c>
      <c r="Z338" s="37"/>
      <c r="AA338" s="548"/>
      <c r="AB338" s="548"/>
      <c r="AC338" s="548"/>
    </row>
    <row r="339" spans="1:68" ht="27.75" customHeight="1" x14ac:dyDescent="0.2">
      <c r="A339" s="605" t="s">
        <v>534</v>
      </c>
      <c r="B339" s="606"/>
      <c r="C339" s="606"/>
      <c r="D339" s="606"/>
      <c r="E339" s="606"/>
      <c r="F339" s="606"/>
      <c r="G339" s="606"/>
      <c r="H339" s="606"/>
      <c r="I339" s="606"/>
      <c r="J339" s="606"/>
      <c r="K339" s="606"/>
      <c r="L339" s="606"/>
      <c r="M339" s="606"/>
      <c r="N339" s="606"/>
      <c r="O339" s="606"/>
      <c r="P339" s="606"/>
      <c r="Q339" s="606"/>
      <c r="R339" s="606"/>
      <c r="S339" s="606"/>
      <c r="T339" s="606"/>
      <c r="U339" s="606"/>
      <c r="V339" s="606"/>
      <c r="W339" s="606"/>
      <c r="X339" s="606"/>
      <c r="Y339" s="606"/>
      <c r="Z339" s="606"/>
      <c r="AA339" s="48"/>
      <c r="AB339" s="48"/>
      <c r="AC339" s="48"/>
    </row>
    <row r="340" spans="1:68" ht="16.5" customHeight="1" x14ac:dyDescent="0.25">
      <c r="A340" s="567" t="s">
        <v>535</v>
      </c>
      <c r="B340" s="559"/>
      <c r="C340" s="559"/>
      <c r="D340" s="559"/>
      <c r="E340" s="559"/>
      <c r="F340" s="559"/>
      <c r="G340" s="559"/>
      <c r="H340" s="559"/>
      <c r="I340" s="559"/>
      <c r="J340" s="559"/>
      <c r="K340" s="559"/>
      <c r="L340" s="559"/>
      <c r="M340" s="559"/>
      <c r="N340" s="559"/>
      <c r="O340" s="559"/>
      <c r="P340" s="559"/>
      <c r="Q340" s="559"/>
      <c r="R340" s="559"/>
      <c r="S340" s="559"/>
      <c r="T340" s="559"/>
      <c r="U340" s="559"/>
      <c r="V340" s="559"/>
      <c r="W340" s="559"/>
      <c r="X340" s="559"/>
      <c r="Y340" s="559"/>
      <c r="Z340" s="559"/>
      <c r="AA340" s="540"/>
      <c r="AB340" s="540"/>
      <c r="AC340" s="540"/>
    </row>
    <row r="341" spans="1:68" ht="14.25" customHeight="1" x14ac:dyDescent="0.25">
      <c r="A341" s="558" t="s">
        <v>98</v>
      </c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  <c r="T341" s="559"/>
      <c r="U341" s="559"/>
      <c r="V341" s="559"/>
      <c r="W341" s="559"/>
      <c r="X341" s="559"/>
      <c r="Y341" s="559"/>
      <c r="Z341" s="559"/>
      <c r="AA341" s="541"/>
      <c r="AB341" s="541"/>
      <c r="AC341" s="541"/>
    </row>
    <row r="342" spans="1:68" ht="37.5" customHeight="1" x14ac:dyDescent="0.25">
      <c r="A342" s="54" t="s">
        <v>536</v>
      </c>
      <c r="B342" s="54" t="s">
        <v>537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4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68</v>
      </c>
      <c r="X342" s="545">
        <v>1000</v>
      </c>
      <c r="Y342" s="546">
        <f t="shared" ref="Y342:Y348" si="37">IFERROR(IF(X342="",0,CEILING((X342/$H342),1)*$H342),"")</f>
        <v>1005</v>
      </c>
      <c r="Z342" s="36">
        <f>IFERROR(IF(Y342=0,"",ROUNDUP(Y342/H342,0)*0.02175),"")</f>
        <v>1.4572499999999999</v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ref="BM342:BM348" si="38">IFERROR(X342*I342/H342,"0")</f>
        <v>1032</v>
      </c>
      <c r="BN342" s="64">
        <f t="shared" ref="BN342:BN348" si="39">IFERROR(Y342*I342/H342,"0")</f>
        <v>1037.1600000000001</v>
      </c>
      <c r="BO342" s="64">
        <f t="shared" ref="BO342:BO348" si="40">IFERROR(1/J342*(X342/H342),"0")</f>
        <v>1.3888888888888888</v>
      </c>
      <c r="BP342" s="64">
        <f t="shared" ref="BP342:BP348" si="41">IFERROR(1/J342*(Y342/H342),"0")</f>
        <v>1.3958333333333333</v>
      </c>
    </row>
    <row r="343" spans="1:68" ht="27" customHeight="1" x14ac:dyDescent="0.25">
      <c r="A343" s="54" t="s">
        <v>539</v>
      </c>
      <c r="B343" s="54" t="s">
        <v>540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101</v>
      </c>
      <c r="L343" s="32"/>
      <c r="M343" s="33" t="s">
        <v>67</v>
      </c>
      <c r="N343" s="33"/>
      <c r="O343" s="32">
        <v>60</v>
      </c>
      <c r="P343" s="76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68</v>
      </c>
      <c r="X343" s="545">
        <v>1000</v>
      </c>
      <c r="Y343" s="546">
        <f t="shared" si="37"/>
        <v>1005</v>
      </c>
      <c r="Z343" s="36">
        <f>IFERROR(IF(Y343=0,"",ROUNDUP(Y343/H343,0)*0.02175),"")</f>
        <v>1.4572499999999999</v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8"/>
        <v>1032</v>
      </c>
      <c r="BN343" s="64">
        <f t="shared" si="39"/>
        <v>1037.1600000000001</v>
      </c>
      <c r="BO343" s="64">
        <f t="shared" si="40"/>
        <v>1.3888888888888888</v>
      </c>
      <c r="BP343" s="64">
        <f t="shared" si="41"/>
        <v>1.3958333333333333</v>
      </c>
    </row>
    <row r="344" spans="1:68" ht="37.5" customHeight="1" x14ac:dyDescent="0.25">
      <c r="A344" s="54" t="s">
        <v>542</v>
      </c>
      <c r="B344" s="54" t="s">
        <v>543</v>
      </c>
      <c r="C344" s="31">
        <v>4301011867</v>
      </c>
      <c r="D344" s="549">
        <v>4680115884830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101</v>
      </c>
      <c r="L344" s="32"/>
      <c r="M344" s="33" t="s">
        <v>67</v>
      </c>
      <c r="N344" s="33"/>
      <c r="O344" s="32">
        <v>60</v>
      </c>
      <c r="P344" s="84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5">
        <v>1000</v>
      </c>
      <c r="Y344" s="546">
        <f t="shared" si="37"/>
        <v>1005</v>
      </c>
      <c r="Z344" s="36">
        <f>IFERROR(IF(Y344=0,"",ROUNDUP(Y344/H344,0)*0.02175),"")</f>
        <v>1.4572499999999999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8"/>
        <v>1032</v>
      </c>
      <c r="BN344" s="64">
        <f t="shared" si="39"/>
        <v>1037.1600000000001</v>
      </c>
      <c r="BO344" s="64">
        <f t="shared" si="40"/>
        <v>1.3888888888888888</v>
      </c>
      <c r="BP344" s="64">
        <f t="shared" si="41"/>
        <v>1.3958333333333333</v>
      </c>
    </row>
    <row r="345" spans="1:68" ht="27" customHeight="1" x14ac:dyDescent="0.25">
      <c r="A345" s="54" t="s">
        <v>545</v>
      </c>
      <c r="B345" s="54" t="s">
        <v>546</v>
      </c>
      <c r="C345" s="31">
        <v>4301011832</v>
      </c>
      <c r="D345" s="549">
        <v>4607091383997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101</v>
      </c>
      <c r="L345" s="32"/>
      <c r="M345" s="33" t="s">
        <v>83</v>
      </c>
      <c r="N345" s="33"/>
      <c r="O345" s="32">
        <v>60</v>
      </c>
      <c r="P345" s="7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68</v>
      </c>
      <c r="X345" s="545">
        <v>0</v>
      </c>
      <c r="Y345" s="546">
        <f t="shared" si="37"/>
        <v>0</v>
      </c>
      <c r="Z345" s="36" t="str">
        <f>IFERROR(IF(Y345=0,"",ROUNDUP(Y345/H345,0)*0.02175),"")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8"/>
        <v>0</v>
      </c>
      <c r="BN345" s="64">
        <f t="shared" si="39"/>
        <v>0</v>
      </c>
      <c r="BO345" s="64">
        <f t="shared" si="40"/>
        <v>0</v>
      </c>
      <c r="BP345" s="64">
        <f t="shared" si="41"/>
        <v>0</v>
      </c>
    </row>
    <row r="346" spans="1:68" ht="27" customHeight="1" x14ac:dyDescent="0.25">
      <c r="A346" s="54" t="s">
        <v>548</v>
      </c>
      <c r="B346" s="54" t="s">
        <v>549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106</v>
      </c>
      <c r="L346" s="32"/>
      <c r="M346" s="33" t="s">
        <v>102</v>
      </c>
      <c r="N346" s="33"/>
      <c r="O346" s="32">
        <v>90</v>
      </c>
      <c r="P346" s="80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68</v>
      </c>
      <c r="X346" s="545">
        <v>0</v>
      </c>
      <c r="Y346" s="546">
        <f t="shared" si="37"/>
        <v>0</v>
      </c>
      <c r="Z346" s="36" t="str">
        <f>IFERROR(IF(Y346=0,"",ROUNDUP(Y346/H346,0)*0.00902),"")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27" customHeight="1" x14ac:dyDescent="0.25">
      <c r="A347" s="54" t="s">
        <v>551</v>
      </c>
      <c r="B347" s="54" t="s">
        <v>552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5">
        <v>0</v>
      </c>
      <c r="Y347" s="546">
        <f t="shared" si="37"/>
        <v>0</v>
      </c>
      <c r="Z347" s="36" t="str">
        <f>IFERROR(IF(Y347=0,"",ROUNDUP(Y347/H347,0)*0.00902),"")</f>
        <v/>
      </c>
      <c r="AA347" s="56"/>
      <c r="AB347" s="57"/>
      <c r="AC347" s="397" t="s">
        <v>541</v>
      </c>
      <c r="AG347" s="64"/>
      <c r="AJ347" s="68"/>
      <c r="AK347" s="68">
        <v>0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37.5" customHeight="1" x14ac:dyDescent="0.25">
      <c r="A348" s="54" t="s">
        <v>553</v>
      </c>
      <c r="B348" s="54" t="s">
        <v>554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106</v>
      </c>
      <c r="L348" s="32"/>
      <c r="M348" s="33" t="s">
        <v>67</v>
      </c>
      <c r="N348" s="33"/>
      <c r="O348" s="32">
        <v>60</v>
      </c>
      <c r="P348" s="8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68</v>
      </c>
      <c r="X348" s="545">
        <v>0</v>
      </c>
      <c r="Y348" s="546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544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x14ac:dyDescent="0.2">
      <c r="A349" s="572"/>
      <c r="B349" s="559"/>
      <c r="C349" s="559"/>
      <c r="D349" s="559"/>
      <c r="E349" s="559"/>
      <c r="F349" s="559"/>
      <c r="G349" s="559"/>
      <c r="H349" s="559"/>
      <c r="I349" s="559"/>
      <c r="J349" s="559"/>
      <c r="K349" s="559"/>
      <c r="L349" s="559"/>
      <c r="M349" s="559"/>
      <c r="N349" s="559"/>
      <c r="O349" s="573"/>
      <c r="P349" s="562" t="s">
        <v>70</v>
      </c>
      <c r="Q349" s="563"/>
      <c r="R349" s="563"/>
      <c r="S349" s="563"/>
      <c r="T349" s="563"/>
      <c r="U349" s="563"/>
      <c r="V349" s="564"/>
      <c r="W349" s="37" t="s">
        <v>71</v>
      </c>
      <c r="X349" s="547">
        <f>IFERROR(X342/H342,"0")+IFERROR(X343/H343,"0")+IFERROR(X344/H344,"0")+IFERROR(X345/H345,"0")+IFERROR(X346/H346,"0")+IFERROR(X347/H347,"0")+IFERROR(X348/H348,"0")</f>
        <v>200</v>
      </c>
      <c r="Y349" s="547">
        <f>IFERROR(Y342/H342,"0")+IFERROR(Y343/H343,"0")+IFERROR(Y344/H344,"0")+IFERROR(Y345/H345,"0")+IFERROR(Y346/H346,"0")+IFERROR(Y347/H347,"0")+IFERROR(Y348/H348,"0")</f>
        <v>201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4.3717499999999996</v>
      </c>
      <c r="AA349" s="548"/>
      <c r="AB349" s="548"/>
      <c r="AC349" s="548"/>
    </row>
    <row r="350" spans="1:68" x14ac:dyDescent="0.2">
      <c r="A350" s="559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73"/>
      <c r="P350" s="562" t="s">
        <v>70</v>
      </c>
      <c r="Q350" s="563"/>
      <c r="R350" s="563"/>
      <c r="S350" s="563"/>
      <c r="T350" s="563"/>
      <c r="U350" s="563"/>
      <c r="V350" s="564"/>
      <c r="W350" s="37" t="s">
        <v>68</v>
      </c>
      <c r="X350" s="547">
        <f>IFERROR(SUM(X342:X348),"0")</f>
        <v>3000</v>
      </c>
      <c r="Y350" s="547">
        <f>IFERROR(SUM(Y342:Y348),"0")</f>
        <v>3015</v>
      </c>
      <c r="Z350" s="37"/>
      <c r="AA350" s="548"/>
      <c r="AB350" s="548"/>
      <c r="AC350" s="548"/>
    </row>
    <row r="351" spans="1:68" ht="14.25" customHeight="1" x14ac:dyDescent="0.25">
      <c r="A351" s="558" t="s">
        <v>130</v>
      </c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59"/>
      <c r="P351" s="559"/>
      <c r="Q351" s="559"/>
      <c r="R351" s="559"/>
      <c r="S351" s="559"/>
      <c r="T351" s="559"/>
      <c r="U351" s="559"/>
      <c r="V351" s="559"/>
      <c r="W351" s="559"/>
      <c r="X351" s="559"/>
      <c r="Y351" s="559"/>
      <c r="Z351" s="559"/>
      <c r="AA351" s="541"/>
      <c r="AB351" s="541"/>
      <c r="AC351" s="541"/>
    </row>
    <row r="352" spans="1:68" ht="27" customHeight="1" x14ac:dyDescent="0.25">
      <c r="A352" s="54" t="s">
        <v>555</v>
      </c>
      <c r="B352" s="54" t="s">
        <v>556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101</v>
      </c>
      <c r="L352" s="32"/>
      <c r="M352" s="33" t="s">
        <v>102</v>
      </c>
      <c r="N352" s="33"/>
      <c r="O352" s="32">
        <v>50</v>
      </c>
      <c r="P352" s="67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68</v>
      </c>
      <c r="X352" s="545">
        <v>700</v>
      </c>
      <c r="Y352" s="546">
        <f>IFERROR(IF(X352="",0,CEILING((X352/$H352),1)*$H352),"")</f>
        <v>705</v>
      </c>
      <c r="Z352" s="36">
        <f>IFERROR(IF(Y352=0,"",ROUNDUP(Y352/H352,0)*0.02175),"")</f>
        <v>1.0222499999999999</v>
      </c>
      <c r="AA352" s="56"/>
      <c r="AB352" s="57"/>
      <c r="AC352" s="401" t="s">
        <v>557</v>
      </c>
      <c r="AG352" s="64"/>
      <c r="AJ352" s="68"/>
      <c r="AK352" s="68">
        <v>0</v>
      </c>
      <c r="BB352" s="402" t="s">
        <v>1</v>
      </c>
      <c r="BM352" s="64">
        <f>IFERROR(X352*I352/H352,"0")</f>
        <v>722.4</v>
      </c>
      <c r="BN352" s="64">
        <f>IFERROR(Y352*I352/H352,"0")</f>
        <v>727.56</v>
      </c>
      <c r="BO352" s="64">
        <f>IFERROR(1/J352*(X352/H352),"0")</f>
        <v>0.9722222222222221</v>
      </c>
      <c r="BP352" s="64">
        <f>IFERROR(1/J352*(Y352/H352),"0")</f>
        <v>0.97916666666666663</v>
      </c>
    </row>
    <row r="353" spans="1:68" ht="16.5" customHeight="1" x14ac:dyDescent="0.25">
      <c r="A353" s="54" t="s">
        <v>558</v>
      </c>
      <c r="B353" s="54" t="s">
        <v>559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106</v>
      </c>
      <c r="L353" s="32"/>
      <c r="M353" s="33" t="s">
        <v>102</v>
      </c>
      <c r="N353" s="33"/>
      <c r="O353" s="32">
        <v>50</v>
      </c>
      <c r="P353" s="6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68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557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2"/>
      <c r="B354" s="559"/>
      <c r="C354" s="559"/>
      <c r="D354" s="559"/>
      <c r="E354" s="559"/>
      <c r="F354" s="559"/>
      <c r="G354" s="559"/>
      <c r="H354" s="559"/>
      <c r="I354" s="559"/>
      <c r="J354" s="559"/>
      <c r="K354" s="559"/>
      <c r="L354" s="559"/>
      <c r="M354" s="559"/>
      <c r="N354" s="559"/>
      <c r="O354" s="573"/>
      <c r="P354" s="562" t="s">
        <v>70</v>
      </c>
      <c r="Q354" s="563"/>
      <c r="R354" s="563"/>
      <c r="S354" s="563"/>
      <c r="T354" s="563"/>
      <c r="U354" s="563"/>
      <c r="V354" s="564"/>
      <c r="W354" s="37" t="s">
        <v>71</v>
      </c>
      <c r="X354" s="547">
        <f>IFERROR(X352/H352,"0")+IFERROR(X353/H353,"0")</f>
        <v>46.666666666666664</v>
      </c>
      <c r="Y354" s="547">
        <f>IFERROR(Y352/H352,"0")+IFERROR(Y353/H353,"0")</f>
        <v>47</v>
      </c>
      <c r="Z354" s="547">
        <f>IFERROR(IF(Z352="",0,Z352),"0")+IFERROR(IF(Z353="",0,Z353),"0")</f>
        <v>1.0222499999999999</v>
      </c>
      <c r="AA354" s="548"/>
      <c r="AB354" s="548"/>
      <c r="AC354" s="548"/>
    </row>
    <row r="355" spans="1:68" x14ac:dyDescent="0.2">
      <c r="A355" s="559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73"/>
      <c r="P355" s="562" t="s">
        <v>70</v>
      </c>
      <c r="Q355" s="563"/>
      <c r="R355" s="563"/>
      <c r="S355" s="563"/>
      <c r="T355" s="563"/>
      <c r="U355" s="563"/>
      <c r="V355" s="564"/>
      <c r="W355" s="37" t="s">
        <v>68</v>
      </c>
      <c r="X355" s="547">
        <f>IFERROR(SUM(X352:X353),"0")</f>
        <v>700</v>
      </c>
      <c r="Y355" s="547">
        <f>IFERROR(SUM(Y352:Y353),"0")</f>
        <v>705</v>
      </c>
      <c r="Z355" s="37"/>
      <c r="AA355" s="548"/>
      <c r="AB355" s="548"/>
      <c r="AC355" s="548"/>
    </row>
    <row r="356" spans="1:68" ht="14.25" customHeight="1" x14ac:dyDescent="0.25">
      <c r="A356" s="558" t="s">
        <v>72</v>
      </c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59"/>
      <c r="P356" s="559"/>
      <c r="Q356" s="559"/>
      <c r="R356" s="559"/>
      <c r="S356" s="559"/>
      <c r="T356" s="559"/>
      <c r="U356" s="559"/>
      <c r="V356" s="559"/>
      <c r="W356" s="559"/>
      <c r="X356" s="559"/>
      <c r="Y356" s="559"/>
      <c r="Z356" s="559"/>
      <c r="AA356" s="541"/>
      <c r="AB356" s="541"/>
      <c r="AC356" s="541"/>
    </row>
    <row r="357" spans="1:68" ht="27" customHeight="1" x14ac:dyDescent="0.25">
      <c r="A357" s="54" t="s">
        <v>560</v>
      </c>
      <c r="B357" s="54" t="s">
        <v>561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68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563</v>
      </c>
      <c r="B358" s="54" t="s">
        <v>564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101</v>
      </c>
      <c r="L358" s="32"/>
      <c r="M358" s="33" t="s">
        <v>76</v>
      </c>
      <c r="N358" s="33"/>
      <c r="O358" s="32">
        <v>40</v>
      </c>
      <c r="P358" s="69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68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72"/>
      <c r="B359" s="559"/>
      <c r="C359" s="559"/>
      <c r="D359" s="559"/>
      <c r="E359" s="559"/>
      <c r="F359" s="559"/>
      <c r="G359" s="559"/>
      <c r="H359" s="559"/>
      <c r="I359" s="559"/>
      <c r="J359" s="559"/>
      <c r="K359" s="559"/>
      <c r="L359" s="559"/>
      <c r="M359" s="559"/>
      <c r="N359" s="559"/>
      <c r="O359" s="573"/>
      <c r="P359" s="562" t="s">
        <v>70</v>
      </c>
      <c r="Q359" s="563"/>
      <c r="R359" s="563"/>
      <c r="S359" s="563"/>
      <c r="T359" s="563"/>
      <c r="U359" s="563"/>
      <c r="V359" s="564"/>
      <c r="W359" s="37" t="s">
        <v>71</v>
      </c>
      <c r="X359" s="547">
        <f>IFERROR(X357/H357,"0")+IFERROR(X358/H358,"0")</f>
        <v>0</v>
      </c>
      <c r="Y359" s="547">
        <f>IFERROR(Y357/H357,"0")+IFERROR(Y358/H358,"0")</f>
        <v>0</v>
      </c>
      <c r="Z359" s="547">
        <f>IFERROR(IF(Z357="",0,Z357),"0")+IFERROR(IF(Z358="",0,Z358),"0")</f>
        <v>0</v>
      </c>
      <c r="AA359" s="548"/>
      <c r="AB359" s="548"/>
      <c r="AC359" s="548"/>
    </row>
    <row r="360" spans="1:68" x14ac:dyDescent="0.2">
      <c r="A360" s="559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73"/>
      <c r="P360" s="562" t="s">
        <v>70</v>
      </c>
      <c r="Q360" s="563"/>
      <c r="R360" s="563"/>
      <c r="S360" s="563"/>
      <c r="T360" s="563"/>
      <c r="U360" s="563"/>
      <c r="V360" s="564"/>
      <c r="W360" s="37" t="s">
        <v>68</v>
      </c>
      <c r="X360" s="547">
        <f>IFERROR(SUM(X357:X358),"0")</f>
        <v>0</v>
      </c>
      <c r="Y360" s="547">
        <f>IFERROR(SUM(Y357:Y358),"0")</f>
        <v>0</v>
      </c>
      <c r="Z360" s="37"/>
      <c r="AA360" s="548"/>
      <c r="AB360" s="548"/>
      <c r="AC360" s="548"/>
    </row>
    <row r="361" spans="1:68" ht="14.25" customHeight="1" x14ac:dyDescent="0.25">
      <c r="A361" s="558" t="s">
        <v>160</v>
      </c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59"/>
      <c r="P361" s="559"/>
      <c r="Q361" s="559"/>
      <c r="R361" s="559"/>
      <c r="S361" s="559"/>
      <c r="T361" s="559"/>
      <c r="U361" s="559"/>
      <c r="V361" s="559"/>
      <c r="W361" s="559"/>
      <c r="X361" s="559"/>
      <c r="Y361" s="559"/>
      <c r="Z361" s="559"/>
      <c r="AA361" s="541"/>
      <c r="AB361" s="541"/>
      <c r="AC361" s="541"/>
    </row>
    <row r="362" spans="1:68" ht="16.5" customHeight="1" x14ac:dyDescent="0.25">
      <c r="A362" s="54" t="s">
        <v>566</v>
      </c>
      <c r="B362" s="54" t="s">
        <v>567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101</v>
      </c>
      <c r="L362" s="32"/>
      <c r="M362" s="33" t="s">
        <v>76</v>
      </c>
      <c r="N362" s="33"/>
      <c r="O362" s="32">
        <v>40</v>
      </c>
      <c r="P362" s="830" t="s">
        <v>568</v>
      </c>
      <c r="Q362" s="552"/>
      <c r="R362" s="552"/>
      <c r="S362" s="552"/>
      <c r="T362" s="553"/>
      <c r="U362" s="34"/>
      <c r="V362" s="34"/>
      <c r="W362" s="35" t="s">
        <v>68</v>
      </c>
      <c r="X362" s="545">
        <v>0</v>
      </c>
      <c r="Y362" s="546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569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72"/>
      <c r="B363" s="559"/>
      <c r="C363" s="559"/>
      <c r="D363" s="559"/>
      <c r="E363" s="559"/>
      <c r="F363" s="559"/>
      <c r="G363" s="559"/>
      <c r="H363" s="559"/>
      <c r="I363" s="559"/>
      <c r="J363" s="559"/>
      <c r="K363" s="559"/>
      <c r="L363" s="559"/>
      <c r="M363" s="559"/>
      <c r="N363" s="559"/>
      <c r="O363" s="573"/>
      <c r="P363" s="562" t="s">
        <v>70</v>
      </c>
      <c r="Q363" s="563"/>
      <c r="R363" s="563"/>
      <c r="S363" s="563"/>
      <c r="T363" s="563"/>
      <c r="U363" s="563"/>
      <c r="V363" s="564"/>
      <c r="W363" s="37" t="s">
        <v>71</v>
      </c>
      <c r="X363" s="547">
        <f>IFERROR(X362/H362,"0")</f>
        <v>0</v>
      </c>
      <c r="Y363" s="547">
        <f>IFERROR(Y362/H362,"0")</f>
        <v>0</v>
      </c>
      <c r="Z363" s="547">
        <f>IFERROR(IF(Z362="",0,Z362),"0")</f>
        <v>0</v>
      </c>
      <c r="AA363" s="548"/>
      <c r="AB363" s="548"/>
      <c r="AC363" s="548"/>
    </row>
    <row r="364" spans="1:68" x14ac:dyDescent="0.2">
      <c r="A364" s="559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73"/>
      <c r="P364" s="562" t="s">
        <v>70</v>
      </c>
      <c r="Q364" s="563"/>
      <c r="R364" s="563"/>
      <c r="S364" s="563"/>
      <c r="T364" s="563"/>
      <c r="U364" s="563"/>
      <c r="V364" s="564"/>
      <c r="W364" s="37" t="s">
        <v>68</v>
      </c>
      <c r="X364" s="547">
        <f>IFERROR(SUM(X362:X362),"0")</f>
        <v>0</v>
      </c>
      <c r="Y364" s="547">
        <f>IFERROR(SUM(Y362:Y362),"0")</f>
        <v>0</v>
      </c>
      <c r="Z364" s="37"/>
      <c r="AA364" s="548"/>
      <c r="AB364" s="548"/>
      <c r="AC364" s="548"/>
    </row>
    <row r="365" spans="1:68" ht="16.5" customHeight="1" x14ac:dyDescent="0.25">
      <c r="A365" s="567" t="s">
        <v>570</v>
      </c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59"/>
      <c r="P365" s="559"/>
      <c r="Q365" s="559"/>
      <c r="R365" s="559"/>
      <c r="S365" s="559"/>
      <c r="T365" s="559"/>
      <c r="U365" s="559"/>
      <c r="V365" s="559"/>
      <c r="W365" s="559"/>
      <c r="X365" s="559"/>
      <c r="Y365" s="559"/>
      <c r="Z365" s="559"/>
      <c r="AA365" s="540"/>
      <c r="AB365" s="540"/>
      <c r="AC365" s="540"/>
    </row>
    <row r="366" spans="1:68" ht="14.25" customHeight="1" x14ac:dyDescent="0.25">
      <c r="A366" s="558" t="s">
        <v>98</v>
      </c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  <c r="T366" s="559"/>
      <c r="U366" s="559"/>
      <c r="V366" s="559"/>
      <c r="W366" s="559"/>
      <c r="X366" s="559"/>
      <c r="Y366" s="559"/>
      <c r="Z366" s="559"/>
      <c r="AA366" s="541"/>
      <c r="AB366" s="541"/>
      <c r="AC366" s="541"/>
    </row>
    <row r="367" spans="1:68" ht="37.5" customHeight="1" x14ac:dyDescent="0.25">
      <c r="A367" s="54" t="s">
        <v>571</v>
      </c>
      <c r="B367" s="54" t="s">
        <v>572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68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574</v>
      </c>
      <c r="B368" s="54" t="s">
        <v>575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101</v>
      </c>
      <c r="L368" s="32"/>
      <c r="M368" s="33" t="s">
        <v>67</v>
      </c>
      <c r="N368" s="33"/>
      <c r="O368" s="32">
        <v>60</v>
      </c>
      <c r="P368" s="86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68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577</v>
      </c>
      <c r="B369" s="54" t="s">
        <v>578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106</v>
      </c>
      <c r="L369" s="32"/>
      <c r="M369" s="33" t="s">
        <v>67</v>
      </c>
      <c r="N369" s="33"/>
      <c r="O369" s="32">
        <v>60</v>
      </c>
      <c r="P369" s="82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68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2"/>
      <c r="B370" s="559"/>
      <c r="C370" s="559"/>
      <c r="D370" s="559"/>
      <c r="E370" s="559"/>
      <c r="F370" s="559"/>
      <c r="G370" s="559"/>
      <c r="H370" s="559"/>
      <c r="I370" s="559"/>
      <c r="J370" s="559"/>
      <c r="K370" s="559"/>
      <c r="L370" s="559"/>
      <c r="M370" s="559"/>
      <c r="N370" s="559"/>
      <c r="O370" s="573"/>
      <c r="P370" s="562" t="s">
        <v>70</v>
      </c>
      <c r="Q370" s="563"/>
      <c r="R370" s="563"/>
      <c r="S370" s="563"/>
      <c r="T370" s="563"/>
      <c r="U370" s="563"/>
      <c r="V370" s="564"/>
      <c r="W370" s="37" t="s">
        <v>71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x14ac:dyDescent="0.2">
      <c r="A371" s="559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73"/>
      <c r="P371" s="562" t="s">
        <v>70</v>
      </c>
      <c r="Q371" s="563"/>
      <c r="R371" s="563"/>
      <c r="S371" s="563"/>
      <c r="T371" s="563"/>
      <c r="U371" s="563"/>
      <c r="V371" s="564"/>
      <c r="W371" s="37" t="s">
        <v>68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customHeight="1" x14ac:dyDescent="0.25">
      <c r="A372" s="558" t="s">
        <v>63</v>
      </c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59"/>
      <c r="P372" s="559"/>
      <c r="Q372" s="559"/>
      <c r="R372" s="559"/>
      <c r="S372" s="559"/>
      <c r="T372" s="559"/>
      <c r="U372" s="559"/>
      <c r="V372" s="559"/>
      <c r="W372" s="559"/>
      <c r="X372" s="559"/>
      <c r="Y372" s="559"/>
      <c r="Z372" s="559"/>
      <c r="AA372" s="541"/>
      <c r="AB372" s="541"/>
      <c r="AC372" s="541"/>
    </row>
    <row r="373" spans="1:68" ht="27" customHeight="1" x14ac:dyDescent="0.25">
      <c r="A373" s="54" t="s">
        <v>579</v>
      </c>
      <c r="B373" s="54" t="s">
        <v>580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106</v>
      </c>
      <c r="L373" s="32"/>
      <c r="M373" s="33" t="s">
        <v>67</v>
      </c>
      <c r="N373" s="33"/>
      <c r="O373" s="32">
        <v>35</v>
      </c>
      <c r="P373" s="8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68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581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2"/>
      <c r="B374" s="559"/>
      <c r="C374" s="559"/>
      <c r="D374" s="559"/>
      <c r="E374" s="559"/>
      <c r="F374" s="559"/>
      <c r="G374" s="559"/>
      <c r="H374" s="559"/>
      <c r="I374" s="559"/>
      <c r="J374" s="559"/>
      <c r="K374" s="559"/>
      <c r="L374" s="559"/>
      <c r="M374" s="559"/>
      <c r="N374" s="559"/>
      <c r="O374" s="573"/>
      <c r="P374" s="562" t="s">
        <v>70</v>
      </c>
      <c r="Q374" s="563"/>
      <c r="R374" s="563"/>
      <c r="S374" s="563"/>
      <c r="T374" s="563"/>
      <c r="U374" s="563"/>
      <c r="V374" s="564"/>
      <c r="W374" s="37" t="s">
        <v>71</v>
      </c>
      <c r="X374" s="547">
        <f>IFERROR(X373/H373,"0")</f>
        <v>0</v>
      </c>
      <c r="Y374" s="547">
        <f>IFERROR(Y373/H373,"0")</f>
        <v>0</v>
      </c>
      <c r="Z374" s="547">
        <f>IFERROR(IF(Z373="",0,Z373),"0")</f>
        <v>0</v>
      </c>
      <c r="AA374" s="548"/>
      <c r="AB374" s="548"/>
      <c r="AC374" s="548"/>
    </row>
    <row r="375" spans="1:68" x14ac:dyDescent="0.2">
      <c r="A375" s="559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73"/>
      <c r="P375" s="562" t="s">
        <v>70</v>
      </c>
      <c r="Q375" s="563"/>
      <c r="R375" s="563"/>
      <c r="S375" s="563"/>
      <c r="T375" s="563"/>
      <c r="U375" s="563"/>
      <c r="V375" s="564"/>
      <c r="W375" s="37" t="s">
        <v>68</v>
      </c>
      <c r="X375" s="547">
        <f>IFERROR(SUM(X373:X373),"0")</f>
        <v>0</v>
      </c>
      <c r="Y375" s="547">
        <f>IFERROR(SUM(Y373:Y373),"0")</f>
        <v>0</v>
      </c>
      <c r="Z375" s="37"/>
      <c r="AA375" s="548"/>
      <c r="AB375" s="548"/>
      <c r="AC375" s="548"/>
    </row>
    <row r="376" spans="1:68" ht="14.25" customHeight="1" x14ac:dyDescent="0.25">
      <c r="A376" s="558" t="s">
        <v>72</v>
      </c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59"/>
      <c r="P376" s="559"/>
      <c r="Q376" s="559"/>
      <c r="R376" s="559"/>
      <c r="S376" s="559"/>
      <c r="T376" s="559"/>
      <c r="U376" s="559"/>
      <c r="V376" s="559"/>
      <c r="W376" s="559"/>
      <c r="X376" s="559"/>
      <c r="Y376" s="559"/>
      <c r="Z376" s="559"/>
      <c r="AA376" s="541"/>
      <c r="AB376" s="541"/>
      <c r="AC376" s="541"/>
    </row>
    <row r="377" spans="1:68" ht="27" customHeight="1" x14ac:dyDescent="0.25">
      <c r="A377" s="54" t="s">
        <v>582</v>
      </c>
      <c r="B377" s="54" t="s">
        <v>583</v>
      </c>
      <c r="C377" s="31">
        <v>4301051899</v>
      </c>
      <c r="D377" s="549">
        <v>4607091384246</v>
      </c>
      <c r="E377" s="550"/>
      <c r="F377" s="544">
        <v>1.5</v>
      </c>
      <c r="G377" s="32">
        <v>6</v>
      </c>
      <c r="H377" s="544">
        <v>9</v>
      </c>
      <c r="I377" s="544">
        <v>9.5190000000000001</v>
      </c>
      <c r="J377" s="32">
        <v>64</v>
      </c>
      <c r="K377" s="32" t="s">
        <v>101</v>
      </c>
      <c r="L377" s="32"/>
      <c r="M377" s="33" t="s">
        <v>76</v>
      </c>
      <c r="N377" s="33"/>
      <c r="O377" s="32">
        <v>40</v>
      </c>
      <c r="P377" s="73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2"/>
      <c r="R377" s="552"/>
      <c r="S377" s="552"/>
      <c r="T377" s="553"/>
      <c r="U377" s="34"/>
      <c r="V377" s="34"/>
      <c r="W377" s="35" t="s">
        <v>68</v>
      </c>
      <c r="X377" s="545">
        <v>2000</v>
      </c>
      <c r="Y377" s="546">
        <f>IFERROR(IF(X377="",0,CEILING((X377/$H377),1)*$H377),"")</f>
        <v>2007</v>
      </c>
      <c r="Z377" s="36">
        <f>IFERROR(IF(Y377=0,"",ROUNDUP(Y377/H377,0)*0.01898),"")</f>
        <v>4.2325400000000002</v>
      </c>
      <c r="AA377" s="56"/>
      <c r="AB377" s="57"/>
      <c r="AC377" s="419" t="s">
        <v>584</v>
      </c>
      <c r="AG377" s="64"/>
      <c r="AJ377" s="68"/>
      <c r="AK377" s="68">
        <v>0</v>
      </c>
      <c r="BB377" s="420" t="s">
        <v>1</v>
      </c>
      <c r="BM377" s="64">
        <f>IFERROR(X377*I377/H377,"0")</f>
        <v>2115.3333333333335</v>
      </c>
      <c r="BN377" s="64">
        <f>IFERROR(Y377*I377/H377,"0")</f>
        <v>2122.7370000000001</v>
      </c>
      <c r="BO377" s="64">
        <f>IFERROR(1/J377*(X377/H377),"0")</f>
        <v>3.4722222222222223</v>
      </c>
      <c r="BP377" s="64">
        <f>IFERROR(1/J377*(Y377/H377),"0")</f>
        <v>3.484375</v>
      </c>
    </row>
    <row r="378" spans="1:68" ht="27" customHeight="1" x14ac:dyDescent="0.25">
      <c r="A378" s="54" t="s">
        <v>585</v>
      </c>
      <c r="B378" s="54" t="s">
        <v>586</v>
      </c>
      <c r="C378" s="31">
        <v>4301051660</v>
      </c>
      <c r="D378" s="549">
        <v>4607091384253</v>
      </c>
      <c r="E378" s="550"/>
      <c r="F378" s="544">
        <v>0.4</v>
      </c>
      <c r="G378" s="32">
        <v>6</v>
      </c>
      <c r="H378" s="544">
        <v>2.4</v>
      </c>
      <c r="I378" s="544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2"/>
      <c r="R378" s="552"/>
      <c r="S378" s="552"/>
      <c r="T378" s="553"/>
      <c r="U378" s="34"/>
      <c r="V378" s="34"/>
      <c r="W378" s="35" t="s">
        <v>68</v>
      </c>
      <c r="X378" s="545">
        <v>160</v>
      </c>
      <c r="Y378" s="546">
        <f>IFERROR(IF(X378="",0,CEILING((X378/$H378),1)*$H378),"")</f>
        <v>160.79999999999998</v>
      </c>
      <c r="Z378" s="36">
        <f>IFERROR(IF(Y378=0,"",ROUNDUP(Y378/H378,0)*0.00651),"")</f>
        <v>0.43617</v>
      </c>
      <c r="AA378" s="56"/>
      <c r="AB378" s="57"/>
      <c r="AC378" s="421" t="s">
        <v>584</v>
      </c>
      <c r="AG378" s="64"/>
      <c r="AJ378" s="68"/>
      <c r="AK378" s="68">
        <v>0</v>
      </c>
      <c r="BB378" s="422" t="s">
        <v>1</v>
      </c>
      <c r="BM378" s="64">
        <f>IFERROR(X378*I378/H378,"0")</f>
        <v>177.60000000000002</v>
      </c>
      <c r="BN378" s="64">
        <f>IFERROR(Y378*I378/H378,"0")</f>
        <v>178.488</v>
      </c>
      <c r="BO378" s="64">
        <f>IFERROR(1/J378*(X378/H378),"0")</f>
        <v>0.36630036630036633</v>
      </c>
      <c r="BP378" s="64">
        <f>IFERROR(1/J378*(Y378/H378),"0")</f>
        <v>0.36813186813186816</v>
      </c>
    </row>
    <row r="379" spans="1:68" x14ac:dyDescent="0.2">
      <c r="A379" s="572"/>
      <c r="B379" s="559"/>
      <c r="C379" s="559"/>
      <c r="D379" s="559"/>
      <c r="E379" s="559"/>
      <c r="F379" s="559"/>
      <c r="G379" s="559"/>
      <c r="H379" s="559"/>
      <c r="I379" s="559"/>
      <c r="J379" s="559"/>
      <c r="K379" s="559"/>
      <c r="L379" s="559"/>
      <c r="M379" s="559"/>
      <c r="N379" s="559"/>
      <c r="O379" s="573"/>
      <c r="P379" s="562" t="s">
        <v>70</v>
      </c>
      <c r="Q379" s="563"/>
      <c r="R379" s="563"/>
      <c r="S379" s="563"/>
      <c r="T379" s="563"/>
      <c r="U379" s="563"/>
      <c r="V379" s="564"/>
      <c r="W379" s="37" t="s">
        <v>71</v>
      </c>
      <c r="X379" s="547">
        <f>IFERROR(X377/H377,"0")+IFERROR(X378/H378,"0")</f>
        <v>288.88888888888891</v>
      </c>
      <c r="Y379" s="547">
        <f>IFERROR(Y377/H377,"0")+IFERROR(Y378/H378,"0")</f>
        <v>290</v>
      </c>
      <c r="Z379" s="547">
        <f>IFERROR(IF(Z377="",0,Z377),"0")+IFERROR(IF(Z378="",0,Z378),"0")</f>
        <v>4.6687099999999999</v>
      </c>
      <c r="AA379" s="548"/>
      <c r="AB379" s="548"/>
      <c r="AC379" s="548"/>
    </row>
    <row r="380" spans="1:68" x14ac:dyDescent="0.2">
      <c r="A380" s="559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73"/>
      <c r="P380" s="562" t="s">
        <v>70</v>
      </c>
      <c r="Q380" s="563"/>
      <c r="R380" s="563"/>
      <c r="S380" s="563"/>
      <c r="T380" s="563"/>
      <c r="U380" s="563"/>
      <c r="V380" s="564"/>
      <c r="W380" s="37" t="s">
        <v>68</v>
      </c>
      <c r="X380" s="547">
        <f>IFERROR(SUM(X377:X378),"0")</f>
        <v>2160</v>
      </c>
      <c r="Y380" s="547">
        <f>IFERROR(SUM(Y377:Y378),"0")</f>
        <v>2167.8000000000002</v>
      </c>
      <c r="Z380" s="37"/>
      <c r="AA380" s="548"/>
      <c r="AB380" s="548"/>
      <c r="AC380" s="548"/>
    </row>
    <row r="381" spans="1:68" ht="14.25" customHeight="1" x14ac:dyDescent="0.25">
      <c r="A381" s="558" t="s">
        <v>160</v>
      </c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59"/>
      <c r="P381" s="559"/>
      <c r="Q381" s="559"/>
      <c r="R381" s="559"/>
      <c r="S381" s="559"/>
      <c r="T381" s="559"/>
      <c r="U381" s="559"/>
      <c r="V381" s="559"/>
      <c r="W381" s="559"/>
      <c r="X381" s="559"/>
      <c r="Y381" s="559"/>
      <c r="Z381" s="559"/>
      <c r="AA381" s="541"/>
      <c r="AB381" s="541"/>
      <c r="AC381" s="541"/>
    </row>
    <row r="382" spans="1:68" ht="27" customHeight="1" x14ac:dyDescent="0.25">
      <c r="A382" s="54" t="s">
        <v>587</v>
      </c>
      <c r="B382" s="54" t="s">
        <v>588</v>
      </c>
      <c r="C382" s="31">
        <v>4301060441</v>
      </c>
      <c r="D382" s="549">
        <v>4607091389357</v>
      </c>
      <c r="E382" s="550"/>
      <c r="F382" s="544">
        <v>1.5</v>
      </c>
      <c r="G382" s="32">
        <v>6</v>
      </c>
      <c r="H382" s="544">
        <v>9</v>
      </c>
      <c r="I382" s="544">
        <v>9.4350000000000005</v>
      </c>
      <c r="J382" s="32">
        <v>64</v>
      </c>
      <c r="K382" s="32" t="s">
        <v>101</v>
      </c>
      <c r="L382" s="32"/>
      <c r="M382" s="33" t="s">
        <v>76</v>
      </c>
      <c r="N382" s="33"/>
      <c r="O382" s="32">
        <v>40</v>
      </c>
      <c r="P382" s="63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2"/>
      <c r="R382" s="552"/>
      <c r="S382" s="552"/>
      <c r="T382" s="553"/>
      <c r="U382" s="34"/>
      <c r="V382" s="34"/>
      <c r="W382" s="35" t="s">
        <v>68</v>
      </c>
      <c r="X382" s="545">
        <v>0</v>
      </c>
      <c r="Y382" s="54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589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2"/>
      <c r="B383" s="559"/>
      <c r="C383" s="559"/>
      <c r="D383" s="559"/>
      <c r="E383" s="559"/>
      <c r="F383" s="559"/>
      <c r="G383" s="559"/>
      <c r="H383" s="559"/>
      <c r="I383" s="559"/>
      <c r="J383" s="559"/>
      <c r="K383" s="559"/>
      <c r="L383" s="559"/>
      <c r="M383" s="559"/>
      <c r="N383" s="559"/>
      <c r="O383" s="573"/>
      <c r="P383" s="562" t="s">
        <v>70</v>
      </c>
      <c r="Q383" s="563"/>
      <c r="R383" s="563"/>
      <c r="S383" s="563"/>
      <c r="T383" s="563"/>
      <c r="U383" s="563"/>
      <c r="V383" s="564"/>
      <c r="W383" s="37" t="s">
        <v>71</v>
      </c>
      <c r="X383" s="547">
        <f>IFERROR(X382/H382,"0")</f>
        <v>0</v>
      </c>
      <c r="Y383" s="547">
        <f>IFERROR(Y382/H382,"0")</f>
        <v>0</v>
      </c>
      <c r="Z383" s="547">
        <f>IFERROR(IF(Z382="",0,Z382),"0")</f>
        <v>0</v>
      </c>
      <c r="AA383" s="548"/>
      <c r="AB383" s="548"/>
      <c r="AC383" s="548"/>
    </row>
    <row r="384" spans="1:68" x14ac:dyDescent="0.2">
      <c r="A384" s="559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73"/>
      <c r="P384" s="562" t="s">
        <v>70</v>
      </c>
      <c r="Q384" s="563"/>
      <c r="R384" s="563"/>
      <c r="S384" s="563"/>
      <c r="T384" s="563"/>
      <c r="U384" s="563"/>
      <c r="V384" s="564"/>
      <c r="W384" s="37" t="s">
        <v>68</v>
      </c>
      <c r="X384" s="547">
        <f>IFERROR(SUM(X382:X382),"0")</f>
        <v>0</v>
      </c>
      <c r="Y384" s="547">
        <f>IFERROR(SUM(Y382:Y382),"0")</f>
        <v>0</v>
      </c>
      <c r="Z384" s="37"/>
      <c r="AA384" s="548"/>
      <c r="AB384" s="548"/>
      <c r="AC384" s="548"/>
    </row>
    <row r="385" spans="1:68" ht="27.75" customHeight="1" x14ac:dyDescent="0.2">
      <c r="A385" s="605" t="s">
        <v>590</v>
      </c>
      <c r="B385" s="606"/>
      <c r="C385" s="606"/>
      <c r="D385" s="606"/>
      <c r="E385" s="606"/>
      <c r="F385" s="606"/>
      <c r="G385" s="606"/>
      <c r="H385" s="606"/>
      <c r="I385" s="606"/>
      <c r="J385" s="606"/>
      <c r="K385" s="606"/>
      <c r="L385" s="606"/>
      <c r="M385" s="606"/>
      <c r="N385" s="606"/>
      <c r="O385" s="606"/>
      <c r="P385" s="606"/>
      <c r="Q385" s="606"/>
      <c r="R385" s="606"/>
      <c r="S385" s="606"/>
      <c r="T385" s="606"/>
      <c r="U385" s="606"/>
      <c r="V385" s="606"/>
      <c r="W385" s="606"/>
      <c r="X385" s="606"/>
      <c r="Y385" s="606"/>
      <c r="Z385" s="606"/>
      <c r="AA385" s="48"/>
      <c r="AB385" s="48"/>
      <c r="AC385" s="48"/>
    </row>
    <row r="386" spans="1:68" ht="16.5" customHeight="1" x14ac:dyDescent="0.25">
      <c r="A386" s="567" t="s">
        <v>591</v>
      </c>
      <c r="B386" s="559"/>
      <c r="C386" s="559"/>
      <c r="D386" s="559"/>
      <c r="E386" s="559"/>
      <c r="F386" s="559"/>
      <c r="G386" s="559"/>
      <c r="H386" s="559"/>
      <c r="I386" s="559"/>
      <c r="J386" s="559"/>
      <c r="K386" s="559"/>
      <c r="L386" s="559"/>
      <c r="M386" s="559"/>
      <c r="N386" s="559"/>
      <c r="O386" s="559"/>
      <c r="P386" s="559"/>
      <c r="Q386" s="559"/>
      <c r="R386" s="559"/>
      <c r="S386" s="559"/>
      <c r="T386" s="559"/>
      <c r="U386" s="559"/>
      <c r="V386" s="559"/>
      <c r="W386" s="559"/>
      <c r="X386" s="559"/>
      <c r="Y386" s="559"/>
      <c r="Z386" s="559"/>
      <c r="AA386" s="540"/>
      <c r="AB386" s="540"/>
      <c r="AC386" s="540"/>
    </row>
    <row r="387" spans="1:68" ht="14.25" customHeight="1" x14ac:dyDescent="0.25">
      <c r="A387" s="558" t="s">
        <v>63</v>
      </c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  <c r="T387" s="559"/>
      <c r="U387" s="559"/>
      <c r="V387" s="559"/>
      <c r="W387" s="559"/>
      <c r="X387" s="559"/>
      <c r="Y387" s="559"/>
      <c r="Z387" s="559"/>
      <c r="AA387" s="541"/>
      <c r="AB387" s="541"/>
      <c r="AC387" s="541"/>
    </row>
    <row r="388" spans="1:68" ht="27" customHeight="1" x14ac:dyDescent="0.25">
      <c r="A388" s="54" t="s">
        <v>592</v>
      </c>
      <c r="B388" s="54" t="s">
        <v>593</v>
      </c>
      <c r="C388" s="31">
        <v>4301031405</v>
      </c>
      <c r="D388" s="549">
        <v>4680115886100</v>
      </c>
      <c r="E388" s="550"/>
      <c r="F388" s="544">
        <v>0.9</v>
      </c>
      <c r="G388" s="32">
        <v>6</v>
      </c>
      <c r="H388" s="544">
        <v>5.4</v>
      </c>
      <c r="I388" s="544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68</v>
      </c>
      <c r="X388" s="545">
        <v>0</v>
      </c>
      <c r="Y388" s="546">
        <f t="shared" ref="Y388:Y397" si="42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ref="BM388:BM397" si="43">IFERROR(X388*I388/H388,"0")</f>
        <v>0</v>
      </c>
      <c r="BN388" s="64">
        <f t="shared" ref="BN388:BN397" si="44">IFERROR(Y388*I388/H388,"0")</f>
        <v>0</v>
      </c>
      <c r="BO388" s="64">
        <f t="shared" ref="BO388:BO397" si="45">IFERROR(1/J388*(X388/H388),"0")</f>
        <v>0</v>
      </c>
      <c r="BP388" s="64">
        <f t="shared" ref="BP388:BP397" si="46">IFERROR(1/J388*(Y388/H388),"0")</f>
        <v>0</v>
      </c>
    </row>
    <row r="389" spans="1:68" ht="27" customHeight="1" x14ac:dyDescent="0.25">
      <c r="A389" s="54" t="s">
        <v>595</v>
      </c>
      <c r="B389" s="54" t="s">
        <v>596</v>
      </c>
      <c r="C389" s="31">
        <v>4301031382</v>
      </c>
      <c r="D389" s="549">
        <v>4680115886117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6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5">
        <v>0</v>
      </c>
      <c r="Y389" s="546">
        <f t="shared" si="42"/>
        <v>0</v>
      </c>
      <c r="Z389" s="36" t="str">
        <f>IFERROR(IF(Y389=0,"",ROUNDUP(Y389/H389,0)*0.00902),"")</f>
        <v/>
      </c>
      <c r="AA389" s="56"/>
      <c r="AB389" s="57"/>
      <c r="AC389" s="427" t="s">
        <v>597</v>
      </c>
      <c r="AG389" s="64"/>
      <c r="AJ389" s="68"/>
      <c r="AK389" s="68">
        <v>0</v>
      </c>
      <c r="BB389" s="428" t="s">
        <v>1</v>
      </c>
      <c r="BM389" s="64">
        <f t="shared" si="43"/>
        <v>0</v>
      </c>
      <c r="BN389" s="64">
        <f t="shared" si="44"/>
        <v>0</v>
      </c>
      <c r="BO389" s="64">
        <f t="shared" si="45"/>
        <v>0</v>
      </c>
      <c r="BP389" s="64">
        <f t="shared" si="46"/>
        <v>0</v>
      </c>
    </row>
    <row r="390" spans="1:68" ht="27" customHeight="1" x14ac:dyDescent="0.25">
      <c r="A390" s="54" t="s">
        <v>595</v>
      </c>
      <c r="B390" s="54" t="s">
        <v>598</v>
      </c>
      <c r="C390" s="31">
        <v>4301031406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5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5">
        <v>0</v>
      </c>
      <c r="Y390" s="546">
        <f t="shared" si="42"/>
        <v>0</v>
      </c>
      <c r="Z390" s="36" t="str">
        <f>IFERROR(IF(Y390=0,"",ROUNDUP(Y390/H390,0)*0.00902),"")</f>
        <v/>
      </c>
      <c r="AA390" s="56"/>
      <c r="AB390" s="57"/>
      <c r="AC390" s="429" t="s">
        <v>597</v>
      </c>
      <c r="AG390" s="64"/>
      <c r="AJ390" s="68"/>
      <c r="AK390" s="68">
        <v>0</v>
      </c>
      <c r="BB390" s="430" t="s">
        <v>1</v>
      </c>
      <c r="BM390" s="64">
        <f t="shared" si="43"/>
        <v>0</v>
      </c>
      <c r="BN390" s="64">
        <f t="shared" si="44"/>
        <v>0</v>
      </c>
      <c r="BO390" s="64">
        <f t="shared" si="45"/>
        <v>0</v>
      </c>
      <c r="BP390" s="64">
        <f t="shared" si="46"/>
        <v>0</v>
      </c>
    </row>
    <row r="391" spans="1:68" ht="27" customHeight="1" x14ac:dyDescent="0.25">
      <c r="A391" s="54" t="s">
        <v>599</v>
      </c>
      <c r="B391" s="54" t="s">
        <v>600</v>
      </c>
      <c r="C391" s="31">
        <v>4301031402</v>
      </c>
      <c r="D391" s="549">
        <v>4680115886124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106</v>
      </c>
      <c r="L391" s="32"/>
      <c r="M391" s="33" t="s">
        <v>67</v>
      </c>
      <c r="N391" s="33"/>
      <c r="O391" s="32">
        <v>50</v>
      </c>
      <c r="P391" s="57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5">
        <v>0</v>
      </c>
      <c r="Y391" s="546">
        <f t="shared" si="42"/>
        <v>0</v>
      </c>
      <c r="Z391" s="36" t="str">
        <f>IFERROR(IF(Y391=0,"",ROUNDUP(Y391/H391,0)*0.00902),"")</f>
        <v/>
      </c>
      <c r="AA391" s="56"/>
      <c r="AB391" s="57"/>
      <c r="AC391" s="431" t="s">
        <v>601</v>
      </c>
      <c r="AG391" s="64"/>
      <c r="AJ391" s="68"/>
      <c r="AK391" s="68">
        <v>0</v>
      </c>
      <c r="BB391" s="432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27" customHeight="1" x14ac:dyDescent="0.25">
      <c r="A392" s="54" t="s">
        <v>602</v>
      </c>
      <c r="B392" s="54" t="s">
        <v>603</v>
      </c>
      <c r="C392" s="31">
        <v>4301031366</v>
      </c>
      <c r="D392" s="549">
        <v>4680115883147</v>
      </c>
      <c r="E392" s="550"/>
      <c r="F392" s="544">
        <v>0.28000000000000003</v>
      </c>
      <c r="G392" s="32">
        <v>6</v>
      </c>
      <c r="H392" s="544">
        <v>1.68</v>
      </c>
      <c r="I392" s="544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2"/>
      <c r="R392" s="552"/>
      <c r="S392" s="552"/>
      <c r="T392" s="553"/>
      <c r="U392" s="34"/>
      <c r="V392" s="34"/>
      <c r="W392" s="35" t="s">
        <v>68</v>
      </c>
      <c r="X392" s="545">
        <v>0</v>
      </c>
      <c r="Y392" s="546">
        <f t="shared" si="42"/>
        <v>0</v>
      </c>
      <c r="Z392" s="36" t="str">
        <f t="shared" ref="Z392:Z397" si="47">IFERROR(IF(Y392=0,"",ROUNDUP(Y392/H392,0)*0.00502),"")</f>
        <v/>
      </c>
      <c r="AA392" s="56"/>
      <c r="AB392" s="57"/>
      <c r="AC392" s="433" t="s">
        <v>594</v>
      </c>
      <c r="AG392" s="64"/>
      <c r="AJ392" s="68"/>
      <c r="AK392" s="68">
        <v>0</v>
      </c>
      <c r="BB392" s="434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4301031362</v>
      </c>
      <c r="D393" s="549">
        <v>4607091384338</v>
      </c>
      <c r="E393" s="550"/>
      <c r="F393" s="544">
        <v>0.35</v>
      </c>
      <c r="G393" s="32">
        <v>6</v>
      </c>
      <c r="H393" s="544">
        <v>2.1</v>
      </c>
      <c r="I393" s="544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2"/>
      <c r="R393" s="552"/>
      <c r="S393" s="552"/>
      <c r="T393" s="553"/>
      <c r="U393" s="34"/>
      <c r="V393" s="34"/>
      <c r="W393" s="35" t="s">
        <v>68</v>
      </c>
      <c r="X393" s="545">
        <v>0</v>
      </c>
      <c r="Y393" s="546">
        <f t="shared" si="42"/>
        <v>0</v>
      </c>
      <c r="Z393" s="36" t="str">
        <f t="shared" si="47"/>
        <v/>
      </c>
      <c r="AA393" s="56"/>
      <c r="AB393" s="57"/>
      <c r="AC393" s="435" t="s">
        <v>594</v>
      </c>
      <c r="AG393" s="64"/>
      <c r="AJ393" s="68"/>
      <c r="AK393" s="68">
        <v>0</v>
      </c>
      <c r="BB393" s="436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37.5" customHeight="1" x14ac:dyDescent="0.25">
      <c r="A394" s="54" t="s">
        <v>606</v>
      </c>
      <c r="B394" s="54" t="s">
        <v>607</v>
      </c>
      <c r="C394" s="31">
        <v>4301031361</v>
      </c>
      <c r="D394" s="549">
        <v>4607091389524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68</v>
      </c>
      <c r="X394" s="545">
        <v>0</v>
      </c>
      <c r="Y394" s="546">
        <f t="shared" si="42"/>
        <v>0</v>
      </c>
      <c r="Z394" s="36" t="str">
        <f t="shared" si="47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4301031364</v>
      </c>
      <c r="D395" s="549">
        <v>4680115883161</v>
      </c>
      <c r="E395" s="550"/>
      <c r="F395" s="544">
        <v>0.28000000000000003</v>
      </c>
      <c r="G395" s="32">
        <v>6</v>
      </c>
      <c r="H395" s="544">
        <v>1.68</v>
      </c>
      <c r="I395" s="544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2"/>
      <c r="R395" s="552"/>
      <c r="S395" s="552"/>
      <c r="T395" s="553"/>
      <c r="U395" s="34"/>
      <c r="V395" s="34"/>
      <c r="W395" s="35" t="s">
        <v>68</v>
      </c>
      <c r="X395" s="545">
        <v>0</v>
      </c>
      <c r="Y395" s="546">
        <f t="shared" si="42"/>
        <v>0</v>
      </c>
      <c r="Z395" s="36" t="str">
        <f t="shared" si="47"/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ht="27" customHeight="1" x14ac:dyDescent="0.25">
      <c r="A396" s="54" t="s">
        <v>612</v>
      </c>
      <c r="B396" s="54" t="s">
        <v>613</v>
      </c>
      <c r="C396" s="31">
        <v>4301031358</v>
      </c>
      <c r="D396" s="549">
        <v>4607091389531</v>
      </c>
      <c r="E396" s="550"/>
      <c r="F396" s="544">
        <v>0.35</v>
      </c>
      <c r="G396" s="32">
        <v>6</v>
      </c>
      <c r="H396" s="544">
        <v>2.1</v>
      </c>
      <c r="I396" s="544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2"/>
      <c r="R396" s="552"/>
      <c r="S396" s="552"/>
      <c r="T396" s="553"/>
      <c r="U396" s="34"/>
      <c r="V396" s="34"/>
      <c r="W396" s="35" t="s">
        <v>68</v>
      </c>
      <c r="X396" s="545">
        <v>0</v>
      </c>
      <c r="Y396" s="546">
        <f t="shared" si="42"/>
        <v>0</v>
      </c>
      <c r="Z396" s="36" t="str">
        <f t="shared" si="47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43"/>
        <v>0</v>
      </c>
      <c r="BN396" s="64">
        <f t="shared" si="44"/>
        <v>0</v>
      </c>
      <c r="BO396" s="64">
        <f t="shared" si="45"/>
        <v>0</v>
      </c>
      <c r="BP396" s="64">
        <f t="shared" si="46"/>
        <v>0</v>
      </c>
    </row>
    <row r="397" spans="1:68" ht="37.5" customHeight="1" x14ac:dyDescent="0.25">
      <c r="A397" s="54" t="s">
        <v>615</v>
      </c>
      <c r="B397" s="54" t="s">
        <v>616</v>
      </c>
      <c r="C397" s="31">
        <v>4301031360</v>
      </c>
      <c r="D397" s="549">
        <v>4607091384345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2"/>
      <c r="R397" s="552"/>
      <c r="S397" s="552"/>
      <c r="T397" s="553"/>
      <c r="U397" s="34"/>
      <c r="V397" s="34"/>
      <c r="W397" s="35" t="s">
        <v>68</v>
      </c>
      <c r="X397" s="545">
        <v>0</v>
      </c>
      <c r="Y397" s="546">
        <f t="shared" si="42"/>
        <v>0</v>
      </c>
      <c r="Z397" s="36" t="str">
        <f t="shared" si="47"/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43"/>
        <v>0</v>
      </c>
      <c r="BN397" s="64">
        <f t="shared" si="44"/>
        <v>0</v>
      </c>
      <c r="BO397" s="64">
        <f t="shared" si="45"/>
        <v>0</v>
      </c>
      <c r="BP397" s="64">
        <f t="shared" si="46"/>
        <v>0</v>
      </c>
    </row>
    <row r="398" spans="1:68" x14ac:dyDescent="0.2">
      <c r="A398" s="572"/>
      <c r="B398" s="559"/>
      <c r="C398" s="559"/>
      <c r="D398" s="559"/>
      <c r="E398" s="559"/>
      <c r="F398" s="559"/>
      <c r="G398" s="559"/>
      <c r="H398" s="559"/>
      <c r="I398" s="559"/>
      <c r="J398" s="559"/>
      <c r="K398" s="559"/>
      <c r="L398" s="559"/>
      <c r="M398" s="559"/>
      <c r="N398" s="559"/>
      <c r="O398" s="573"/>
      <c r="P398" s="562" t="s">
        <v>70</v>
      </c>
      <c r="Q398" s="563"/>
      <c r="R398" s="563"/>
      <c r="S398" s="563"/>
      <c r="T398" s="563"/>
      <c r="U398" s="563"/>
      <c r="V398" s="564"/>
      <c r="W398" s="37" t="s">
        <v>71</v>
      </c>
      <c r="X398" s="547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47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47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48"/>
      <c r="AB398" s="548"/>
      <c r="AC398" s="548"/>
    </row>
    <row r="399" spans="1:68" x14ac:dyDescent="0.2">
      <c r="A399" s="559"/>
      <c r="B399" s="559"/>
      <c r="C399" s="559"/>
      <c r="D399" s="559"/>
      <c r="E399" s="559"/>
      <c r="F399" s="559"/>
      <c r="G399" s="559"/>
      <c r="H399" s="559"/>
      <c r="I399" s="559"/>
      <c r="J399" s="559"/>
      <c r="K399" s="559"/>
      <c r="L399" s="559"/>
      <c r="M399" s="559"/>
      <c r="N399" s="559"/>
      <c r="O399" s="573"/>
      <c r="P399" s="562" t="s">
        <v>70</v>
      </c>
      <c r="Q399" s="563"/>
      <c r="R399" s="563"/>
      <c r="S399" s="563"/>
      <c r="T399" s="563"/>
      <c r="U399" s="563"/>
      <c r="V399" s="564"/>
      <c r="W399" s="37" t="s">
        <v>68</v>
      </c>
      <c r="X399" s="547">
        <f>IFERROR(SUM(X388:X397),"0")</f>
        <v>0</v>
      </c>
      <c r="Y399" s="547">
        <f>IFERROR(SUM(Y388:Y397),"0")</f>
        <v>0</v>
      </c>
      <c r="Z399" s="37"/>
      <c r="AA399" s="548"/>
      <c r="AB399" s="548"/>
      <c r="AC399" s="548"/>
    </row>
    <row r="400" spans="1:68" ht="14.25" customHeight="1" x14ac:dyDescent="0.25">
      <c r="A400" s="558" t="s">
        <v>72</v>
      </c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59"/>
      <c r="P400" s="559"/>
      <c r="Q400" s="559"/>
      <c r="R400" s="559"/>
      <c r="S400" s="559"/>
      <c r="T400" s="559"/>
      <c r="U400" s="559"/>
      <c r="V400" s="559"/>
      <c r="W400" s="559"/>
      <c r="X400" s="559"/>
      <c r="Y400" s="559"/>
      <c r="Z400" s="559"/>
      <c r="AA400" s="541"/>
      <c r="AB400" s="541"/>
      <c r="AC400" s="541"/>
    </row>
    <row r="401" spans="1:68" ht="27" customHeight="1" x14ac:dyDescent="0.25">
      <c r="A401" s="54" t="s">
        <v>617</v>
      </c>
      <c r="B401" s="54" t="s">
        <v>618</v>
      </c>
      <c r="C401" s="31">
        <v>4301051284</v>
      </c>
      <c r="D401" s="549">
        <v>4607091384352</v>
      </c>
      <c r="E401" s="550"/>
      <c r="F401" s="544">
        <v>0.6</v>
      </c>
      <c r="G401" s="32">
        <v>4</v>
      </c>
      <c r="H401" s="544">
        <v>2.4</v>
      </c>
      <c r="I401" s="544">
        <v>2.6459999999999999</v>
      </c>
      <c r="J401" s="32">
        <v>132</v>
      </c>
      <c r="K401" s="32" t="s">
        <v>106</v>
      </c>
      <c r="L401" s="32"/>
      <c r="M401" s="33" t="s">
        <v>76</v>
      </c>
      <c r="N401" s="33"/>
      <c r="O401" s="32">
        <v>45</v>
      </c>
      <c r="P401" s="6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2"/>
      <c r="R401" s="552"/>
      <c r="S401" s="552"/>
      <c r="T401" s="553"/>
      <c r="U401" s="34"/>
      <c r="V401" s="34"/>
      <c r="W401" s="35" t="s">
        <v>68</v>
      </c>
      <c r="X401" s="545">
        <v>0</v>
      </c>
      <c r="Y401" s="546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620</v>
      </c>
      <c r="B402" s="54" t="s">
        <v>621</v>
      </c>
      <c r="C402" s="31">
        <v>4301051431</v>
      </c>
      <c r="D402" s="549">
        <v>4607091389654</v>
      </c>
      <c r="E402" s="550"/>
      <c r="F402" s="544">
        <v>0.33</v>
      </c>
      <c r="G402" s="32">
        <v>6</v>
      </c>
      <c r="H402" s="544">
        <v>1.98</v>
      </c>
      <c r="I402" s="544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2"/>
      <c r="R402" s="552"/>
      <c r="S402" s="552"/>
      <c r="T402" s="553"/>
      <c r="U402" s="34"/>
      <c r="V402" s="34"/>
      <c r="W402" s="35" t="s">
        <v>68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622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2"/>
      <c r="B403" s="559"/>
      <c r="C403" s="559"/>
      <c r="D403" s="559"/>
      <c r="E403" s="559"/>
      <c r="F403" s="559"/>
      <c r="G403" s="559"/>
      <c r="H403" s="559"/>
      <c r="I403" s="559"/>
      <c r="J403" s="559"/>
      <c r="K403" s="559"/>
      <c r="L403" s="559"/>
      <c r="M403" s="559"/>
      <c r="N403" s="559"/>
      <c r="O403" s="573"/>
      <c r="P403" s="562" t="s">
        <v>70</v>
      </c>
      <c r="Q403" s="563"/>
      <c r="R403" s="563"/>
      <c r="S403" s="563"/>
      <c r="T403" s="563"/>
      <c r="U403" s="563"/>
      <c r="V403" s="564"/>
      <c r="W403" s="37" t="s">
        <v>71</v>
      </c>
      <c r="X403" s="547">
        <f>IFERROR(X401/H401,"0")+IFERROR(X402/H402,"0")</f>
        <v>0</v>
      </c>
      <c r="Y403" s="547">
        <f>IFERROR(Y401/H401,"0")+IFERROR(Y402/H402,"0")</f>
        <v>0</v>
      </c>
      <c r="Z403" s="547">
        <f>IFERROR(IF(Z401="",0,Z401),"0")+IFERROR(IF(Z402="",0,Z402),"0")</f>
        <v>0</v>
      </c>
      <c r="AA403" s="548"/>
      <c r="AB403" s="548"/>
      <c r="AC403" s="548"/>
    </row>
    <row r="404" spans="1:68" x14ac:dyDescent="0.2">
      <c r="A404" s="559"/>
      <c r="B404" s="559"/>
      <c r="C404" s="559"/>
      <c r="D404" s="559"/>
      <c r="E404" s="559"/>
      <c r="F404" s="559"/>
      <c r="G404" s="559"/>
      <c r="H404" s="559"/>
      <c r="I404" s="559"/>
      <c r="J404" s="559"/>
      <c r="K404" s="559"/>
      <c r="L404" s="559"/>
      <c r="M404" s="559"/>
      <c r="N404" s="559"/>
      <c r="O404" s="573"/>
      <c r="P404" s="562" t="s">
        <v>70</v>
      </c>
      <c r="Q404" s="563"/>
      <c r="R404" s="563"/>
      <c r="S404" s="563"/>
      <c r="T404" s="563"/>
      <c r="U404" s="563"/>
      <c r="V404" s="564"/>
      <c r="W404" s="37" t="s">
        <v>68</v>
      </c>
      <c r="X404" s="547">
        <f>IFERROR(SUM(X401:X402),"0")</f>
        <v>0</v>
      </c>
      <c r="Y404" s="547">
        <f>IFERROR(SUM(Y401:Y402),"0")</f>
        <v>0</v>
      </c>
      <c r="Z404" s="37"/>
      <c r="AA404" s="548"/>
      <c r="AB404" s="548"/>
      <c r="AC404" s="548"/>
    </row>
    <row r="405" spans="1:68" ht="16.5" customHeight="1" x14ac:dyDescent="0.25">
      <c r="A405" s="567" t="s">
        <v>623</v>
      </c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59"/>
      <c r="P405" s="559"/>
      <c r="Q405" s="559"/>
      <c r="R405" s="559"/>
      <c r="S405" s="559"/>
      <c r="T405" s="559"/>
      <c r="U405" s="559"/>
      <c r="V405" s="559"/>
      <c r="W405" s="559"/>
      <c r="X405" s="559"/>
      <c r="Y405" s="559"/>
      <c r="Z405" s="559"/>
      <c r="AA405" s="540"/>
      <c r="AB405" s="540"/>
      <c r="AC405" s="540"/>
    </row>
    <row r="406" spans="1:68" ht="14.25" customHeight="1" x14ac:dyDescent="0.25">
      <c r="A406" s="558" t="s">
        <v>130</v>
      </c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59"/>
      <c r="P406" s="559"/>
      <c r="Q406" s="559"/>
      <c r="R406" s="559"/>
      <c r="S406" s="559"/>
      <c r="T406" s="559"/>
      <c r="U406" s="559"/>
      <c r="V406" s="559"/>
      <c r="W406" s="559"/>
      <c r="X406" s="559"/>
      <c r="Y406" s="559"/>
      <c r="Z406" s="559"/>
      <c r="AA406" s="541"/>
      <c r="AB406" s="541"/>
      <c r="AC406" s="541"/>
    </row>
    <row r="407" spans="1:68" ht="27" customHeight="1" x14ac:dyDescent="0.25">
      <c r="A407" s="54" t="s">
        <v>624</v>
      </c>
      <c r="B407" s="54" t="s">
        <v>625</v>
      </c>
      <c r="C407" s="31">
        <v>4301020319</v>
      </c>
      <c r="D407" s="549">
        <v>4680115885240</v>
      </c>
      <c r="E407" s="550"/>
      <c r="F407" s="544">
        <v>0.35</v>
      </c>
      <c r="G407" s="32">
        <v>6</v>
      </c>
      <c r="H407" s="544">
        <v>2.1</v>
      </c>
      <c r="I407" s="544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2"/>
      <c r="R407" s="552"/>
      <c r="S407" s="552"/>
      <c r="T407" s="553"/>
      <c r="U407" s="34"/>
      <c r="V407" s="34"/>
      <c r="W407" s="35" t="s">
        <v>68</v>
      </c>
      <c r="X407" s="545">
        <v>0</v>
      </c>
      <c r="Y407" s="54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626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2"/>
      <c r="B408" s="559"/>
      <c r="C408" s="559"/>
      <c r="D408" s="559"/>
      <c r="E408" s="559"/>
      <c r="F408" s="559"/>
      <c r="G408" s="559"/>
      <c r="H408" s="559"/>
      <c r="I408" s="559"/>
      <c r="J408" s="559"/>
      <c r="K408" s="559"/>
      <c r="L408" s="559"/>
      <c r="M408" s="559"/>
      <c r="N408" s="559"/>
      <c r="O408" s="573"/>
      <c r="P408" s="562" t="s">
        <v>70</v>
      </c>
      <c r="Q408" s="563"/>
      <c r="R408" s="563"/>
      <c r="S408" s="563"/>
      <c r="T408" s="563"/>
      <c r="U408" s="563"/>
      <c r="V408" s="564"/>
      <c r="W408" s="37" t="s">
        <v>71</v>
      </c>
      <c r="X408" s="547">
        <f>IFERROR(X407/H407,"0")</f>
        <v>0</v>
      </c>
      <c r="Y408" s="547">
        <f>IFERROR(Y407/H407,"0")</f>
        <v>0</v>
      </c>
      <c r="Z408" s="547">
        <f>IFERROR(IF(Z407="",0,Z407),"0")</f>
        <v>0</v>
      </c>
      <c r="AA408" s="548"/>
      <c r="AB408" s="548"/>
      <c r="AC408" s="548"/>
    </row>
    <row r="409" spans="1:68" x14ac:dyDescent="0.2">
      <c r="A409" s="559"/>
      <c r="B409" s="559"/>
      <c r="C409" s="559"/>
      <c r="D409" s="559"/>
      <c r="E409" s="559"/>
      <c r="F409" s="559"/>
      <c r="G409" s="559"/>
      <c r="H409" s="559"/>
      <c r="I409" s="559"/>
      <c r="J409" s="559"/>
      <c r="K409" s="559"/>
      <c r="L409" s="559"/>
      <c r="M409" s="559"/>
      <c r="N409" s="559"/>
      <c r="O409" s="573"/>
      <c r="P409" s="562" t="s">
        <v>70</v>
      </c>
      <c r="Q409" s="563"/>
      <c r="R409" s="563"/>
      <c r="S409" s="563"/>
      <c r="T409" s="563"/>
      <c r="U409" s="563"/>
      <c r="V409" s="564"/>
      <c r="W409" s="37" t="s">
        <v>68</v>
      </c>
      <c r="X409" s="547">
        <f>IFERROR(SUM(X407:X407),"0")</f>
        <v>0</v>
      </c>
      <c r="Y409" s="547">
        <f>IFERROR(SUM(Y407:Y407),"0")</f>
        <v>0</v>
      </c>
      <c r="Z409" s="37"/>
      <c r="AA409" s="548"/>
      <c r="AB409" s="548"/>
      <c r="AC409" s="548"/>
    </row>
    <row r="410" spans="1:68" ht="14.25" customHeight="1" x14ac:dyDescent="0.25">
      <c r="A410" s="558" t="s">
        <v>63</v>
      </c>
      <c r="B410" s="559"/>
      <c r="C410" s="559"/>
      <c r="D410" s="559"/>
      <c r="E410" s="559"/>
      <c r="F410" s="559"/>
      <c r="G410" s="559"/>
      <c r="H410" s="559"/>
      <c r="I410" s="559"/>
      <c r="J410" s="559"/>
      <c r="K410" s="559"/>
      <c r="L410" s="559"/>
      <c r="M410" s="559"/>
      <c r="N410" s="559"/>
      <c r="O410" s="559"/>
      <c r="P410" s="559"/>
      <c r="Q410" s="559"/>
      <c r="R410" s="559"/>
      <c r="S410" s="559"/>
      <c r="T410" s="559"/>
      <c r="U410" s="559"/>
      <c r="V410" s="559"/>
      <c r="W410" s="559"/>
      <c r="X410" s="559"/>
      <c r="Y410" s="559"/>
      <c r="Z410" s="559"/>
      <c r="AA410" s="541"/>
      <c r="AB410" s="541"/>
      <c r="AC410" s="541"/>
    </row>
    <row r="411" spans="1:68" ht="27" customHeight="1" x14ac:dyDescent="0.25">
      <c r="A411" s="54" t="s">
        <v>627</v>
      </c>
      <c r="B411" s="54" t="s">
        <v>628</v>
      </c>
      <c r="C411" s="31">
        <v>4301031403</v>
      </c>
      <c r="D411" s="549">
        <v>4680115886094</v>
      </c>
      <c r="E411" s="550"/>
      <c r="F411" s="544">
        <v>0.9</v>
      </c>
      <c r="G411" s="32">
        <v>6</v>
      </c>
      <c r="H411" s="544">
        <v>5.4</v>
      </c>
      <c r="I411" s="544">
        <v>5.61</v>
      </c>
      <c r="J411" s="32">
        <v>132</v>
      </c>
      <c r="K411" s="32" t="s">
        <v>106</v>
      </c>
      <c r="L411" s="32"/>
      <c r="M411" s="33" t="s">
        <v>102</v>
      </c>
      <c r="N411" s="33"/>
      <c r="O411" s="32">
        <v>50</v>
      </c>
      <c r="P411" s="68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2"/>
      <c r="R411" s="552"/>
      <c r="S411" s="552"/>
      <c r="T411" s="553"/>
      <c r="U411" s="34"/>
      <c r="V411" s="34"/>
      <c r="W411" s="35" t="s">
        <v>68</v>
      </c>
      <c r="X411" s="545">
        <v>0</v>
      </c>
      <c r="Y411" s="546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630</v>
      </c>
      <c r="B412" s="54" t="s">
        <v>631</v>
      </c>
      <c r="C412" s="31">
        <v>4301031363</v>
      </c>
      <c r="D412" s="549">
        <v>4607091389425</v>
      </c>
      <c r="E412" s="550"/>
      <c r="F412" s="544">
        <v>0.35</v>
      </c>
      <c r="G412" s="32">
        <v>6</v>
      </c>
      <c r="H412" s="544">
        <v>2.1</v>
      </c>
      <c r="I412" s="544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2"/>
      <c r="R412" s="552"/>
      <c r="S412" s="552"/>
      <c r="T412" s="553"/>
      <c r="U412" s="34"/>
      <c r="V412" s="34"/>
      <c r="W412" s="35" t="s">
        <v>68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633</v>
      </c>
      <c r="B413" s="54" t="s">
        <v>634</v>
      </c>
      <c r="C413" s="31">
        <v>4301031373</v>
      </c>
      <c r="D413" s="549">
        <v>4680115880771</v>
      </c>
      <c r="E413" s="550"/>
      <c r="F413" s="544">
        <v>0.28000000000000003</v>
      </c>
      <c r="G413" s="32">
        <v>6</v>
      </c>
      <c r="H413" s="544">
        <v>1.68</v>
      </c>
      <c r="I413" s="544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2"/>
      <c r="R413" s="552"/>
      <c r="S413" s="552"/>
      <c r="T413" s="553"/>
      <c r="U413" s="34"/>
      <c r="V413" s="34"/>
      <c r="W413" s="35" t="s">
        <v>68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636</v>
      </c>
      <c r="B414" s="54" t="s">
        <v>637</v>
      </c>
      <c r="C414" s="31">
        <v>4301031359</v>
      </c>
      <c r="D414" s="549">
        <v>4607091389500</v>
      </c>
      <c r="E414" s="550"/>
      <c r="F414" s="544">
        <v>0.35</v>
      </c>
      <c r="G414" s="32">
        <v>6</v>
      </c>
      <c r="H414" s="544">
        <v>2.1</v>
      </c>
      <c r="I414" s="544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2"/>
      <c r="R414" s="552"/>
      <c r="S414" s="552"/>
      <c r="T414" s="553"/>
      <c r="U414" s="34"/>
      <c r="V414" s="34"/>
      <c r="W414" s="35" t="s">
        <v>68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2"/>
      <c r="B415" s="559"/>
      <c r="C415" s="559"/>
      <c r="D415" s="559"/>
      <c r="E415" s="559"/>
      <c r="F415" s="559"/>
      <c r="G415" s="559"/>
      <c r="H415" s="559"/>
      <c r="I415" s="559"/>
      <c r="J415" s="559"/>
      <c r="K415" s="559"/>
      <c r="L415" s="559"/>
      <c r="M415" s="559"/>
      <c r="N415" s="559"/>
      <c r="O415" s="573"/>
      <c r="P415" s="562" t="s">
        <v>70</v>
      </c>
      <c r="Q415" s="563"/>
      <c r="R415" s="563"/>
      <c r="S415" s="563"/>
      <c r="T415" s="563"/>
      <c r="U415" s="563"/>
      <c r="V415" s="564"/>
      <c r="W415" s="37" t="s">
        <v>71</v>
      </c>
      <c r="X415" s="547">
        <f>IFERROR(X411/H411,"0")+IFERROR(X412/H412,"0")+IFERROR(X413/H413,"0")+IFERROR(X414/H414,"0")</f>
        <v>0</v>
      </c>
      <c r="Y415" s="547">
        <f>IFERROR(Y411/H411,"0")+IFERROR(Y412/H412,"0")+IFERROR(Y413/H413,"0")+IFERROR(Y414/H414,"0")</f>
        <v>0</v>
      </c>
      <c r="Z415" s="547">
        <f>IFERROR(IF(Z411="",0,Z411),"0")+IFERROR(IF(Z412="",0,Z412),"0")+IFERROR(IF(Z413="",0,Z413),"0")+IFERROR(IF(Z414="",0,Z414),"0")</f>
        <v>0</v>
      </c>
      <c r="AA415" s="548"/>
      <c r="AB415" s="548"/>
      <c r="AC415" s="548"/>
    </row>
    <row r="416" spans="1:68" x14ac:dyDescent="0.2">
      <c r="A416" s="559"/>
      <c r="B416" s="559"/>
      <c r="C416" s="559"/>
      <c r="D416" s="559"/>
      <c r="E416" s="559"/>
      <c r="F416" s="559"/>
      <c r="G416" s="559"/>
      <c r="H416" s="559"/>
      <c r="I416" s="559"/>
      <c r="J416" s="559"/>
      <c r="K416" s="559"/>
      <c r="L416" s="559"/>
      <c r="M416" s="559"/>
      <c r="N416" s="559"/>
      <c r="O416" s="573"/>
      <c r="P416" s="562" t="s">
        <v>70</v>
      </c>
      <c r="Q416" s="563"/>
      <c r="R416" s="563"/>
      <c r="S416" s="563"/>
      <c r="T416" s="563"/>
      <c r="U416" s="563"/>
      <c r="V416" s="564"/>
      <c r="W416" s="37" t="s">
        <v>68</v>
      </c>
      <c r="X416" s="547">
        <f>IFERROR(SUM(X411:X414),"0")</f>
        <v>0</v>
      </c>
      <c r="Y416" s="547">
        <f>IFERROR(SUM(Y411:Y414),"0")</f>
        <v>0</v>
      </c>
      <c r="Z416" s="37"/>
      <c r="AA416" s="548"/>
      <c r="AB416" s="548"/>
      <c r="AC416" s="548"/>
    </row>
    <row r="417" spans="1:68" ht="16.5" customHeight="1" x14ac:dyDescent="0.25">
      <c r="A417" s="567" t="s">
        <v>638</v>
      </c>
      <c r="B417" s="559"/>
      <c r="C417" s="559"/>
      <c r="D417" s="559"/>
      <c r="E417" s="559"/>
      <c r="F417" s="559"/>
      <c r="G417" s="559"/>
      <c r="H417" s="559"/>
      <c r="I417" s="559"/>
      <c r="J417" s="559"/>
      <c r="K417" s="559"/>
      <c r="L417" s="559"/>
      <c r="M417" s="559"/>
      <c r="N417" s="559"/>
      <c r="O417" s="559"/>
      <c r="P417" s="559"/>
      <c r="Q417" s="559"/>
      <c r="R417" s="559"/>
      <c r="S417" s="559"/>
      <c r="T417" s="559"/>
      <c r="U417" s="559"/>
      <c r="V417" s="559"/>
      <c r="W417" s="559"/>
      <c r="X417" s="559"/>
      <c r="Y417" s="559"/>
      <c r="Z417" s="559"/>
      <c r="AA417" s="540"/>
      <c r="AB417" s="540"/>
      <c r="AC417" s="540"/>
    </row>
    <row r="418" spans="1:68" ht="14.25" customHeight="1" x14ac:dyDescent="0.25">
      <c r="A418" s="558" t="s">
        <v>63</v>
      </c>
      <c r="B418" s="559"/>
      <c r="C418" s="559"/>
      <c r="D418" s="559"/>
      <c r="E418" s="559"/>
      <c r="F418" s="559"/>
      <c r="G418" s="559"/>
      <c r="H418" s="559"/>
      <c r="I418" s="559"/>
      <c r="J418" s="559"/>
      <c r="K418" s="559"/>
      <c r="L418" s="559"/>
      <c r="M418" s="559"/>
      <c r="N418" s="559"/>
      <c r="O418" s="559"/>
      <c r="P418" s="559"/>
      <c r="Q418" s="559"/>
      <c r="R418" s="559"/>
      <c r="S418" s="559"/>
      <c r="T418" s="559"/>
      <c r="U418" s="559"/>
      <c r="V418" s="559"/>
      <c r="W418" s="559"/>
      <c r="X418" s="559"/>
      <c r="Y418" s="559"/>
      <c r="Z418" s="559"/>
      <c r="AA418" s="541"/>
      <c r="AB418" s="541"/>
      <c r="AC418" s="541"/>
    </row>
    <row r="419" spans="1:68" ht="27" customHeight="1" x14ac:dyDescent="0.25">
      <c r="A419" s="54" t="s">
        <v>639</v>
      </c>
      <c r="B419" s="54" t="s">
        <v>640</v>
      </c>
      <c r="C419" s="31">
        <v>4301031347</v>
      </c>
      <c r="D419" s="549">
        <v>4680115885110</v>
      </c>
      <c r="E419" s="550"/>
      <c r="F419" s="544">
        <v>0.2</v>
      </c>
      <c r="G419" s="32">
        <v>6</v>
      </c>
      <c r="H419" s="544">
        <v>1.2</v>
      </c>
      <c r="I419" s="544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2"/>
      <c r="R419" s="552"/>
      <c r="S419" s="552"/>
      <c r="T419" s="553"/>
      <c r="U419" s="34"/>
      <c r="V419" s="34"/>
      <c r="W419" s="35" t="s">
        <v>68</v>
      </c>
      <c r="X419" s="545">
        <v>0</v>
      </c>
      <c r="Y419" s="546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641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72"/>
      <c r="B420" s="559"/>
      <c r="C420" s="559"/>
      <c r="D420" s="559"/>
      <c r="E420" s="559"/>
      <c r="F420" s="559"/>
      <c r="G420" s="559"/>
      <c r="H420" s="559"/>
      <c r="I420" s="559"/>
      <c r="J420" s="559"/>
      <c r="K420" s="559"/>
      <c r="L420" s="559"/>
      <c r="M420" s="559"/>
      <c r="N420" s="559"/>
      <c r="O420" s="573"/>
      <c r="P420" s="562" t="s">
        <v>70</v>
      </c>
      <c r="Q420" s="563"/>
      <c r="R420" s="563"/>
      <c r="S420" s="563"/>
      <c r="T420" s="563"/>
      <c r="U420" s="563"/>
      <c r="V420" s="564"/>
      <c r="W420" s="37" t="s">
        <v>71</v>
      </c>
      <c r="X420" s="547">
        <f>IFERROR(X419/H419,"0")</f>
        <v>0</v>
      </c>
      <c r="Y420" s="547">
        <f>IFERROR(Y419/H419,"0")</f>
        <v>0</v>
      </c>
      <c r="Z420" s="547">
        <f>IFERROR(IF(Z419="",0,Z419),"0")</f>
        <v>0</v>
      </c>
      <c r="AA420" s="548"/>
      <c r="AB420" s="548"/>
      <c r="AC420" s="548"/>
    </row>
    <row r="421" spans="1:68" x14ac:dyDescent="0.2">
      <c r="A421" s="559"/>
      <c r="B421" s="559"/>
      <c r="C421" s="559"/>
      <c r="D421" s="559"/>
      <c r="E421" s="559"/>
      <c r="F421" s="559"/>
      <c r="G421" s="559"/>
      <c r="H421" s="559"/>
      <c r="I421" s="559"/>
      <c r="J421" s="559"/>
      <c r="K421" s="559"/>
      <c r="L421" s="559"/>
      <c r="M421" s="559"/>
      <c r="N421" s="559"/>
      <c r="O421" s="573"/>
      <c r="P421" s="562" t="s">
        <v>70</v>
      </c>
      <c r="Q421" s="563"/>
      <c r="R421" s="563"/>
      <c r="S421" s="563"/>
      <c r="T421" s="563"/>
      <c r="U421" s="563"/>
      <c r="V421" s="564"/>
      <c r="W421" s="37" t="s">
        <v>68</v>
      </c>
      <c r="X421" s="547">
        <f>IFERROR(SUM(X419:X419),"0")</f>
        <v>0</v>
      </c>
      <c r="Y421" s="547">
        <f>IFERROR(SUM(Y419:Y419),"0")</f>
        <v>0</v>
      </c>
      <c r="Z421" s="37"/>
      <c r="AA421" s="548"/>
      <c r="AB421" s="548"/>
      <c r="AC421" s="548"/>
    </row>
    <row r="422" spans="1:68" ht="16.5" customHeight="1" x14ac:dyDescent="0.25">
      <c r="A422" s="567" t="s">
        <v>642</v>
      </c>
      <c r="B422" s="559"/>
      <c r="C422" s="559"/>
      <c r="D422" s="559"/>
      <c r="E422" s="559"/>
      <c r="F422" s="559"/>
      <c r="G422" s="559"/>
      <c r="H422" s="559"/>
      <c r="I422" s="559"/>
      <c r="J422" s="559"/>
      <c r="K422" s="559"/>
      <c r="L422" s="559"/>
      <c r="M422" s="559"/>
      <c r="N422" s="559"/>
      <c r="O422" s="559"/>
      <c r="P422" s="559"/>
      <c r="Q422" s="559"/>
      <c r="R422" s="559"/>
      <c r="S422" s="559"/>
      <c r="T422" s="559"/>
      <c r="U422" s="559"/>
      <c r="V422" s="559"/>
      <c r="W422" s="559"/>
      <c r="X422" s="559"/>
      <c r="Y422" s="559"/>
      <c r="Z422" s="559"/>
      <c r="AA422" s="540"/>
      <c r="AB422" s="540"/>
      <c r="AC422" s="540"/>
    </row>
    <row r="423" spans="1:68" ht="14.25" customHeight="1" x14ac:dyDescent="0.25">
      <c r="A423" s="558" t="s">
        <v>63</v>
      </c>
      <c r="B423" s="559"/>
      <c r="C423" s="559"/>
      <c r="D423" s="559"/>
      <c r="E423" s="559"/>
      <c r="F423" s="559"/>
      <c r="G423" s="559"/>
      <c r="H423" s="559"/>
      <c r="I423" s="559"/>
      <c r="J423" s="559"/>
      <c r="K423" s="559"/>
      <c r="L423" s="559"/>
      <c r="M423" s="559"/>
      <c r="N423" s="559"/>
      <c r="O423" s="559"/>
      <c r="P423" s="559"/>
      <c r="Q423" s="559"/>
      <c r="R423" s="559"/>
      <c r="S423" s="559"/>
      <c r="T423" s="559"/>
      <c r="U423" s="559"/>
      <c r="V423" s="559"/>
      <c r="W423" s="559"/>
      <c r="X423" s="559"/>
      <c r="Y423" s="559"/>
      <c r="Z423" s="559"/>
      <c r="AA423" s="541"/>
      <c r="AB423" s="541"/>
      <c r="AC423" s="541"/>
    </row>
    <row r="424" spans="1:68" ht="27" customHeight="1" x14ac:dyDescent="0.25">
      <c r="A424" s="54" t="s">
        <v>643</v>
      </c>
      <c r="B424" s="54" t="s">
        <v>644</v>
      </c>
      <c r="C424" s="31">
        <v>4301031261</v>
      </c>
      <c r="D424" s="549">
        <v>4680115885103</v>
      </c>
      <c r="E424" s="550"/>
      <c r="F424" s="544">
        <v>0.27</v>
      </c>
      <c r="G424" s="32">
        <v>6</v>
      </c>
      <c r="H424" s="544">
        <v>1.62</v>
      </c>
      <c r="I424" s="544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2"/>
      <c r="R424" s="552"/>
      <c r="S424" s="552"/>
      <c r="T424" s="553"/>
      <c r="U424" s="34"/>
      <c r="V424" s="34"/>
      <c r="W424" s="35" t="s">
        <v>68</v>
      </c>
      <c r="X424" s="545">
        <v>0</v>
      </c>
      <c r="Y424" s="546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645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2"/>
      <c r="B425" s="559"/>
      <c r="C425" s="559"/>
      <c r="D425" s="559"/>
      <c r="E425" s="559"/>
      <c r="F425" s="559"/>
      <c r="G425" s="559"/>
      <c r="H425" s="559"/>
      <c r="I425" s="559"/>
      <c r="J425" s="559"/>
      <c r="K425" s="559"/>
      <c r="L425" s="559"/>
      <c r="M425" s="559"/>
      <c r="N425" s="559"/>
      <c r="O425" s="573"/>
      <c r="P425" s="562" t="s">
        <v>70</v>
      </c>
      <c r="Q425" s="563"/>
      <c r="R425" s="563"/>
      <c r="S425" s="563"/>
      <c r="T425" s="563"/>
      <c r="U425" s="563"/>
      <c r="V425" s="564"/>
      <c r="W425" s="37" t="s">
        <v>71</v>
      </c>
      <c r="X425" s="547">
        <f>IFERROR(X424/H424,"0")</f>
        <v>0</v>
      </c>
      <c r="Y425" s="547">
        <f>IFERROR(Y424/H424,"0")</f>
        <v>0</v>
      </c>
      <c r="Z425" s="547">
        <f>IFERROR(IF(Z424="",0,Z424),"0")</f>
        <v>0</v>
      </c>
      <c r="AA425" s="548"/>
      <c r="AB425" s="548"/>
      <c r="AC425" s="548"/>
    </row>
    <row r="426" spans="1:68" x14ac:dyDescent="0.2">
      <c r="A426" s="559"/>
      <c r="B426" s="559"/>
      <c r="C426" s="559"/>
      <c r="D426" s="559"/>
      <c r="E426" s="559"/>
      <c r="F426" s="559"/>
      <c r="G426" s="559"/>
      <c r="H426" s="559"/>
      <c r="I426" s="559"/>
      <c r="J426" s="559"/>
      <c r="K426" s="559"/>
      <c r="L426" s="559"/>
      <c r="M426" s="559"/>
      <c r="N426" s="559"/>
      <c r="O426" s="573"/>
      <c r="P426" s="562" t="s">
        <v>70</v>
      </c>
      <c r="Q426" s="563"/>
      <c r="R426" s="563"/>
      <c r="S426" s="563"/>
      <c r="T426" s="563"/>
      <c r="U426" s="563"/>
      <c r="V426" s="564"/>
      <c r="W426" s="37" t="s">
        <v>68</v>
      </c>
      <c r="X426" s="547">
        <f>IFERROR(SUM(X424:X424),"0")</f>
        <v>0</v>
      </c>
      <c r="Y426" s="547">
        <f>IFERROR(SUM(Y424:Y424),"0")</f>
        <v>0</v>
      </c>
      <c r="Z426" s="37"/>
      <c r="AA426" s="548"/>
      <c r="AB426" s="548"/>
      <c r="AC426" s="548"/>
    </row>
    <row r="427" spans="1:68" ht="27.75" customHeight="1" x14ac:dyDescent="0.2">
      <c r="A427" s="605" t="s">
        <v>646</v>
      </c>
      <c r="B427" s="606"/>
      <c r="C427" s="606"/>
      <c r="D427" s="606"/>
      <c r="E427" s="606"/>
      <c r="F427" s="606"/>
      <c r="G427" s="606"/>
      <c r="H427" s="606"/>
      <c r="I427" s="606"/>
      <c r="J427" s="606"/>
      <c r="K427" s="606"/>
      <c r="L427" s="606"/>
      <c r="M427" s="606"/>
      <c r="N427" s="606"/>
      <c r="O427" s="606"/>
      <c r="P427" s="606"/>
      <c r="Q427" s="606"/>
      <c r="R427" s="606"/>
      <c r="S427" s="606"/>
      <c r="T427" s="606"/>
      <c r="U427" s="606"/>
      <c r="V427" s="606"/>
      <c r="W427" s="606"/>
      <c r="X427" s="606"/>
      <c r="Y427" s="606"/>
      <c r="Z427" s="606"/>
      <c r="AA427" s="48"/>
      <c r="AB427" s="48"/>
      <c r="AC427" s="48"/>
    </row>
    <row r="428" spans="1:68" ht="16.5" customHeight="1" x14ac:dyDescent="0.25">
      <c r="A428" s="567" t="s">
        <v>646</v>
      </c>
      <c r="B428" s="559"/>
      <c r="C428" s="559"/>
      <c r="D428" s="559"/>
      <c r="E428" s="559"/>
      <c r="F428" s="559"/>
      <c r="G428" s="559"/>
      <c r="H428" s="559"/>
      <c r="I428" s="559"/>
      <c r="J428" s="559"/>
      <c r="K428" s="559"/>
      <c r="L428" s="559"/>
      <c r="M428" s="559"/>
      <c r="N428" s="559"/>
      <c r="O428" s="559"/>
      <c r="P428" s="559"/>
      <c r="Q428" s="559"/>
      <c r="R428" s="559"/>
      <c r="S428" s="559"/>
      <c r="T428" s="559"/>
      <c r="U428" s="559"/>
      <c r="V428" s="559"/>
      <c r="W428" s="559"/>
      <c r="X428" s="559"/>
      <c r="Y428" s="559"/>
      <c r="Z428" s="559"/>
      <c r="AA428" s="540"/>
      <c r="AB428" s="540"/>
      <c r="AC428" s="540"/>
    </row>
    <row r="429" spans="1:68" ht="14.25" customHeight="1" x14ac:dyDescent="0.25">
      <c r="A429" s="558" t="s">
        <v>98</v>
      </c>
      <c r="B429" s="559"/>
      <c r="C429" s="559"/>
      <c r="D429" s="559"/>
      <c r="E429" s="559"/>
      <c r="F429" s="559"/>
      <c r="G429" s="559"/>
      <c r="H429" s="559"/>
      <c r="I429" s="559"/>
      <c r="J429" s="559"/>
      <c r="K429" s="559"/>
      <c r="L429" s="559"/>
      <c r="M429" s="559"/>
      <c r="N429" s="559"/>
      <c r="O429" s="559"/>
      <c r="P429" s="559"/>
      <c r="Q429" s="559"/>
      <c r="R429" s="559"/>
      <c r="S429" s="559"/>
      <c r="T429" s="559"/>
      <c r="U429" s="559"/>
      <c r="V429" s="559"/>
      <c r="W429" s="559"/>
      <c r="X429" s="559"/>
      <c r="Y429" s="559"/>
      <c r="Z429" s="559"/>
      <c r="AA429" s="541"/>
      <c r="AB429" s="541"/>
      <c r="AC429" s="541"/>
    </row>
    <row r="430" spans="1:68" ht="27" customHeight="1" x14ac:dyDescent="0.25">
      <c r="A430" s="54" t="s">
        <v>647</v>
      </c>
      <c r="B430" s="54" t="s">
        <v>648</v>
      </c>
      <c r="C430" s="31">
        <v>4301011795</v>
      </c>
      <c r="D430" s="549">
        <v>4607091389067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2"/>
      <c r="R430" s="552"/>
      <c r="S430" s="552"/>
      <c r="T430" s="553"/>
      <c r="U430" s="34"/>
      <c r="V430" s="34"/>
      <c r="W430" s="35" t="s">
        <v>68</v>
      </c>
      <c r="X430" s="545">
        <v>0</v>
      </c>
      <c r="Y430" s="546">
        <f t="shared" ref="Y430:Y441" si="48">IFERROR(IF(X430="",0,CEILING((X430/$H430),1)*$H430),"")</f>
        <v>0</v>
      </c>
      <c r="Z430" s="36" t="str">
        <f t="shared" ref="Z430:Z436" si="49">IFERROR(IF(Y430=0,"",ROUNDUP(Y430/H430,0)*0.01196),"")</f>
        <v/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ref="BM430:BM441" si="50">IFERROR(X430*I430/H430,"0")</f>
        <v>0</v>
      </c>
      <c r="BN430" s="64">
        <f t="shared" ref="BN430:BN441" si="51">IFERROR(Y430*I430/H430,"0")</f>
        <v>0</v>
      </c>
      <c r="BO430" s="64">
        <f t="shared" ref="BO430:BO441" si="52">IFERROR(1/J430*(X430/H430),"0")</f>
        <v>0</v>
      </c>
      <c r="BP430" s="64">
        <f t="shared" ref="BP430:BP441" si="53">IFERROR(1/J430*(Y430/H430),"0")</f>
        <v>0</v>
      </c>
    </row>
    <row r="431" spans="1:68" ht="27" customHeight="1" x14ac:dyDescent="0.25">
      <c r="A431" s="54" t="s">
        <v>650</v>
      </c>
      <c r="B431" s="54" t="s">
        <v>651</v>
      </c>
      <c r="C431" s="31">
        <v>4301011961</v>
      </c>
      <c r="D431" s="549">
        <v>4680115885271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101</v>
      </c>
      <c r="L431" s="32"/>
      <c r="M431" s="33" t="s">
        <v>102</v>
      </c>
      <c r="N431" s="33"/>
      <c r="O431" s="32">
        <v>60</v>
      </c>
      <c r="P431" s="6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2"/>
      <c r="R431" s="552"/>
      <c r="S431" s="552"/>
      <c r="T431" s="553"/>
      <c r="U431" s="34"/>
      <c r="V431" s="34"/>
      <c r="W431" s="35" t="s">
        <v>68</v>
      </c>
      <c r="X431" s="545">
        <v>500</v>
      </c>
      <c r="Y431" s="546">
        <f t="shared" si="48"/>
        <v>501.6</v>
      </c>
      <c r="Z431" s="36">
        <f t="shared" si="49"/>
        <v>1.1362000000000001</v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50"/>
        <v>534.09090909090912</v>
      </c>
      <c r="BN431" s="64">
        <f t="shared" si="51"/>
        <v>535.79999999999995</v>
      </c>
      <c r="BO431" s="64">
        <f t="shared" si="52"/>
        <v>0.91054778554778548</v>
      </c>
      <c r="BP431" s="64">
        <f t="shared" si="53"/>
        <v>0.91346153846153855</v>
      </c>
    </row>
    <row r="432" spans="1:68" ht="27" customHeight="1" x14ac:dyDescent="0.25">
      <c r="A432" s="54" t="s">
        <v>653</v>
      </c>
      <c r="B432" s="54" t="s">
        <v>654</v>
      </c>
      <c r="C432" s="31">
        <v>4301011376</v>
      </c>
      <c r="D432" s="549">
        <v>4680115885226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101</v>
      </c>
      <c r="L432" s="32"/>
      <c r="M432" s="33" t="s">
        <v>76</v>
      </c>
      <c r="N432" s="33"/>
      <c r="O432" s="32">
        <v>60</v>
      </c>
      <c r="P432" s="5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2"/>
      <c r="R432" s="552"/>
      <c r="S432" s="552"/>
      <c r="T432" s="553"/>
      <c r="U432" s="34"/>
      <c r="V432" s="34"/>
      <c r="W432" s="35" t="s">
        <v>68</v>
      </c>
      <c r="X432" s="545">
        <v>1000</v>
      </c>
      <c r="Y432" s="546">
        <f t="shared" si="48"/>
        <v>1003.2</v>
      </c>
      <c r="Z432" s="36">
        <f t="shared" si="49"/>
        <v>2.2724000000000002</v>
      </c>
      <c r="AA432" s="56"/>
      <c r="AB432" s="57"/>
      <c r="AC432" s="467" t="s">
        <v>655</v>
      </c>
      <c r="AG432" s="64"/>
      <c r="AJ432" s="68"/>
      <c r="AK432" s="68">
        <v>0</v>
      </c>
      <c r="BB432" s="468" t="s">
        <v>1</v>
      </c>
      <c r="BM432" s="64">
        <f t="shared" si="50"/>
        <v>1068.1818181818182</v>
      </c>
      <c r="BN432" s="64">
        <f t="shared" si="51"/>
        <v>1071.5999999999999</v>
      </c>
      <c r="BO432" s="64">
        <f t="shared" si="52"/>
        <v>1.821095571095571</v>
      </c>
      <c r="BP432" s="64">
        <f t="shared" si="53"/>
        <v>1.8269230769230771</v>
      </c>
    </row>
    <row r="433" spans="1:68" ht="27" customHeight="1" x14ac:dyDescent="0.25">
      <c r="A433" s="54" t="s">
        <v>656</v>
      </c>
      <c r="B433" s="54" t="s">
        <v>657</v>
      </c>
      <c r="C433" s="31">
        <v>4301012145</v>
      </c>
      <c r="D433" s="549">
        <v>4607091383522</v>
      </c>
      <c r="E433" s="550"/>
      <c r="F433" s="544">
        <v>0.88</v>
      </c>
      <c r="G433" s="32">
        <v>6</v>
      </c>
      <c r="H433" s="544">
        <v>5.28</v>
      </c>
      <c r="I433" s="544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50" t="s">
        <v>658</v>
      </c>
      <c r="Q433" s="552"/>
      <c r="R433" s="552"/>
      <c r="S433" s="552"/>
      <c r="T433" s="553"/>
      <c r="U433" s="34"/>
      <c r="V433" s="34"/>
      <c r="W433" s="35" t="s">
        <v>68</v>
      </c>
      <c r="X433" s="545">
        <v>0</v>
      </c>
      <c r="Y433" s="546">
        <f t="shared" si="48"/>
        <v>0</v>
      </c>
      <c r="Z433" s="36" t="str">
        <f t="shared" si="49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16.5" customHeight="1" x14ac:dyDescent="0.25">
      <c r="A434" s="54" t="s">
        <v>660</v>
      </c>
      <c r="B434" s="54" t="s">
        <v>661</v>
      </c>
      <c r="C434" s="31">
        <v>4301011774</v>
      </c>
      <c r="D434" s="549">
        <v>4680115884502</v>
      </c>
      <c r="E434" s="550"/>
      <c r="F434" s="544">
        <v>0.88</v>
      </c>
      <c r="G434" s="32">
        <v>6</v>
      </c>
      <c r="H434" s="544">
        <v>5.28</v>
      </c>
      <c r="I434" s="544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5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2"/>
      <c r="R434" s="552"/>
      <c r="S434" s="552"/>
      <c r="T434" s="553"/>
      <c r="U434" s="34"/>
      <c r="V434" s="34"/>
      <c r="W434" s="35" t="s">
        <v>68</v>
      </c>
      <c r="X434" s="545">
        <v>0</v>
      </c>
      <c r="Y434" s="546">
        <f t="shared" si="48"/>
        <v>0</v>
      </c>
      <c r="Z434" s="36" t="str">
        <f t="shared" si="49"/>
        <v/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t="27" customHeight="1" x14ac:dyDescent="0.25">
      <c r="A435" s="54" t="s">
        <v>663</v>
      </c>
      <c r="B435" s="54" t="s">
        <v>664</v>
      </c>
      <c r="C435" s="31">
        <v>4301011771</v>
      </c>
      <c r="D435" s="549">
        <v>4607091389104</v>
      </c>
      <c r="E435" s="550"/>
      <c r="F435" s="544">
        <v>0.88</v>
      </c>
      <c r="G435" s="32">
        <v>6</v>
      </c>
      <c r="H435" s="544">
        <v>5.28</v>
      </c>
      <c r="I435" s="544">
        <v>5.64</v>
      </c>
      <c r="J435" s="32">
        <v>104</v>
      </c>
      <c r="K435" s="32" t="s">
        <v>101</v>
      </c>
      <c r="L435" s="32"/>
      <c r="M435" s="33" t="s">
        <v>102</v>
      </c>
      <c r="N435" s="33"/>
      <c r="O435" s="32">
        <v>60</v>
      </c>
      <c r="P435" s="8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5">
        <v>1000</v>
      </c>
      <c r="Y435" s="546">
        <f t="shared" si="48"/>
        <v>1003.2</v>
      </c>
      <c r="Z435" s="36">
        <f t="shared" si="49"/>
        <v>2.2724000000000002</v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50"/>
        <v>1068.1818181818182</v>
      </c>
      <c r="BN435" s="64">
        <f t="shared" si="51"/>
        <v>1071.5999999999999</v>
      </c>
      <c r="BO435" s="64">
        <f t="shared" si="52"/>
        <v>1.821095571095571</v>
      </c>
      <c r="BP435" s="64">
        <f t="shared" si="53"/>
        <v>1.8269230769230771</v>
      </c>
    </row>
    <row r="436" spans="1:68" ht="16.5" customHeight="1" x14ac:dyDescent="0.25">
      <c r="A436" s="54" t="s">
        <v>666</v>
      </c>
      <c r="B436" s="54" t="s">
        <v>667</v>
      </c>
      <c r="C436" s="31">
        <v>4301011799</v>
      </c>
      <c r="D436" s="549">
        <v>4680115884519</v>
      </c>
      <c r="E436" s="550"/>
      <c r="F436" s="544">
        <v>0.88</v>
      </c>
      <c r="G436" s="32">
        <v>6</v>
      </c>
      <c r="H436" s="544">
        <v>5.28</v>
      </c>
      <c r="I436" s="544">
        <v>5.64</v>
      </c>
      <c r="J436" s="32">
        <v>104</v>
      </c>
      <c r="K436" s="32" t="s">
        <v>101</v>
      </c>
      <c r="L436" s="32"/>
      <c r="M436" s="33" t="s">
        <v>76</v>
      </c>
      <c r="N436" s="33"/>
      <c r="O436" s="32">
        <v>60</v>
      </c>
      <c r="P436" s="86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2"/>
      <c r="R436" s="552"/>
      <c r="S436" s="552"/>
      <c r="T436" s="553"/>
      <c r="U436" s="34"/>
      <c r="V436" s="34"/>
      <c r="W436" s="35" t="s">
        <v>68</v>
      </c>
      <c r="X436" s="545">
        <v>0</v>
      </c>
      <c r="Y436" s="546">
        <f t="shared" si="48"/>
        <v>0</v>
      </c>
      <c r="Z436" s="36" t="str">
        <f t="shared" si="49"/>
        <v/>
      </c>
      <c r="AA436" s="56"/>
      <c r="AB436" s="57"/>
      <c r="AC436" s="475" t="s">
        <v>668</v>
      </c>
      <c r="AG436" s="64"/>
      <c r="AJ436" s="68"/>
      <c r="AK436" s="68">
        <v>0</v>
      </c>
      <c r="BB436" s="476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customHeight="1" x14ac:dyDescent="0.25">
      <c r="A437" s="54" t="s">
        <v>669</v>
      </c>
      <c r="B437" s="54" t="s">
        <v>670</v>
      </c>
      <c r="C437" s="31">
        <v>4301012125</v>
      </c>
      <c r="D437" s="549">
        <v>4680115886391</v>
      </c>
      <c r="E437" s="550"/>
      <c r="F437" s="544">
        <v>0.4</v>
      </c>
      <c r="G437" s="32">
        <v>6</v>
      </c>
      <c r="H437" s="544">
        <v>2.4</v>
      </c>
      <c r="I437" s="544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2"/>
      <c r="R437" s="552"/>
      <c r="S437" s="552"/>
      <c r="T437" s="553"/>
      <c r="U437" s="34"/>
      <c r="V437" s="34"/>
      <c r="W437" s="35" t="s">
        <v>68</v>
      </c>
      <c r="X437" s="545">
        <v>0</v>
      </c>
      <c r="Y437" s="546">
        <f t="shared" si="48"/>
        <v>0</v>
      </c>
      <c r="Z437" s="36" t="str">
        <f>IFERROR(IF(Y437=0,"",ROUNDUP(Y437/H437,0)*0.00651),"")</f>
        <v/>
      </c>
      <c r="AA437" s="56"/>
      <c r="AB437" s="57"/>
      <c r="AC437" s="477" t="s">
        <v>649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customHeight="1" x14ac:dyDescent="0.25">
      <c r="A438" s="54" t="s">
        <v>671</v>
      </c>
      <c r="B438" s="54" t="s">
        <v>672</v>
      </c>
      <c r="C438" s="31">
        <v>4301012035</v>
      </c>
      <c r="D438" s="549">
        <v>4680115880603</v>
      </c>
      <c r="E438" s="550"/>
      <c r="F438" s="544">
        <v>0.6</v>
      </c>
      <c r="G438" s="32">
        <v>8</v>
      </c>
      <c r="H438" s="544">
        <v>4.8</v>
      </c>
      <c r="I438" s="544">
        <v>6.93</v>
      </c>
      <c r="J438" s="32">
        <v>132</v>
      </c>
      <c r="K438" s="32" t="s">
        <v>106</v>
      </c>
      <c r="L438" s="32"/>
      <c r="M438" s="33" t="s">
        <v>102</v>
      </c>
      <c r="N438" s="33"/>
      <c r="O438" s="32">
        <v>60</v>
      </c>
      <c r="P438" s="71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5">
        <v>0</v>
      </c>
      <c r="Y438" s="546">
        <f t="shared" si="48"/>
        <v>0</v>
      </c>
      <c r="Z438" s="36" t="str">
        <f>IFERROR(IF(Y438=0,"",ROUNDUP(Y438/H438,0)*0.00902),"")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customHeight="1" x14ac:dyDescent="0.25">
      <c r="A439" s="54" t="s">
        <v>673</v>
      </c>
      <c r="B439" s="54" t="s">
        <v>674</v>
      </c>
      <c r="C439" s="31">
        <v>4301012036</v>
      </c>
      <c r="D439" s="549">
        <v>4680115882782</v>
      </c>
      <c r="E439" s="550"/>
      <c r="F439" s="544">
        <v>0.6</v>
      </c>
      <c r="G439" s="32">
        <v>8</v>
      </c>
      <c r="H439" s="544">
        <v>4.8</v>
      </c>
      <c r="I439" s="544">
        <v>6.96</v>
      </c>
      <c r="J439" s="32">
        <v>120</v>
      </c>
      <c r="K439" s="32" t="s">
        <v>106</v>
      </c>
      <c r="L439" s="32"/>
      <c r="M439" s="33" t="s">
        <v>102</v>
      </c>
      <c r="N439" s="33"/>
      <c r="O439" s="32">
        <v>60</v>
      </c>
      <c r="P439" s="84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9" s="552"/>
      <c r="R439" s="552"/>
      <c r="S439" s="552"/>
      <c r="T439" s="553"/>
      <c r="U439" s="34"/>
      <c r="V439" s="34"/>
      <c r="W439" s="35" t="s">
        <v>68</v>
      </c>
      <c r="X439" s="545">
        <v>0</v>
      </c>
      <c r="Y439" s="546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652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ht="27" customHeight="1" x14ac:dyDescent="0.25">
      <c r="A440" s="54" t="s">
        <v>675</v>
      </c>
      <c r="B440" s="54" t="s">
        <v>676</v>
      </c>
      <c r="C440" s="31">
        <v>4301012050</v>
      </c>
      <c r="D440" s="549">
        <v>4680115885479</v>
      </c>
      <c r="E440" s="550"/>
      <c r="F440" s="544">
        <v>0.4</v>
      </c>
      <c r="G440" s="32">
        <v>6</v>
      </c>
      <c r="H440" s="544">
        <v>2.4</v>
      </c>
      <c r="I440" s="544">
        <v>2.58</v>
      </c>
      <c r="J440" s="32">
        <v>182</v>
      </c>
      <c r="K440" s="32" t="s">
        <v>75</v>
      </c>
      <c r="L440" s="32"/>
      <c r="M440" s="33" t="s">
        <v>102</v>
      </c>
      <c r="N440" s="33"/>
      <c r="O440" s="32">
        <v>60</v>
      </c>
      <c r="P440" s="73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5">
        <v>0</v>
      </c>
      <c r="Y440" s="546">
        <f t="shared" si="48"/>
        <v>0</v>
      </c>
      <c r="Z440" s="36" t="str">
        <f>IFERROR(IF(Y440=0,"",ROUNDUP(Y440/H440,0)*0.00651),"")</f>
        <v/>
      </c>
      <c r="AA440" s="56"/>
      <c r="AB440" s="57"/>
      <c r="AC440" s="483" t="s">
        <v>665</v>
      </c>
      <c r="AG440" s="64"/>
      <c r="AJ440" s="68"/>
      <c r="AK440" s="68">
        <v>0</v>
      </c>
      <c r="BB440" s="484" t="s">
        <v>1</v>
      </c>
      <c r="BM440" s="64">
        <f t="shared" si="50"/>
        <v>0</v>
      </c>
      <c r="BN440" s="64">
        <f t="shared" si="51"/>
        <v>0</v>
      </c>
      <c r="BO440" s="64">
        <f t="shared" si="52"/>
        <v>0</v>
      </c>
      <c r="BP440" s="64">
        <f t="shared" si="53"/>
        <v>0</v>
      </c>
    </row>
    <row r="441" spans="1:68" ht="27" customHeight="1" x14ac:dyDescent="0.25">
      <c r="A441" s="54" t="s">
        <v>677</v>
      </c>
      <c r="B441" s="54" t="s">
        <v>678</v>
      </c>
      <c r="C441" s="31">
        <v>4301012034</v>
      </c>
      <c r="D441" s="549">
        <v>4607091389982</v>
      </c>
      <c r="E441" s="550"/>
      <c r="F441" s="544">
        <v>0.6</v>
      </c>
      <c r="G441" s="32">
        <v>8</v>
      </c>
      <c r="H441" s="544">
        <v>4.8</v>
      </c>
      <c r="I441" s="544">
        <v>6.96</v>
      </c>
      <c r="J441" s="32">
        <v>120</v>
      </c>
      <c r="K441" s="32" t="s">
        <v>106</v>
      </c>
      <c r="L441" s="32"/>
      <c r="M441" s="33" t="s">
        <v>102</v>
      </c>
      <c r="N441" s="33"/>
      <c r="O441" s="32">
        <v>60</v>
      </c>
      <c r="P441" s="74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1" s="552"/>
      <c r="R441" s="552"/>
      <c r="S441" s="552"/>
      <c r="T441" s="553"/>
      <c r="U441" s="34"/>
      <c r="V441" s="34"/>
      <c r="W441" s="35" t="s">
        <v>68</v>
      </c>
      <c r="X441" s="545">
        <v>0</v>
      </c>
      <c r="Y441" s="546">
        <f t="shared" si="48"/>
        <v>0</v>
      </c>
      <c r="Z441" s="36" t="str">
        <f>IFERROR(IF(Y441=0,"",ROUNDUP(Y441/H441,0)*0.00937),"")</f>
        <v/>
      </c>
      <c r="AA441" s="56"/>
      <c r="AB441" s="57"/>
      <c r="AC441" s="485" t="s">
        <v>665</v>
      </c>
      <c r="AG441" s="64"/>
      <c r="AJ441" s="68"/>
      <c r="AK441" s="68">
        <v>0</v>
      </c>
      <c r="BB441" s="486" t="s">
        <v>1</v>
      </c>
      <c r="BM441" s="64">
        <f t="shared" si="50"/>
        <v>0</v>
      </c>
      <c r="BN441" s="64">
        <f t="shared" si="51"/>
        <v>0</v>
      </c>
      <c r="BO441" s="64">
        <f t="shared" si="52"/>
        <v>0</v>
      </c>
      <c r="BP441" s="64">
        <f t="shared" si="53"/>
        <v>0</v>
      </c>
    </row>
    <row r="442" spans="1:68" x14ac:dyDescent="0.2">
      <c r="A442" s="572"/>
      <c r="B442" s="559"/>
      <c r="C442" s="559"/>
      <c r="D442" s="559"/>
      <c r="E442" s="559"/>
      <c r="F442" s="559"/>
      <c r="G442" s="559"/>
      <c r="H442" s="559"/>
      <c r="I442" s="559"/>
      <c r="J442" s="559"/>
      <c r="K442" s="559"/>
      <c r="L442" s="559"/>
      <c r="M442" s="559"/>
      <c r="N442" s="559"/>
      <c r="O442" s="573"/>
      <c r="P442" s="562" t="s">
        <v>70</v>
      </c>
      <c r="Q442" s="563"/>
      <c r="R442" s="563"/>
      <c r="S442" s="563"/>
      <c r="T442" s="563"/>
      <c r="U442" s="563"/>
      <c r="V442" s="564"/>
      <c r="W442" s="37" t="s">
        <v>71</v>
      </c>
      <c r="X442" s="547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</f>
        <v>473.48484848484844</v>
      </c>
      <c r="Y442" s="547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</f>
        <v>475</v>
      </c>
      <c r="Z442" s="547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5.6810000000000009</v>
      </c>
      <c r="AA442" s="548"/>
      <c r="AB442" s="548"/>
      <c r="AC442" s="548"/>
    </row>
    <row r="443" spans="1:68" x14ac:dyDescent="0.2">
      <c r="A443" s="559"/>
      <c r="B443" s="559"/>
      <c r="C443" s="559"/>
      <c r="D443" s="559"/>
      <c r="E443" s="559"/>
      <c r="F443" s="559"/>
      <c r="G443" s="559"/>
      <c r="H443" s="559"/>
      <c r="I443" s="559"/>
      <c r="J443" s="559"/>
      <c r="K443" s="559"/>
      <c r="L443" s="559"/>
      <c r="M443" s="559"/>
      <c r="N443" s="559"/>
      <c r="O443" s="573"/>
      <c r="P443" s="562" t="s">
        <v>70</v>
      </c>
      <c r="Q443" s="563"/>
      <c r="R443" s="563"/>
      <c r="S443" s="563"/>
      <c r="T443" s="563"/>
      <c r="U443" s="563"/>
      <c r="V443" s="564"/>
      <c r="W443" s="37" t="s">
        <v>68</v>
      </c>
      <c r="X443" s="547">
        <f>IFERROR(SUM(X430:X441),"0")</f>
        <v>2500</v>
      </c>
      <c r="Y443" s="547">
        <f>IFERROR(SUM(Y430:Y441),"0")</f>
        <v>2508</v>
      </c>
      <c r="Z443" s="37"/>
      <c r="AA443" s="548"/>
      <c r="AB443" s="548"/>
      <c r="AC443" s="548"/>
    </row>
    <row r="444" spans="1:68" ht="14.25" customHeight="1" x14ac:dyDescent="0.25">
      <c r="A444" s="558" t="s">
        <v>130</v>
      </c>
      <c r="B444" s="559"/>
      <c r="C444" s="559"/>
      <c r="D444" s="559"/>
      <c r="E444" s="559"/>
      <c r="F444" s="559"/>
      <c r="G444" s="559"/>
      <c r="H444" s="559"/>
      <c r="I444" s="559"/>
      <c r="J444" s="559"/>
      <c r="K444" s="559"/>
      <c r="L444" s="559"/>
      <c r="M444" s="559"/>
      <c r="N444" s="559"/>
      <c r="O444" s="559"/>
      <c r="P444" s="559"/>
      <c r="Q444" s="559"/>
      <c r="R444" s="559"/>
      <c r="S444" s="559"/>
      <c r="T444" s="559"/>
      <c r="U444" s="559"/>
      <c r="V444" s="559"/>
      <c r="W444" s="559"/>
      <c r="X444" s="559"/>
      <c r="Y444" s="559"/>
      <c r="Z444" s="559"/>
      <c r="AA444" s="541"/>
      <c r="AB444" s="541"/>
      <c r="AC444" s="541"/>
    </row>
    <row r="445" spans="1:68" ht="16.5" customHeight="1" x14ac:dyDescent="0.25">
      <c r="A445" s="54" t="s">
        <v>679</v>
      </c>
      <c r="B445" s="54" t="s">
        <v>680</v>
      </c>
      <c r="C445" s="31">
        <v>4301020334</v>
      </c>
      <c r="D445" s="549">
        <v>4607091388930</v>
      </c>
      <c r="E445" s="550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101</v>
      </c>
      <c r="L445" s="32"/>
      <c r="M445" s="33" t="s">
        <v>76</v>
      </c>
      <c r="N445" s="33"/>
      <c r="O445" s="32">
        <v>70</v>
      </c>
      <c r="P445" s="60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5" s="552"/>
      <c r="R445" s="552"/>
      <c r="S445" s="552"/>
      <c r="T445" s="553"/>
      <c r="U445" s="34"/>
      <c r="V445" s="34"/>
      <c r="W445" s="35" t="s">
        <v>68</v>
      </c>
      <c r="X445" s="545">
        <v>1000</v>
      </c>
      <c r="Y445" s="546">
        <f>IFERROR(IF(X445="",0,CEILING((X445/$H445),1)*$H445),"")</f>
        <v>1003.2</v>
      </c>
      <c r="Z445" s="36">
        <f>IFERROR(IF(Y445=0,"",ROUNDUP(Y445/H445,0)*0.01196),"")</f>
        <v>2.2724000000000002</v>
      </c>
      <c r="AA445" s="56"/>
      <c r="AB445" s="57"/>
      <c r="AC445" s="487" t="s">
        <v>681</v>
      </c>
      <c r="AG445" s="64"/>
      <c r="AJ445" s="68"/>
      <c r="AK445" s="68">
        <v>0</v>
      </c>
      <c r="BB445" s="488" t="s">
        <v>1</v>
      </c>
      <c r="BM445" s="64">
        <f>IFERROR(X445*I445/H445,"0")</f>
        <v>1068.1818181818182</v>
      </c>
      <c r="BN445" s="64">
        <f>IFERROR(Y445*I445/H445,"0")</f>
        <v>1071.5999999999999</v>
      </c>
      <c r="BO445" s="64">
        <f>IFERROR(1/J445*(X445/H445),"0")</f>
        <v>1.821095571095571</v>
      </c>
      <c r="BP445" s="64">
        <f>IFERROR(1/J445*(Y445/H445),"0")</f>
        <v>1.8269230769230771</v>
      </c>
    </row>
    <row r="446" spans="1:68" ht="16.5" customHeight="1" x14ac:dyDescent="0.25">
      <c r="A446" s="54" t="s">
        <v>682</v>
      </c>
      <c r="B446" s="54" t="s">
        <v>683</v>
      </c>
      <c r="C446" s="31">
        <v>4301020384</v>
      </c>
      <c r="D446" s="549">
        <v>4680115886407</v>
      </c>
      <c r="E446" s="550"/>
      <c r="F446" s="544">
        <v>0.4</v>
      </c>
      <c r="G446" s="32">
        <v>6</v>
      </c>
      <c r="H446" s="544">
        <v>2.4</v>
      </c>
      <c r="I446" s="544">
        <v>2.58</v>
      </c>
      <c r="J446" s="32">
        <v>182</v>
      </c>
      <c r="K446" s="32" t="s">
        <v>75</v>
      </c>
      <c r="L446" s="32"/>
      <c r="M446" s="33" t="s">
        <v>76</v>
      </c>
      <c r="N446" s="33"/>
      <c r="O446" s="32">
        <v>70</v>
      </c>
      <c r="P446" s="73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6" s="552"/>
      <c r="R446" s="552"/>
      <c r="S446" s="552"/>
      <c r="T446" s="553"/>
      <c r="U446" s="34"/>
      <c r="V446" s="34"/>
      <c r="W446" s="35" t="s">
        <v>68</v>
      </c>
      <c r="X446" s="545">
        <v>0</v>
      </c>
      <c r="Y446" s="546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89" t="s">
        <v>681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customHeight="1" x14ac:dyDescent="0.25">
      <c r="A447" s="54" t="s">
        <v>684</v>
      </c>
      <c r="B447" s="54" t="s">
        <v>685</v>
      </c>
      <c r="C447" s="31">
        <v>4301020385</v>
      </c>
      <c r="D447" s="549">
        <v>4680115880054</v>
      </c>
      <c r="E447" s="550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106</v>
      </c>
      <c r="L447" s="32"/>
      <c r="M447" s="33" t="s">
        <v>102</v>
      </c>
      <c r="N447" s="33"/>
      <c r="O447" s="32">
        <v>70</v>
      </c>
      <c r="P447" s="86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7" s="552"/>
      <c r="R447" s="552"/>
      <c r="S447" s="552"/>
      <c r="T447" s="553"/>
      <c r="U447" s="34"/>
      <c r="V447" s="34"/>
      <c r="W447" s="35" t="s">
        <v>68</v>
      </c>
      <c r="X447" s="545">
        <v>0</v>
      </c>
      <c r="Y447" s="546">
        <f>IFERROR(IF(X447="",0,CEILING((X447/$H447),1)*$H447),"")</f>
        <v>0</v>
      </c>
      <c r="Z447" s="36" t="str">
        <f>IFERROR(IF(Y447=0,"",ROUNDUP(Y447/H447,0)*0.00902),"")</f>
        <v/>
      </c>
      <c r="AA447" s="56"/>
      <c r="AB447" s="57"/>
      <c r="AC447" s="491" t="s">
        <v>681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572"/>
      <c r="B448" s="559"/>
      <c r="C448" s="559"/>
      <c r="D448" s="559"/>
      <c r="E448" s="559"/>
      <c r="F448" s="559"/>
      <c r="G448" s="559"/>
      <c r="H448" s="559"/>
      <c r="I448" s="559"/>
      <c r="J448" s="559"/>
      <c r="K448" s="559"/>
      <c r="L448" s="559"/>
      <c r="M448" s="559"/>
      <c r="N448" s="559"/>
      <c r="O448" s="573"/>
      <c r="P448" s="562" t="s">
        <v>70</v>
      </c>
      <c r="Q448" s="563"/>
      <c r="R448" s="563"/>
      <c r="S448" s="563"/>
      <c r="T448" s="563"/>
      <c r="U448" s="563"/>
      <c r="V448" s="564"/>
      <c r="W448" s="37" t="s">
        <v>71</v>
      </c>
      <c r="X448" s="547">
        <f>IFERROR(X445/H445,"0")+IFERROR(X446/H446,"0")+IFERROR(X447/H447,"0")</f>
        <v>189.39393939393938</v>
      </c>
      <c r="Y448" s="547">
        <f>IFERROR(Y445/H445,"0")+IFERROR(Y446/H446,"0")+IFERROR(Y447/H447,"0")</f>
        <v>190</v>
      </c>
      <c r="Z448" s="547">
        <f>IFERROR(IF(Z445="",0,Z445),"0")+IFERROR(IF(Z446="",0,Z446),"0")+IFERROR(IF(Z447="",0,Z447),"0")</f>
        <v>2.2724000000000002</v>
      </c>
      <c r="AA448" s="548"/>
      <c r="AB448" s="548"/>
      <c r="AC448" s="548"/>
    </row>
    <row r="449" spans="1:68" x14ac:dyDescent="0.2">
      <c r="A449" s="559"/>
      <c r="B449" s="559"/>
      <c r="C449" s="559"/>
      <c r="D449" s="559"/>
      <c r="E449" s="559"/>
      <c r="F449" s="559"/>
      <c r="G449" s="559"/>
      <c r="H449" s="559"/>
      <c r="I449" s="559"/>
      <c r="J449" s="559"/>
      <c r="K449" s="559"/>
      <c r="L449" s="559"/>
      <c r="M449" s="559"/>
      <c r="N449" s="559"/>
      <c r="O449" s="573"/>
      <c r="P449" s="562" t="s">
        <v>70</v>
      </c>
      <c r="Q449" s="563"/>
      <c r="R449" s="563"/>
      <c r="S449" s="563"/>
      <c r="T449" s="563"/>
      <c r="U449" s="563"/>
      <c r="V449" s="564"/>
      <c r="W449" s="37" t="s">
        <v>68</v>
      </c>
      <c r="X449" s="547">
        <f>IFERROR(SUM(X445:X447),"0")</f>
        <v>1000</v>
      </c>
      <c r="Y449" s="547">
        <f>IFERROR(SUM(Y445:Y447),"0")</f>
        <v>1003.2</v>
      </c>
      <c r="Z449" s="37"/>
      <c r="AA449" s="548"/>
      <c r="AB449" s="548"/>
      <c r="AC449" s="548"/>
    </row>
    <row r="450" spans="1:68" ht="14.25" customHeight="1" x14ac:dyDescent="0.25">
      <c r="A450" s="558" t="s">
        <v>63</v>
      </c>
      <c r="B450" s="559"/>
      <c r="C450" s="559"/>
      <c r="D450" s="559"/>
      <c r="E450" s="559"/>
      <c r="F450" s="559"/>
      <c r="G450" s="559"/>
      <c r="H450" s="559"/>
      <c r="I450" s="559"/>
      <c r="J450" s="559"/>
      <c r="K450" s="559"/>
      <c r="L450" s="559"/>
      <c r="M450" s="559"/>
      <c r="N450" s="559"/>
      <c r="O450" s="559"/>
      <c r="P450" s="559"/>
      <c r="Q450" s="559"/>
      <c r="R450" s="559"/>
      <c r="S450" s="559"/>
      <c r="T450" s="559"/>
      <c r="U450" s="559"/>
      <c r="V450" s="559"/>
      <c r="W450" s="559"/>
      <c r="X450" s="559"/>
      <c r="Y450" s="559"/>
      <c r="Z450" s="559"/>
      <c r="AA450" s="541"/>
      <c r="AB450" s="541"/>
      <c r="AC450" s="541"/>
    </row>
    <row r="451" spans="1:68" ht="27" customHeight="1" x14ac:dyDescent="0.25">
      <c r="A451" s="54" t="s">
        <v>686</v>
      </c>
      <c r="B451" s="54" t="s">
        <v>687</v>
      </c>
      <c r="C451" s="31">
        <v>4301031349</v>
      </c>
      <c r="D451" s="549">
        <v>4680115883116</v>
      </c>
      <c r="E451" s="550"/>
      <c r="F451" s="544">
        <v>0.88</v>
      </c>
      <c r="G451" s="32">
        <v>6</v>
      </c>
      <c r="H451" s="544">
        <v>5.28</v>
      </c>
      <c r="I451" s="544">
        <v>5.64</v>
      </c>
      <c r="J451" s="32">
        <v>104</v>
      </c>
      <c r="K451" s="32" t="s">
        <v>101</v>
      </c>
      <c r="L451" s="32"/>
      <c r="M451" s="33" t="s">
        <v>102</v>
      </c>
      <c r="N451" s="33"/>
      <c r="O451" s="32">
        <v>70</v>
      </c>
      <c r="P451" s="72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1" s="552"/>
      <c r="R451" s="552"/>
      <c r="S451" s="552"/>
      <c r="T451" s="553"/>
      <c r="U451" s="34"/>
      <c r="V451" s="34"/>
      <c r="W451" s="35" t="s">
        <v>68</v>
      </c>
      <c r="X451" s="545">
        <v>500</v>
      </c>
      <c r="Y451" s="546">
        <f t="shared" ref="Y451:Y456" si="54">IFERROR(IF(X451="",0,CEILING((X451/$H451),1)*$H451),"")</f>
        <v>501.6</v>
      </c>
      <c r="Z451" s="36">
        <f>IFERROR(IF(Y451=0,"",ROUNDUP(Y451/H451,0)*0.01196),"")</f>
        <v>1.1362000000000001</v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ref="BM451:BM456" si="55">IFERROR(X451*I451/H451,"0")</f>
        <v>534.09090909090912</v>
      </c>
      <c r="BN451" s="64">
        <f t="shared" ref="BN451:BN456" si="56">IFERROR(Y451*I451/H451,"0")</f>
        <v>535.79999999999995</v>
      </c>
      <c r="BO451" s="64">
        <f t="shared" ref="BO451:BO456" si="57">IFERROR(1/J451*(X451/H451),"0")</f>
        <v>0.91054778554778548</v>
      </c>
      <c r="BP451" s="64">
        <f t="shared" ref="BP451:BP456" si="58">IFERROR(1/J451*(Y451/H451),"0")</f>
        <v>0.91346153846153855</v>
      </c>
    </row>
    <row r="452" spans="1:68" ht="27" customHeight="1" x14ac:dyDescent="0.25">
      <c r="A452" s="54" t="s">
        <v>689</v>
      </c>
      <c r="B452" s="54" t="s">
        <v>690</v>
      </c>
      <c r="C452" s="31">
        <v>4301031350</v>
      </c>
      <c r="D452" s="549">
        <v>4680115883093</v>
      </c>
      <c r="E452" s="550"/>
      <c r="F452" s="544">
        <v>0.88</v>
      </c>
      <c r="G452" s="32">
        <v>6</v>
      </c>
      <c r="H452" s="544">
        <v>5.28</v>
      </c>
      <c r="I452" s="544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8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5">
        <v>500</v>
      </c>
      <c r="Y452" s="546">
        <f t="shared" si="54"/>
        <v>501.6</v>
      </c>
      <c r="Z452" s="36">
        <f>IFERROR(IF(Y452=0,"",ROUNDUP(Y452/H452,0)*0.01196),"")</f>
        <v>1.1362000000000001</v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5"/>
        <v>534.09090909090912</v>
      </c>
      <c r="BN452" s="64">
        <f t="shared" si="56"/>
        <v>535.79999999999995</v>
      </c>
      <c r="BO452" s="64">
        <f t="shared" si="57"/>
        <v>0.91054778554778548</v>
      </c>
      <c r="BP452" s="64">
        <f t="shared" si="58"/>
        <v>0.91346153846153855</v>
      </c>
    </row>
    <row r="453" spans="1:68" ht="27" customHeight="1" x14ac:dyDescent="0.25">
      <c r="A453" s="54" t="s">
        <v>692</v>
      </c>
      <c r="B453" s="54" t="s">
        <v>693</v>
      </c>
      <c r="C453" s="31">
        <v>4301031353</v>
      </c>
      <c r="D453" s="549">
        <v>4680115883109</v>
      </c>
      <c r="E453" s="550"/>
      <c r="F453" s="544">
        <v>0.88</v>
      </c>
      <c r="G453" s="32">
        <v>6</v>
      </c>
      <c r="H453" s="544">
        <v>5.28</v>
      </c>
      <c r="I453" s="544">
        <v>5.64</v>
      </c>
      <c r="J453" s="32">
        <v>104</v>
      </c>
      <c r="K453" s="32" t="s">
        <v>101</v>
      </c>
      <c r="L453" s="32"/>
      <c r="M453" s="33" t="s">
        <v>67</v>
      </c>
      <c r="N453" s="33"/>
      <c r="O453" s="32">
        <v>70</v>
      </c>
      <c r="P453" s="63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5">
        <v>500</v>
      </c>
      <c r="Y453" s="546">
        <f t="shared" si="54"/>
        <v>501.6</v>
      </c>
      <c r="Z453" s="36">
        <f>IFERROR(IF(Y453=0,"",ROUNDUP(Y453/H453,0)*0.01196),"")</f>
        <v>1.1362000000000001</v>
      </c>
      <c r="AA453" s="56"/>
      <c r="AB453" s="57"/>
      <c r="AC453" s="497" t="s">
        <v>694</v>
      </c>
      <c r="AG453" s="64"/>
      <c r="AJ453" s="68"/>
      <c r="AK453" s="68">
        <v>0</v>
      </c>
      <c r="BB453" s="498" t="s">
        <v>1</v>
      </c>
      <c r="BM453" s="64">
        <f t="shared" si="55"/>
        <v>534.09090909090912</v>
      </c>
      <c r="BN453" s="64">
        <f t="shared" si="56"/>
        <v>535.79999999999995</v>
      </c>
      <c r="BO453" s="64">
        <f t="shared" si="57"/>
        <v>0.91054778554778548</v>
      </c>
      <c r="BP453" s="64">
        <f t="shared" si="58"/>
        <v>0.91346153846153855</v>
      </c>
    </row>
    <row r="454" spans="1:68" ht="27" customHeight="1" x14ac:dyDescent="0.25">
      <c r="A454" s="54" t="s">
        <v>695</v>
      </c>
      <c r="B454" s="54" t="s">
        <v>696</v>
      </c>
      <c r="C454" s="31">
        <v>4301031419</v>
      </c>
      <c r="D454" s="549">
        <v>4680115882072</v>
      </c>
      <c r="E454" s="550"/>
      <c r="F454" s="544">
        <v>0.6</v>
      </c>
      <c r="G454" s="32">
        <v>8</v>
      </c>
      <c r="H454" s="544">
        <v>4.8</v>
      </c>
      <c r="I454" s="544">
        <v>6.93</v>
      </c>
      <c r="J454" s="32">
        <v>132</v>
      </c>
      <c r="K454" s="32" t="s">
        <v>106</v>
      </c>
      <c r="L454" s="32"/>
      <c r="M454" s="33" t="s">
        <v>102</v>
      </c>
      <c r="N454" s="33"/>
      <c r="O454" s="32">
        <v>70</v>
      </c>
      <c r="P454" s="56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4" s="552"/>
      <c r="R454" s="552"/>
      <c r="S454" s="552"/>
      <c r="T454" s="553"/>
      <c r="U454" s="34"/>
      <c r="V454" s="34"/>
      <c r="W454" s="35" t="s">
        <v>68</v>
      </c>
      <c r="X454" s="545">
        <v>0</v>
      </c>
      <c r="Y454" s="546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ht="27" customHeight="1" x14ac:dyDescent="0.25">
      <c r="A455" s="54" t="s">
        <v>697</v>
      </c>
      <c r="B455" s="54" t="s">
        <v>698</v>
      </c>
      <c r="C455" s="31">
        <v>4301031418</v>
      </c>
      <c r="D455" s="549">
        <v>4680115882102</v>
      </c>
      <c r="E455" s="550"/>
      <c r="F455" s="544">
        <v>0.6</v>
      </c>
      <c r="G455" s="32">
        <v>8</v>
      </c>
      <c r="H455" s="544">
        <v>4.8</v>
      </c>
      <c r="I455" s="544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7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5" s="552"/>
      <c r="R455" s="552"/>
      <c r="S455" s="552"/>
      <c r="T455" s="553"/>
      <c r="U455" s="34"/>
      <c r="V455" s="34"/>
      <c r="W455" s="35" t="s">
        <v>68</v>
      </c>
      <c r="X455" s="545">
        <v>0</v>
      </c>
      <c r="Y455" s="546">
        <f t="shared" si="54"/>
        <v>0</v>
      </c>
      <c r="Z455" s="36" t="str">
        <f>IFERROR(IF(Y455=0,"",ROUNDUP(Y455/H455,0)*0.00902),"")</f>
        <v/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5"/>
        <v>0</v>
      </c>
      <c r="BN455" s="64">
        <f t="shared" si="56"/>
        <v>0</v>
      </c>
      <c r="BO455" s="64">
        <f t="shared" si="57"/>
        <v>0</v>
      </c>
      <c r="BP455" s="64">
        <f t="shared" si="58"/>
        <v>0</v>
      </c>
    </row>
    <row r="456" spans="1:68" ht="27" customHeight="1" x14ac:dyDescent="0.25">
      <c r="A456" s="54" t="s">
        <v>699</v>
      </c>
      <c r="B456" s="54" t="s">
        <v>700</v>
      </c>
      <c r="C456" s="31">
        <v>4301031417</v>
      </c>
      <c r="D456" s="549">
        <v>4680115882096</v>
      </c>
      <c r="E456" s="550"/>
      <c r="F456" s="544">
        <v>0.6</v>
      </c>
      <c r="G456" s="32">
        <v>8</v>
      </c>
      <c r="H456" s="544">
        <v>4.8</v>
      </c>
      <c r="I456" s="544">
        <v>6.69</v>
      </c>
      <c r="J456" s="32">
        <v>132</v>
      </c>
      <c r="K456" s="32" t="s">
        <v>106</v>
      </c>
      <c r="L456" s="32"/>
      <c r="M456" s="33" t="s">
        <v>67</v>
      </c>
      <c r="N456" s="33"/>
      <c r="O456" s="32">
        <v>70</v>
      </c>
      <c r="P456" s="66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6" s="552"/>
      <c r="R456" s="552"/>
      <c r="S456" s="552"/>
      <c r="T456" s="553"/>
      <c r="U456" s="34"/>
      <c r="V456" s="34"/>
      <c r="W456" s="35" t="s">
        <v>68</v>
      </c>
      <c r="X456" s="545">
        <v>0</v>
      </c>
      <c r="Y456" s="546">
        <f t="shared" si="54"/>
        <v>0</v>
      </c>
      <c r="Z456" s="36" t="str">
        <f>IFERROR(IF(Y456=0,"",ROUNDUP(Y456/H456,0)*0.00902),"")</f>
        <v/>
      </c>
      <c r="AA456" s="56"/>
      <c r="AB456" s="57"/>
      <c r="AC456" s="503" t="s">
        <v>694</v>
      </c>
      <c r="AG456" s="64"/>
      <c r="AJ456" s="68"/>
      <c r="AK456" s="68">
        <v>0</v>
      </c>
      <c r="BB456" s="504" t="s">
        <v>1</v>
      </c>
      <c r="BM456" s="64">
        <f t="shared" si="55"/>
        <v>0</v>
      </c>
      <c r="BN456" s="64">
        <f t="shared" si="56"/>
        <v>0</v>
      </c>
      <c r="BO456" s="64">
        <f t="shared" si="57"/>
        <v>0</v>
      </c>
      <c r="BP456" s="64">
        <f t="shared" si="58"/>
        <v>0</v>
      </c>
    </row>
    <row r="457" spans="1:68" x14ac:dyDescent="0.2">
      <c r="A457" s="572"/>
      <c r="B457" s="559"/>
      <c r="C457" s="559"/>
      <c r="D457" s="559"/>
      <c r="E457" s="559"/>
      <c r="F457" s="559"/>
      <c r="G457" s="559"/>
      <c r="H457" s="559"/>
      <c r="I457" s="559"/>
      <c r="J457" s="559"/>
      <c r="K457" s="559"/>
      <c r="L457" s="559"/>
      <c r="M457" s="559"/>
      <c r="N457" s="559"/>
      <c r="O457" s="573"/>
      <c r="P457" s="562" t="s">
        <v>70</v>
      </c>
      <c r="Q457" s="563"/>
      <c r="R457" s="563"/>
      <c r="S457" s="563"/>
      <c r="T457" s="563"/>
      <c r="U457" s="563"/>
      <c r="V457" s="564"/>
      <c r="W457" s="37" t="s">
        <v>71</v>
      </c>
      <c r="X457" s="547">
        <f>IFERROR(X451/H451,"0")+IFERROR(X452/H452,"0")+IFERROR(X453/H453,"0")+IFERROR(X454/H454,"0")+IFERROR(X455/H455,"0")+IFERROR(X456/H456,"0")</f>
        <v>284.09090909090907</v>
      </c>
      <c r="Y457" s="547">
        <f>IFERROR(Y451/H451,"0")+IFERROR(Y452/H452,"0")+IFERROR(Y453/H453,"0")+IFERROR(Y454/H454,"0")+IFERROR(Y455/H455,"0")+IFERROR(Y456/H456,"0")</f>
        <v>285</v>
      </c>
      <c r="Z457" s="547">
        <f>IFERROR(IF(Z451="",0,Z451),"0")+IFERROR(IF(Z452="",0,Z452),"0")+IFERROR(IF(Z453="",0,Z453),"0")+IFERROR(IF(Z454="",0,Z454),"0")+IFERROR(IF(Z455="",0,Z455),"0")+IFERROR(IF(Z456="",0,Z456),"0")</f>
        <v>3.4086000000000003</v>
      </c>
      <c r="AA457" s="548"/>
      <c r="AB457" s="548"/>
      <c r="AC457" s="548"/>
    </row>
    <row r="458" spans="1:68" x14ac:dyDescent="0.2">
      <c r="A458" s="559"/>
      <c r="B458" s="559"/>
      <c r="C458" s="559"/>
      <c r="D458" s="559"/>
      <c r="E458" s="559"/>
      <c r="F458" s="559"/>
      <c r="G458" s="559"/>
      <c r="H458" s="559"/>
      <c r="I458" s="559"/>
      <c r="J458" s="559"/>
      <c r="K458" s="559"/>
      <c r="L458" s="559"/>
      <c r="M458" s="559"/>
      <c r="N458" s="559"/>
      <c r="O458" s="573"/>
      <c r="P458" s="562" t="s">
        <v>70</v>
      </c>
      <c r="Q458" s="563"/>
      <c r="R458" s="563"/>
      <c r="S458" s="563"/>
      <c r="T458" s="563"/>
      <c r="U458" s="563"/>
      <c r="V458" s="564"/>
      <c r="W458" s="37" t="s">
        <v>68</v>
      </c>
      <c r="X458" s="547">
        <f>IFERROR(SUM(X451:X456),"0")</f>
        <v>1500</v>
      </c>
      <c r="Y458" s="547">
        <f>IFERROR(SUM(Y451:Y456),"0")</f>
        <v>1504.8000000000002</v>
      </c>
      <c r="Z458" s="37"/>
      <c r="AA458" s="548"/>
      <c r="AB458" s="548"/>
      <c r="AC458" s="548"/>
    </row>
    <row r="459" spans="1:68" ht="14.25" customHeight="1" x14ac:dyDescent="0.25">
      <c r="A459" s="558" t="s">
        <v>72</v>
      </c>
      <c r="B459" s="559"/>
      <c r="C459" s="559"/>
      <c r="D459" s="559"/>
      <c r="E459" s="559"/>
      <c r="F459" s="559"/>
      <c r="G459" s="559"/>
      <c r="H459" s="559"/>
      <c r="I459" s="559"/>
      <c r="J459" s="559"/>
      <c r="K459" s="559"/>
      <c r="L459" s="559"/>
      <c r="M459" s="559"/>
      <c r="N459" s="559"/>
      <c r="O459" s="559"/>
      <c r="P459" s="559"/>
      <c r="Q459" s="559"/>
      <c r="R459" s="559"/>
      <c r="S459" s="559"/>
      <c r="T459" s="559"/>
      <c r="U459" s="559"/>
      <c r="V459" s="559"/>
      <c r="W459" s="559"/>
      <c r="X459" s="559"/>
      <c r="Y459" s="559"/>
      <c r="Z459" s="559"/>
      <c r="AA459" s="541"/>
      <c r="AB459" s="541"/>
      <c r="AC459" s="541"/>
    </row>
    <row r="460" spans="1:68" ht="16.5" customHeight="1" x14ac:dyDescent="0.25">
      <c r="A460" s="54" t="s">
        <v>701</v>
      </c>
      <c r="B460" s="54" t="s">
        <v>702</v>
      </c>
      <c r="C460" s="31">
        <v>4301051232</v>
      </c>
      <c r="D460" s="549">
        <v>4607091383409</v>
      </c>
      <c r="E460" s="550"/>
      <c r="F460" s="544">
        <v>1.3</v>
      </c>
      <c r="G460" s="32">
        <v>6</v>
      </c>
      <c r="H460" s="544">
        <v>7.8</v>
      </c>
      <c r="I460" s="544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8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0" s="552"/>
      <c r="R460" s="552"/>
      <c r="S460" s="552"/>
      <c r="T460" s="553"/>
      <c r="U460" s="34"/>
      <c r="V460" s="34"/>
      <c r="W460" s="35" t="s">
        <v>68</v>
      </c>
      <c r="X460" s="545">
        <v>0</v>
      </c>
      <c r="Y460" s="546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16.5" customHeight="1" x14ac:dyDescent="0.25">
      <c r="A461" s="54" t="s">
        <v>704</v>
      </c>
      <c r="B461" s="54" t="s">
        <v>705</v>
      </c>
      <c r="C461" s="31">
        <v>4301051233</v>
      </c>
      <c r="D461" s="549">
        <v>4607091383416</v>
      </c>
      <c r="E461" s="550"/>
      <c r="F461" s="544">
        <v>1.3</v>
      </c>
      <c r="G461" s="32">
        <v>6</v>
      </c>
      <c r="H461" s="544">
        <v>7.8</v>
      </c>
      <c r="I461" s="544">
        <v>8.3010000000000002</v>
      </c>
      <c r="J461" s="32">
        <v>64</v>
      </c>
      <c r="K461" s="32" t="s">
        <v>101</v>
      </c>
      <c r="L461" s="32"/>
      <c r="M461" s="33" t="s">
        <v>76</v>
      </c>
      <c r="N461" s="33"/>
      <c r="O461" s="32">
        <v>45</v>
      </c>
      <c r="P461" s="78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707</v>
      </c>
      <c r="B462" s="54" t="s">
        <v>708</v>
      </c>
      <c r="C462" s="31">
        <v>4301051064</v>
      </c>
      <c r="D462" s="549">
        <v>4680115883536</v>
      </c>
      <c r="E462" s="550"/>
      <c r="F462" s="544">
        <v>0.3</v>
      </c>
      <c r="G462" s="32">
        <v>6</v>
      </c>
      <c r="H462" s="544">
        <v>1.8</v>
      </c>
      <c r="I462" s="544">
        <v>2.0459999999999998</v>
      </c>
      <c r="J462" s="32">
        <v>182</v>
      </c>
      <c r="K462" s="32" t="s">
        <v>75</v>
      </c>
      <c r="L462" s="32"/>
      <c r="M462" s="33" t="s">
        <v>76</v>
      </c>
      <c r="N462" s="33"/>
      <c r="O462" s="32">
        <v>45</v>
      </c>
      <c r="P462" s="79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2" s="552"/>
      <c r="R462" s="552"/>
      <c r="S462" s="552"/>
      <c r="T462" s="553"/>
      <c r="U462" s="34"/>
      <c r="V462" s="34"/>
      <c r="W462" s="35" t="s">
        <v>68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09" t="s">
        <v>709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572"/>
      <c r="B463" s="559"/>
      <c r="C463" s="559"/>
      <c r="D463" s="559"/>
      <c r="E463" s="559"/>
      <c r="F463" s="559"/>
      <c r="G463" s="559"/>
      <c r="H463" s="559"/>
      <c r="I463" s="559"/>
      <c r="J463" s="559"/>
      <c r="K463" s="559"/>
      <c r="L463" s="559"/>
      <c r="M463" s="559"/>
      <c r="N463" s="559"/>
      <c r="O463" s="573"/>
      <c r="P463" s="562" t="s">
        <v>70</v>
      </c>
      <c r="Q463" s="563"/>
      <c r="R463" s="563"/>
      <c r="S463" s="563"/>
      <c r="T463" s="563"/>
      <c r="U463" s="563"/>
      <c r="V463" s="564"/>
      <c r="W463" s="37" t="s">
        <v>71</v>
      </c>
      <c r="X463" s="547">
        <f>IFERROR(X460/H460,"0")+IFERROR(X461/H461,"0")+IFERROR(X462/H462,"0")</f>
        <v>0</v>
      </c>
      <c r="Y463" s="547">
        <f>IFERROR(Y460/H460,"0")+IFERROR(Y461/H461,"0")+IFERROR(Y462/H462,"0")</f>
        <v>0</v>
      </c>
      <c r="Z463" s="547">
        <f>IFERROR(IF(Z460="",0,Z460),"0")+IFERROR(IF(Z461="",0,Z461),"0")+IFERROR(IF(Z462="",0,Z462),"0")</f>
        <v>0</v>
      </c>
      <c r="AA463" s="548"/>
      <c r="AB463" s="548"/>
      <c r="AC463" s="548"/>
    </row>
    <row r="464" spans="1:68" x14ac:dyDescent="0.2">
      <c r="A464" s="559"/>
      <c r="B464" s="559"/>
      <c r="C464" s="559"/>
      <c r="D464" s="559"/>
      <c r="E464" s="559"/>
      <c r="F464" s="559"/>
      <c r="G464" s="559"/>
      <c r="H464" s="559"/>
      <c r="I464" s="559"/>
      <c r="J464" s="559"/>
      <c r="K464" s="559"/>
      <c r="L464" s="559"/>
      <c r="M464" s="559"/>
      <c r="N464" s="559"/>
      <c r="O464" s="573"/>
      <c r="P464" s="562" t="s">
        <v>70</v>
      </c>
      <c r="Q464" s="563"/>
      <c r="R464" s="563"/>
      <c r="S464" s="563"/>
      <c r="T464" s="563"/>
      <c r="U464" s="563"/>
      <c r="V464" s="564"/>
      <c r="W464" s="37" t="s">
        <v>68</v>
      </c>
      <c r="X464" s="547">
        <f>IFERROR(SUM(X460:X462),"0")</f>
        <v>0</v>
      </c>
      <c r="Y464" s="547">
        <f>IFERROR(SUM(Y460:Y462),"0")</f>
        <v>0</v>
      </c>
      <c r="Z464" s="37"/>
      <c r="AA464" s="548"/>
      <c r="AB464" s="548"/>
      <c r="AC464" s="548"/>
    </row>
    <row r="465" spans="1:68" ht="27.75" customHeight="1" x14ac:dyDescent="0.2">
      <c r="A465" s="605" t="s">
        <v>710</v>
      </c>
      <c r="B465" s="606"/>
      <c r="C465" s="606"/>
      <c r="D465" s="606"/>
      <c r="E465" s="606"/>
      <c r="F465" s="606"/>
      <c r="G465" s="606"/>
      <c r="H465" s="606"/>
      <c r="I465" s="606"/>
      <c r="J465" s="606"/>
      <c r="K465" s="606"/>
      <c r="L465" s="606"/>
      <c r="M465" s="606"/>
      <c r="N465" s="606"/>
      <c r="O465" s="606"/>
      <c r="P465" s="606"/>
      <c r="Q465" s="606"/>
      <c r="R465" s="606"/>
      <c r="S465" s="606"/>
      <c r="T465" s="606"/>
      <c r="U465" s="606"/>
      <c r="V465" s="606"/>
      <c r="W465" s="606"/>
      <c r="X465" s="606"/>
      <c r="Y465" s="606"/>
      <c r="Z465" s="606"/>
      <c r="AA465" s="48"/>
      <c r="AB465" s="48"/>
      <c r="AC465" s="48"/>
    </row>
    <row r="466" spans="1:68" ht="16.5" customHeight="1" x14ac:dyDescent="0.25">
      <c r="A466" s="567" t="s">
        <v>710</v>
      </c>
      <c r="B466" s="559"/>
      <c r="C466" s="559"/>
      <c r="D466" s="559"/>
      <c r="E466" s="559"/>
      <c r="F466" s="559"/>
      <c r="G466" s="559"/>
      <c r="H466" s="559"/>
      <c r="I466" s="559"/>
      <c r="J466" s="559"/>
      <c r="K466" s="559"/>
      <c r="L466" s="559"/>
      <c r="M466" s="559"/>
      <c r="N466" s="559"/>
      <c r="O466" s="559"/>
      <c r="P466" s="559"/>
      <c r="Q466" s="559"/>
      <c r="R466" s="559"/>
      <c r="S466" s="559"/>
      <c r="T466" s="559"/>
      <c r="U466" s="559"/>
      <c r="V466" s="559"/>
      <c r="W466" s="559"/>
      <c r="X466" s="559"/>
      <c r="Y466" s="559"/>
      <c r="Z466" s="559"/>
      <c r="AA466" s="540"/>
      <c r="AB466" s="540"/>
      <c r="AC466" s="540"/>
    </row>
    <row r="467" spans="1:68" ht="14.25" customHeight="1" x14ac:dyDescent="0.25">
      <c r="A467" s="558" t="s">
        <v>98</v>
      </c>
      <c r="B467" s="559"/>
      <c r="C467" s="559"/>
      <c r="D467" s="559"/>
      <c r="E467" s="559"/>
      <c r="F467" s="559"/>
      <c r="G467" s="559"/>
      <c r="H467" s="559"/>
      <c r="I467" s="559"/>
      <c r="J467" s="559"/>
      <c r="K467" s="559"/>
      <c r="L467" s="559"/>
      <c r="M467" s="559"/>
      <c r="N467" s="559"/>
      <c r="O467" s="559"/>
      <c r="P467" s="559"/>
      <c r="Q467" s="559"/>
      <c r="R467" s="559"/>
      <c r="S467" s="559"/>
      <c r="T467" s="559"/>
      <c r="U467" s="559"/>
      <c r="V467" s="559"/>
      <c r="W467" s="559"/>
      <c r="X467" s="559"/>
      <c r="Y467" s="559"/>
      <c r="Z467" s="559"/>
      <c r="AA467" s="541"/>
      <c r="AB467" s="541"/>
      <c r="AC467" s="541"/>
    </row>
    <row r="468" spans="1:68" ht="27" customHeight="1" x14ac:dyDescent="0.25">
      <c r="A468" s="54" t="s">
        <v>711</v>
      </c>
      <c r="B468" s="54" t="s">
        <v>712</v>
      </c>
      <c r="C468" s="31">
        <v>4301011763</v>
      </c>
      <c r="D468" s="549">
        <v>4640242181011</v>
      </c>
      <c r="E468" s="550"/>
      <c r="F468" s="544">
        <v>1.35</v>
      </c>
      <c r="G468" s="32">
        <v>8</v>
      </c>
      <c r="H468" s="544">
        <v>10.8</v>
      </c>
      <c r="I468" s="544">
        <v>11.234999999999999</v>
      </c>
      <c r="J468" s="32">
        <v>64</v>
      </c>
      <c r="K468" s="32" t="s">
        <v>101</v>
      </c>
      <c r="L468" s="32"/>
      <c r="M468" s="33" t="s">
        <v>76</v>
      </c>
      <c r="N468" s="33"/>
      <c r="O468" s="32">
        <v>55</v>
      </c>
      <c r="P468" s="60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8" s="552"/>
      <c r="R468" s="552"/>
      <c r="S468" s="552"/>
      <c r="T468" s="553"/>
      <c r="U468" s="34"/>
      <c r="V468" s="34"/>
      <c r="W468" s="35" t="s">
        <v>68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714</v>
      </c>
      <c r="B469" s="54" t="s">
        <v>715</v>
      </c>
      <c r="C469" s="31">
        <v>4301011585</v>
      </c>
      <c r="D469" s="549">
        <v>4640242180441</v>
      </c>
      <c r="E469" s="550"/>
      <c r="F469" s="544">
        <v>1.5</v>
      </c>
      <c r="G469" s="32">
        <v>8</v>
      </c>
      <c r="H469" s="544">
        <v>12</v>
      </c>
      <c r="I469" s="544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8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717</v>
      </c>
      <c r="B470" s="54" t="s">
        <v>718</v>
      </c>
      <c r="C470" s="31">
        <v>4301011584</v>
      </c>
      <c r="D470" s="549">
        <v>4640242180564</v>
      </c>
      <c r="E470" s="550"/>
      <c r="F470" s="544">
        <v>1.5</v>
      </c>
      <c r="G470" s="32">
        <v>8</v>
      </c>
      <c r="H470" s="544">
        <v>12</v>
      </c>
      <c r="I470" s="544">
        <v>12.435</v>
      </c>
      <c r="J470" s="32">
        <v>64</v>
      </c>
      <c r="K470" s="32" t="s">
        <v>101</v>
      </c>
      <c r="L470" s="32"/>
      <c r="M470" s="33" t="s">
        <v>102</v>
      </c>
      <c r="N470" s="33"/>
      <c r="O470" s="32">
        <v>50</v>
      </c>
      <c r="P470" s="811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719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720</v>
      </c>
      <c r="B471" s="54" t="s">
        <v>721</v>
      </c>
      <c r="C471" s="31">
        <v>4301011764</v>
      </c>
      <c r="D471" s="549">
        <v>4640242181189</v>
      </c>
      <c r="E471" s="550"/>
      <c r="F471" s="544">
        <v>0.4</v>
      </c>
      <c r="G471" s="32">
        <v>10</v>
      </c>
      <c r="H471" s="544">
        <v>4</v>
      </c>
      <c r="I471" s="544">
        <v>4.21</v>
      </c>
      <c r="J471" s="32">
        <v>132</v>
      </c>
      <c r="K471" s="32" t="s">
        <v>106</v>
      </c>
      <c r="L471" s="32"/>
      <c r="M471" s="33" t="s">
        <v>76</v>
      </c>
      <c r="N471" s="33"/>
      <c r="O471" s="32">
        <v>55</v>
      </c>
      <c r="P471" s="638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1" s="552"/>
      <c r="R471" s="552"/>
      <c r="S471" s="552"/>
      <c r="T471" s="553"/>
      <c r="U471" s="34"/>
      <c r="V471" s="34"/>
      <c r="W471" s="35" t="s">
        <v>68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17" t="s">
        <v>713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572"/>
      <c r="B472" s="559"/>
      <c r="C472" s="559"/>
      <c r="D472" s="559"/>
      <c r="E472" s="559"/>
      <c r="F472" s="559"/>
      <c r="G472" s="559"/>
      <c r="H472" s="559"/>
      <c r="I472" s="559"/>
      <c r="J472" s="559"/>
      <c r="K472" s="559"/>
      <c r="L472" s="559"/>
      <c r="M472" s="559"/>
      <c r="N472" s="559"/>
      <c r="O472" s="573"/>
      <c r="P472" s="562" t="s">
        <v>70</v>
      </c>
      <c r="Q472" s="563"/>
      <c r="R472" s="563"/>
      <c r="S472" s="563"/>
      <c r="T472" s="563"/>
      <c r="U472" s="563"/>
      <c r="V472" s="564"/>
      <c r="W472" s="37" t="s">
        <v>71</v>
      </c>
      <c r="X472" s="547">
        <f>IFERROR(X468/H468,"0")+IFERROR(X469/H469,"0")+IFERROR(X470/H470,"0")+IFERROR(X471/H471,"0")</f>
        <v>0</v>
      </c>
      <c r="Y472" s="547">
        <f>IFERROR(Y468/H468,"0")+IFERROR(Y469/H469,"0")+IFERROR(Y470/H470,"0")+IFERROR(Y471/H471,"0")</f>
        <v>0</v>
      </c>
      <c r="Z472" s="547">
        <f>IFERROR(IF(Z468="",0,Z468),"0")+IFERROR(IF(Z469="",0,Z469),"0")+IFERROR(IF(Z470="",0,Z470),"0")+IFERROR(IF(Z471="",0,Z471),"0")</f>
        <v>0</v>
      </c>
      <c r="AA472" s="548"/>
      <c r="AB472" s="548"/>
      <c r="AC472" s="548"/>
    </row>
    <row r="473" spans="1:68" x14ac:dyDescent="0.2">
      <c r="A473" s="559"/>
      <c r="B473" s="559"/>
      <c r="C473" s="559"/>
      <c r="D473" s="559"/>
      <c r="E473" s="559"/>
      <c r="F473" s="559"/>
      <c r="G473" s="559"/>
      <c r="H473" s="559"/>
      <c r="I473" s="559"/>
      <c r="J473" s="559"/>
      <c r="K473" s="559"/>
      <c r="L473" s="559"/>
      <c r="M473" s="559"/>
      <c r="N473" s="559"/>
      <c r="O473" s="573"/>
      <c r="P473" s="562" t="s">
        <v>70</v>
      </c>
      <c r="Q473" s="563"/>
      <c r="R473" s="563"/>
      <c r="S473" s="563"/>
      <c r="T473" s="563"/>
      <c r="U473" s="563"/>
      <c r="V473" s="564"/>
      <c r="W473" s="37" t="s">
        <v>68</v>
      </c>
      <c r="X473" s="547">
        <f>IFERROR(SUM(X468:X471),"0")</f>
        <v>0</v>
      </c>
      <c r="Y473" s="547">
        <f>IFERROR(SUM(Y468:Y471),"0")</f>
        <v>0</v>
      </c>
      <c r="Z473" s="37"/>
      <c r="AA473" s="548"/>
      <c r="AB473" s="548"/>
      <c r="AC473" s="548"/>
    </row>
    <row r="474" spans="1:68" ht="14.25" customHeight="1" x14ac:dyDescent="0.25">
      <c r="A474" s="558" t="s">
        <v>130</v>
      </c>
      <c r="B474" s="559"/>
      <c r="C474" s="559"/>
      <c r="D474" s="559"/>
      <c r="E474" s="559"/>
      <c r="F474" s="559"/>
      <c r="G474" s="559"/>
      <c r="H474" s="559"/>
      <c r="I474" s="559"/>
      <c r="J474" s="559"/>
      <c r="K474" s="559"/>
      <c r="L474" s="559"/>
      <c r="M474" s="559"/>
      <c r="N474" s="559"/>
      <c r="O474" s="559"/>
      <c r="P474" s="559"/>
      <c r="Q474" s="559"/>
      <c r="R474" s="559"/>
      <c r="S474" s="559"/>
      <c r="T474" s="559"/>
      <c r="U474" s="559"/>
      <c r="V474" s="559"/>
      <c r="W474" s="559"/>
      <c r="X474" s="559"/>
      <c r="Y474" s="559"/>
      <c r="Z474" s="559"/>
      <c r="AA474" s="541"/>
      <c r="AB474" s="541"/>
      <c r="AC474" s="541"/>
    </row>
    <row r="475" spans="1:68" ht="27" customHeight="1" x14ac:dyDescent="0.25">
      <c r="A475" s="54" t="s">
        <v>722</v>
      </c>
      <c r="B475" s="54" t="s">
        <v>723</v>
      </c>
      <c r="C475" s="31">
        <v>4301020400</v>
      </c>
      <c r="D475" s="549">
        <v>4640242180519</v>
      </c>
      <c r="E475" s="550"/>
      <c r="F475" s="544">
        <v>1.5</v>
      </c>
      <c r="G475" s="32">
        <v>8</v>
      </c>
      <c r="H475" s="544">
        <v>12</v>
      </c>
      <c r="I475" s="544">
        <v>12.435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9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5" s="552"/>
      <c r="R475" s="552"/>
      <c r="S475" s="552"/>
      <c r="T475" s="553"/>
      <c r="U475" s="34"/>
      <c r="V475" s="34"/>
      <c r="W475" s="35" t="s">
        <v>68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724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725</v>
      </c>
      <c r="B476" s="54" t="s">
        <v>726</v>
      </c>
      <c r="C476" s="31">
        <v>4301020260</v>
      </c>
      <c r="D476" s="549">
        <v>4640242180526</v>
      </c>
      <c r="E476" s="550"/>
      <c r="F476" s="544">
        <v>1.8</v>
      </c>
      <c r="G476" s="32">
        <v>6</v>
      </c>
      <c r="H476" s="544">
        <v>10.8</v>
      </c>
      <c r="I476" s="544">
        <v>11.234999999999999</v>
      </c>
      <c r="J476" s="32">
        <v>64</v>
      </c>
      <c r="K476" s="32" t="s">
        <v>101</v>
      </c>
      <c r="L476" s="32"/>
      <c r="M476" s="33" t="s">
        <v>102</v>
      </c>
      <c r="N476" s="33"/>
      <c r="O476" s="32">
        <v>50</v>
      </c>
      <c r="P476" s="628" t="s">
        <v>727</v>
      </c>
      <c r="Q476" s="552"/>
      <c r="R476" s="552"/>
      <c r="S476" s="552"/>
      <c r="T476" s="553"/>
      <c r="U476" s="34"/>
      <c r="V476" s="34"/>
      <c r="W476" s="35" t="s">
        <v>68</v>
      </c>
      <c r="X476" s="545">
        <v>0</v>
      </c>
      <c r="Y476" s="546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729</v>
      </c>
      <c r="B477" s="54" t="s">
        <v>730</v>
      </c>
      <c r="C477" s="31">
        <v>4301020295</v>
      </c>
      <c r="D477" s="549">
        <v>4640242181363</v>
      </c>
      <c r="E477" s="550"/>
      <c r="F477" s="544">
        <v>0.4</v>
      </c>
      <c r="G477" s="32">
        <v>10</v>
      </c>
      <c r="H477" s="544">
        <v>4</v>
      </c>
      <c r="I477" s="544">
        <v>4.21</v>
      </c>
      <c r="J477" s="32">
        <v>132</v>
      </c>
      <c r="K477" s="32" t="s">
        <v>106</v>
      </c>
      <c r="L477" s="32"/>
      <c r="M477" s="33" t="s">
        <v>102</v>
      </c>
      <c r="N477" s="33"/>
      <c r="O477" s="32">
        <v>50</v>
      </c>
      <c r="P477" s="742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7" s="552"/>
      <c r="R477" s="552"/>
      <c r="S477" s="552"/>
      <c r="T477" s="553"/>
      <c r="U477" s="34"/>
      <c r="V477" s="34"/>
      <c r="W477" s="35" t="s">
        <v>68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3" t="s">
        <v>731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72"/>
      <c r="B478" s="559"/>
      <c r="C478" s="559"/>
      <c r="D478" s="559"/>
      <c r="E478" s="559"/>
      <c r="F478" s="559"/>
      <c r="G478" s="559"/>
      <c r="H478" s="559"/>
      <c r="I478" s="559"/>
      <c r="J478" s="559"/>
      <c r="K478" s="559"/>
      <c r="L478" s="559"/>
      <c r="M478" s="559"/>
      <c r="N478" s="559"/>
      <c r="O478" s="573"/>
      <c r="P478" s="562" t="s">
        <v>70</v>
      </c>
      <c r="Q478" s="563"/>
      <c r="R478" s="563"/>
      <c r="S478" s="563"/>
      <c r="T478" s="563"/>
      <c r="U478" s="563"/>
      <c r="V478" s="564"/>
      <c r="W478" s="37" t="s">
        <v>71</v>
      </c>
      <c r="X478" s="547">
        <f>IFERROR(X475/H475,"0")+IFERROR(X476/H476,"0")+IFERROR(X477/H477,"0")</f>
        <v>0</v>
      </c>
      <c r="Y478" s="547">
        <f>IFERROR(Y475/H475,"0")+IFERROR(Y476/H476,"0")+IFERROR(Y477/H477,"0")</f>
        <v>0</v>
      </c>
      <c r="Z478" s="547">
        <f>IFERROR(IF(Z475="",0,Z475),"0")+IFERROR(IF(Z476="",0,Z476),"0")+IFERROR(IF(Z477="",0,Z477),"0")</f>
        <v>0</v>
      </c>
      <c r="AA478" s="548"/>
      <c r="AB478" s="548"/>
      <c r="AC478" s="548"/>
    </row>
    <row r="479" spans="1:68" x14ac:dyDescent="0.2">
      <c r="A479" s="559"/>
      <c r="B479" s="559"/>
      <c r="C479" s="559"/>
      <c r="D479" s="559"/>
      <c r="E479" s="559"/>
      <c r="F479" s="559"/>
      <c r="G479" s="559"/>
      <c r="H479" s="559"/>
      <c r="I479" s="559"/>
      <c r="J479" s="559"/>
      <c r="K479" s="559"/>
      <c r="L479" s="559"/>
      <c r="M479" s="559"/>
      <c r="N479" s="559"/>
      <c r="O479" s="573"/>
      <c r="P479" s="562" t="s">
        <v>70</v>
      </c>
      <c r="Q479" s="563"/>
      <c r="R479" s="563"/>
      <c r="S479" s="563"/>
      <c r="T479" s="563"/>
      <c r="U479" s="563"/>
      <c r="V479" s="564"/>
      <c r="W479" s="37" t="s">
        <v>68</v>
      </c>
      <c r="X479" s="547">
        <f>IFERROR(SUM(X475:X477),"0")</f>
        <v>0</v>
      </c>
      <c r="Y479" s="547">
        <f>IFERROR(SUM(Y475:Y477),"0")</f>
        <v>0</v>
      </c>
      <c r="Z479" s="37"/>
      <c r="AA479" s="548"/>
      <c r="AB479" s="548"/>
      <c r="AC479" s="548"/>
    </row>
    <row r="480" spans="1:68" ht="14.25" customHeight="1" x14ac:dyDescent="0.25">
      <c r="A480" s="558" t="s">
        <v>63</v>
      </c>
      <c r="B480" s="559"/>
      <c r="C480" s="559"/>
      <c r="D480" s="559"/>
      <c r="E480" s="559"/>
      <c r="F480" s="559"/>
      <c r="G480" s="559"/>
      <c r="H480" s="559"/>
      <c r="I480" s="559"/>
      <c r="J480" s="559"/>
      <c r="K480" s="559"/>
      <c r="L480" s="559"/>
      <c r="M480" s="559"/>
      <c r="N480" s="559"/>
      <c r="O480" s="559"/>
      <c r="P480" s="559"/>
      <c r="Q480" s="559"/>
      <c r="R480" s="559"/>
      <c r="S480" s="559"/>
      <c r="T480" s="559"/>
      <c r="U480" s="559"/>
      <c r="V480" s="559"/>
      <c r="W480" s="559"/>
      <c r="X480" s="559"/>
      <c r="Y480" s="559"/>
      <c r="Z480" s="559"/>
      <c r="AA480" s="541"/>
      <c r="AB480" s="541"/>
      <c r="AC480" s="541"/>
    </row>
    <row r="481" spans="1:68" ht="27" customHeight="1" x14ac:dyDescent="0.25">
      <c r="A481" s="54" t="s">
        <v>732</v>
      </c>
      <c r="B481" s="54" t="s">
        <v>733</v>
      </c>
      <c r="C481" s="31">
        <v>4301031280</v>
      </c>
      <c r="D481" s="549">
        <v>4640242180816</v>
      </c>
      <c r="E481" s="550"/>
      <c r="F481" s="544">
        <v>0.7</v>
      </c>
      <c r="G481" s="32">
        <v>6</v>
      </c>
      <c r="H481" s="544">
        <v>4.2</v>
      </c>
      <c r="I481" s="544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66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1" s="552"/>
      <c r="R481" s="552"/>
      <c r="S481" s="552"/>
      <c r="T481" s="553"/>
      <c r="U481" s="34"/>
      <c r="V481" s="34"/>
      <c r="W481" s="35" t="s">
        <v>68</v>
      </c>
      <c r="X481" s="545">
        <v>0</v>
      </c>
      <c r="Y481" s="546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735</v>
      </c>
      <c r="B482" s="54" t="s">
        <v>736</v>
      </c>
      <c r="C482" s="31">
        <v>4301031244</v>
      </c>
      <c r="D482" s="549">
        <v>4640242180595</v>
      </c>
      <c r="E482" s="550"/>
      <c r="F482" s="544">
        <v>0.7</v>
      </c>
      <c r="G482" s="32">
        <v>6</v>
      </c>
      <c r="H482" s="544">
        <v>4.2</v>
      </c>
      <c r="I482" s="544">
        <v>4.47</v>
      </c>
      <c r="J482" s="32">
        <v>132</v>
      </c>
      <c r="K482" s="32" t="s">
        <v>106</v>
      </c>
      <c r="L482" s="32"/>
      <c r="M482" s="33" t="s">
        <v>67</v>
      </c>
      <c r="N482" s="33"/>
      <c r="O482" s="32">
        <v>40</v>
      </c>
      <c r="P482" s="64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2" s="552"/>
      <c r="R482" s="552"/>
      <c r="S482" s="552"/>
      <c r="T482" s="553"/>
      <c r="U482" s="34"/>
      <c r="V482" s="34"/>
      <c r="W482" s="35" t="s">
        <v>68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737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72"/>
      <c r="B483" s="559"/>
      <c r="C483" s="559"/>
      <c r="D483" s="559"/>
      <c r="E483" s="559"/>
      <c r="F483" s="559"/>
      <c r="G483" s="559"/>
      <c r="H483" s="559"/>
      <c r="I483" s="559"/>
      <c r="J483" s="559"/>
      <c r="K483" s="559"/>
      <c r="L483" s="559"/>
      <c r="M483" s="559"/>
      <c r="N483" s="559"/>
      <c r="O483" s="573"/>
      <c r="P483" s="562" t="s">
        <v>70</v>
      </c>
      <c r="Q483" s="563"/>
      <c r="R483" s="563"/>
      <c r="S483" s="563"/>
      <c r="T483" s="563"/>
      <c r="U483" s="563"/>
      <c r="V483" s="564"/>
      <c r="W483" s="37" t="s">
        <v>71</v>
      </c>
      <c r="X483" s="547">
        <f>IFERROR(X481/H481,"0")+IFERROR(X482/H482,"0")</f>
        <v>0</v>
      </c>
      <c r="Y483" s="547">
        <f>IFERROR(Y481/H481,"0")+IFERROR(Y482/H482,"0")</f>
        <v>0</v>
      </c>
      <c r="Z483" s="547">
        <f>IFERROR(IF(Z481="",0,Z481),"0")+IFERROR(IF(Z482="",0,Z482),"0")</f>
        <v>0</v>
      </c>
      <c r="AA483" s="548"/>
      <c r="AB483" s="548"/>
      <c r="AC483" s="548"/>
    </row>
    <row r="484" spans="1:68" x14ac:dyDescent="0.2">
      <c r="A484" s="559"/>
      <c r="B484" s="559"/>
      <c r="C484" s="559"/>
      <c r="D484" s="559"/>
      <c r="E484" s="559"/>
      <c r="F484" s="559"/>
      <c r="G484" s="559"/>
      <c r="H484" s="559"/>
      <c r="I484" s="559"/>
      <c r="J484" s="559"/>
      <c r="K484" s="559"/>
      <c r="L484" s="559"/>
      <c r="M484" s="559"/>
      <c r="N484" s="559"/>
      <c r="O484" s="573"/>
      <c r="P484" s="562" t="s">
        <v>70</v>
      </c>
      <c r="Q484" s="563"/>
      <c r="R484" s="563"/>
      <c r="S484" s="563"/>
      <c r="T484" s="563"/>
      <c r="U484" s="563"/>
      <c r="V484" s="564"/>
      <c r="W484" s="37" t="s">
        <v>68</v>
      </c>
      <c r="X484" s="547">
        <f>IFERROR(SUM(X481:X482),"0")</f>
        <v>0</v>
      </c>
      <c r="Y484" s="547">
        <f>IFERROR(SUM(Y481:Y482),"0")</f>
        <v>0</v>
      </c>
      <c r="Z484" s="37"/>
      <c r="AA484" s="548"/>
      <c r="AB484" s="548"/>
      <c r="AC484" s="548"/>
    </row>
    <row r="485" spans="1:68" ht="14.25" customHeight="1" x14ac:dyDescent="0.25">
      <c r="A485" s="558" t="s">
        <v>72</v>
      </c>
      <c r="B485" s="559"/>
      <c r="C485" s="559"/>
      <c r="D485" s="559"/>
      <c r="E485" s="559"/>
      <c r="F485" s="559"/>
      <c r="G485" s="559"/>
      <c r="H485" s="559"/>
      <c r="I485" s="559"/>
      <c r="J485" s="559"/>
      <c r="K485" s="559"/>
      <c r="L485" s="559"/>
      <c r="M485" s="559"/>
      <c r="N485" s="559"/>
      <c r="O485" s="559"/>
      <c r="P485" s="559"/>
      <c r="Q485" s="559"/>
      <c r="R485" s="559"/>
      <c r="S485" s="559"/>
      <c r="T485" s="559"/>
      <c r="U485" s="559"/>
      <c r="V485" s="559"/>
      <c r="W485" s="559"/>
      <c r="X485" s="559"/>
      <c r="Y485" s="559"/>
      <c r="Z485" s="559"/>
      <c r="AA485" s="541"/>
      <c r="AB485" s="541"/>
      <c r="AC485" s="541"/>
    </row>
    <row r="486" spans="1:68" ht="27" customHeight="1" x14ac:dyDescent="0.25">
      <c r="A486" s="54" t="s">
        <v>738</v>
      </c>
      <c r="B486" s="54" t="s">
        <v>739</v>
      </c>
      <c r="C486" s="31">
        <v>4301052046</v>
      </c>
      <c r="D486" s="549">
        <v>4640242180533</v>
      </c>
      <c r="E486" s="550"/>
      <c r="F486" s="544">
        <v>1.5</v>
      </c>
      <c r="G486" s="32">
        <v>6</v>
      </c>
      <c r="H486" s="544">
        <v>9</v>
      </c>
      <c r="I486" s="544">
        <v>9.5190000000000001</v>
      </c>
      <c r="J486" s="32">
        <v>64</v>
      </c>
      <c r="K486" s="32" t="s">
        <v>101</v>
      </c>
      <c r="L486" s="32"/>
      <c r="M486" s="33" t="s">
        <v>83</v>
      </c>
      <c r="N486" s="33"/>
      <c r="O486" s="32">
        <v>45</v>
      </c>
      <c r="P486" s="84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6" s="552"/>
      <c r="R486" s="552"/>
      <c r="S486" s="552"/>
      <c r="T486" s="553"/>
      <c r="U486" s="34"/>
      <c r="V486" s="34"/>
      <c r="W486" s="35" t="s">
        <v>68</v>
      </c>
      <c r="X486" s="545">
        <v>300</v>
      </c>
      <c r="Y486" s="546">
        <f>IFERROR(IF(X486="",0,CEILING((X486/$H486),1)*$H486),"")</f>
        <v>306</v>
      </c>
      <c r="Z486" s="36">
        <f>IFERROR(IF(Y486=0,"",ROUNDUP(Y486/H486,0)*0.01898),"")</f>
        <v>0.64532</v>
      </c>
      <c r="AA486" s="56"/>
      <c r="AB486" s="57"/>
      <c r="AC486" s="529" t="s">
        <v>740</v>
      </c>
      <c r="AG486" s="64"/>
      <c r="AJ486" s="68"/>
      <c r="AK486" s="68">
        <v>0</v>
      </c>
      <c r="BB486" s="530" t="s">
        <v>1</v>
      </c>
      <c r="BM486" s="64">
        <f>IFERROR(X486*I486/H486,"0")</f>
        <v>317.29999999999995</v>
      </c>
      <c r="BN486" s="64">
        <f>IFERROR(Y486*I486/H486,"0")</f>
        <v>323.64599999999996</v>
      </c>
      <c r="BO486" s="64">
        <f>IFERROR(1/J486*(X486/H486),"0")</f>
        <v>0.52083333333333337</v>
      </c>
      <c r="BP486" s="64">
        <f>IFERROR(1/J486*(Y486/H486),"0")</f>
        <v>0.53125</v>
      </c>
    </row>
    <row r="487" spans="1:68" x14ac:dyDescent="0.2">
      <c r="A487" s="572"/>
      <c r="B487" s="559"/>
      <c r="C487" s="559"/>
      <c r="D487" s="559"/>
      <c r="E487" s="559"/>
      <c r="F487" s="559"/>
      <c r="G487" s="559"/>
      <c r="H487" s="559"/>
      <c r="I487" s="559"/>
      <c r="J487" s="559"/>
      <c r="K487" s="559"/>
      <c r="L487" s="559"/>
      <c r="M487" s="559"/>
      <c r="N487" s="559"/>
      <c r="O487" s="573"/>
      <c r="P487" s="562" t="s">
        <v>70</v>
      </c>
      <c r="Q487" s="563"/>
      <c r="R487" s="563"/>
      <c r="S487" s="563"/>
      <c r="T487" s="563"/>
      <c r="U487" s="563"/>
      <c r="V487" s="564"/>
      <c r="W487" s="37" t="s">
        <v>71</v>
      </c>
      <c r="X487" s="547">
        <f>IFERROR(X486/H486,"0")</f>
        <v>33.333333333333336</v>
      </c>
      <c r="Y487" s="547">
        <f>IFERROR(Y486/H486,"0")</f>
        <v>34</v>
      </c>
      <c r="Z487" s="547">
        <f>IFERROR(IF(Z486="",0,Z486),"0")</f>
        <v>0.64532</v>
      </c>
      <c r="AA487" s="548"/>
      <c r="AB487" s="548"/>
      <c r="AC487" s="548"/>
    </row>
    <row r="488" spans="1:68" x14ac:dyDescent="0.2">
      <c r="A488" s="559"/>
      <c r="B488" s="559"/>
      <c r="C488" s="559"/>
      <c r="D488" s="559"/>
      <c r="E488" s="559"/>
      <c r="F488" s="559"/>
      <c r="G488" s="559"/>
      <c r="H488" s="559"/>
      <c r="I488" s="559"/>
      <c r="J488" s="559"/>
      <c r="K488" s="559"/>
      <c r="L488" s="559"/>
      <c r="M488" s="559"/>
      <c r="N488" s="559"/>
      <c r="O488" s="573"/>
      <c r="P488" s="562" t="s">
        <v>70</v>
      </c>
      <c r="Q488" s="563"/>
      <c r="R488" s="563"/>
      <c r="S488" s="563"/>
      <c r="T488" s="563"/>
      <c r="U488" s="563"/>
      <c r="V488" s="564"/>
      <c r="W488" s="37" t="s">
        <v>68</v>
      </c>
      <c r="X488" s="547">
        <f>IFERROR(SUM(X486:X486),"0")</f>
        <v>300</v>
      </c>
      <c r="Y488" s="547">
        <f>IFERROR(SUM(Y486:Y486),"0")</f>
        <v>306</v>
      </c>
      <c r="Z488" s="37"/>
      <c r="AA488" s="548"/>
      <c r="AB488" s="548"/>
      <c r="AC488" s="548"/>
    </row>
    <row r="489" spans="1:68" ht="14.25" customHeight="1" x14ac:dyDescent="0.25">
      <c r="A489" s="558" t="s">
        <v>160</v>
      </c>
      <c r="B489" s="559"/>
      <c r="C489" s="559"/>
      <c r="D489" s="559"/>
      <c r="E489" s="559"/>
      <c r="F489" s="559"/>
      <c r="G489" s="559"/>
      <c r="H489" s="559"/>
      <c r="I489" s="559"/>
      <c r="J489" s="559"/>
      <c r="K489" s="559"/>
      <c r="L489" s="559"/>
      <c r="M489" s="559"/>
      <c r="N489" s="559"/>
      <c r="O489" s="559"/>
      <c r="P489" s="559"/>
      <c r="Q489" s="559"/>
      <c r="R489" s="559"/>
      <c r="S489" s="559"/>
      <c r="T489" s="559"/>
      <c r="U489" s="559"/>
      <c r="V489" s="559"/>
      <c r="W489" s="559"/>
      <c r="X489" s="559"/>
      <c r="Y489" s="559"/>
      <c r="Z489" s="559"/>
      <c r="AA489" s="541"/>
      <c r="AB489" s="541"/>
      <c r="AC489" s="541"/>
    </row>
    <row r="490" spans="1:68" ht="27" customHeight="1" x14ac:dyDescent="0.25">
      <c r="A490" s="54" t="s">
        <v>741</v>
      </c>
      <c r="B490" s="54" t="s">
        <v>742</v>
      </c>
      <c r="C490" s="31">
        <v>4301060491</v>
      </c>
      <c r="D490" s="549">
        <v>4640242180120</v>
      </c>
      <c r="E490" s="550"/>
      <c r="F490" s="544">
        <v>1.5</v>
      </c>
      <c r="G490" s="32">
        <v>6</v>
      </c>
      <c r="H490" s="544">
        <v>9</v>
      </c>
      <c r="I490" s="544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80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0" s="552"/>
      <c r="R490" s="552"/>
      <c r="S490" s="552"/>
      <c r="T490" s="553"/>
      <c r="U490" s="34"/>
      <c r="V490" s="34"/>
      <c r="W490" s="35" t="s">
        <v>68</v>
      </c>
      <c r="X490" s="545">
        <v>0</v>
      </c>
      <c r="Y490" s="54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744</v>
      </c>
      <c r="B491" s="54" t="s">
        <v>745</v>
      </c>
      <c r="C491" s="31">
        <v>4301060493</v>
      </c>
      <c r="D491" s="549">
        <v>4640242180137</v>
      </c>
      <c r="E491" s="550"/>
      <c r="F491" s="544">
        <v>1.5</v>
      </c>
      <c r="G491" s="32">
        <v>6</v>
      </c>
      <c r="H491" s="544">
        <v>9</v>
      </c>
      <c r="I491" s="544">
        <v>9.4350000000000005</v>
      </c>
      <c r="J491" s="32">
        <v>64</v>
      </c>
      <c r="K491" s="32" t="s">
        <v>101</v>
      </c>
      <c r="L491" s="32"/>
      <c r="M491" s="33" t="s">
        <v>76</v>
      </c>
      <c r="N491" s="33"/>
      <c r="O491" s="32">
        <v>40</v>
      </c>
      <c r="P491" s="72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1" s="552"/>
      <c r="R491" s="552"/>
      <c r="S491" s="552"/>
      <c r="T491" s="553"/>
      <c r="U491" s="34"/>
      <c r="V491" s="34"/>
      <c r="W491" s="35" t="s">
        <v>68</v>
      </c>
      <c r="X491" s="545">
        <v>0</v>
      </c>
      <c r="Y491" s="54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746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572"/>
      <c r="B492" s="559"/>
      <c r="C492" s="559"/>
      <c r="D492" s="559"/>
      <c r="E492" s="559"/>
      <c r="F492" s="559"/>
      <c r="G492" s="559"/>
      <c r="H492" s="559"/>
      <c r="I492" s="559"/>
      <c r="J492" s="559"/>
      <c r="K492" s="559"/>
      <c r="L492" s="559"/>
      <c r="M492" s="559"/>
      <c r="N492" s="559"/>
      <c r="O492" s="573"/>
      <c r="P492" s="562" t="s">
        <v>70</v>
      </c>
      <c r="Q492" s="563"/>
      <c r="R492" s="563"/>
      <c r="S492" s="563"/>
      <c r="T492" s="563"/>
      <c r="U492" s="563"/>
      <c r="V492" s="564"/>
      <c r="W492" s="37" t="s">
        <v>71</v>
      </c>
      <c r="X492" s="547">
        <f>IFERROR(X490/H490,"0")+IFERROR(X491/H491,"0")</f>
        <v>0</v>
      </c>
      <c r="Y492" s="547">
        <f>IFERROR(Y490/H490,"0")+IFERROR(Y491/H491,"0")</f>
        <v>0</v>
      </c>
      <c r="Z492" s="547">
        <f>IFERROR(IF(Z490="",0,Z490),"0")+IFERROR(IF(Z491="",0,Z491),"0")</f>
        <v>0</v>
      </c>
      <c r="AA492" s="548"/>
      <c r="AB492" s="548"/>
      <c r="AC492" s="548"/>
    </row>
    <row r="493" spans="1:68" x14ac:dyDescent="0.2">
      <c r="A493" s="559"/>
      <c r="B493" s="559"/>
      <c r="C493" s="559"/>
      <c r="D493" s="559"/>
      <c r="E493" s="559"/>
      <c r="F493" s="559"/>
      <c r="G493" s="559"/>
      <c r="H493" s="559"/>
      <c r="I493" s="559"/>
      <c r="J493" s="559"/>
      <c r="K493" s="559"/>
      <c r="L493" s="559"/>
      <c r="M493" s="559"/>
      <c r="N493" s="559"/>
      <c r="O493" s="573"/>
      <c r="P493" s="562" t="s">
        <v>70</v>
      </c>
      <c r="Q493" s="563"/>
      <c r="R493" s="563"/>
      <c r="S493" s="563"/>
      <c r="T493" s="563"/>
      <c r="U493" s="563"/>
      <c r="V493" s="564"/>
      <c r="W493" s="37" t="s">
        <v>68</v>
      </c>
      <c r="X493" s="547">
        <f>IFERROR(SUM(X490:X491),"0")</f>
        <v>0</v>
      </c>
      <c r="Y493" s="547">
        <f>IFERROR(SUM(Y490:Y491),"0")</f>
        <v>0</v>
      </c>
      <c r="Z493" s="37"/>
      <c r="AA493" s="548"/>
      <c r="AB493" s="548"/>
      <c r="AC493" s="548"/>
    </row>
    <row r="494" spans="1:68" ht="16.5" customHeight="1" x14ac:dyDescent="0.25">
      <c r="A494" s="567" t="s">
        <v>747</v>
      </c>
      <c r="B494" s="559"/>
      <c r="C494" s="559"/>
      <c r="D494" s="559"/>
      <c r="E494" s="559"/>
      <c r="F494" s="559"/>
      <c r="G494" s="559"/>
      <c r="H494" s="559"/>
      <c r="I494" s="559"/>
      <c r="J494" s="559"/>
      <c r="K494" s="559"/>
      <c r="L494" s="559"/>
      <c r="M494" s="559"/>
      <c r="N494" s="559"/>
      <c r="O494" s="559"/>
      <c r="P494" s="559"/>
      <c r="Q494" s="559"/>
      <c r="R494" s="559"/>
      <c r="S494" s="559"/>
      <c r="T494" s="559"/>
      <c r="U494" s="559"/>
      <c r="V494" s="559"/>
      <c r="W494" s="559"/>
      <c r="X494" s="559"/>
      <c r="Y494" s="559"/>
      <c r="Z494" s="559"/>
      <c r="AA494" s="540"/>
      <c r="AB494" s="540"/>
      <c r="AC494" s="540"/>
    </row>
    <row r="495" spans="1:68" ht="14.25" customHeight="1" x14ac:dyDescent="0.25">
      <c r="A495" s="558" t="s">
        <v>130</v>
      </c>
      <c r="B495" s="559"/>
      <c r="C495" s="559"/>
      <c r="D495" s="559"/>
      <c r="E495" s="559"/>
      <c r="F495" s="559"/>
      <c r="G495" s="559"/>
      <c r="H495" s="559"/>
      <c r="I495" s="559"/>
      <c r="J495" s="559"/>
      <c r="K495" s="559"/>
      <c r="L495" s="559"/>
      <c r="M495" s="559"/>
      <c r="N495" s="559"/>
      <c r="O495" s="559"/>
      <c r="P495" s="559"/>
      <c r="Q495" s="559"/>
      <c r="R495" s="559"/>
      <c r="S495" s="559"/>
      <c r="T495" s="559"/>
      <c r="U495" s="559"/>
      <c r="V495" s="559"/>
      <c r="W495" s="559"/>
      <c r="X495" s="559"/>
      <c r="Y495" s="559"/>
      <c r="Z495" s="559"/>
      <c r="AA495" s="541"/>
      <c r="AB495" s="541"/>
      <c r="AC495" s="541"/>
    </row>
    <row r="496" spans="1:68" ht="27" customHeight="1" x14ac:dyDescent="0.25">
      <c r="A496" s="54" t="s">
        <v>748</v>
      </c>
      <c r="B496" s="54" t="s">
        <v>749</v>
      </c>
      <c r="C496" s="31">
        <v>4301020314</v>
      </c>
      <c r="D496" s="549">
        <v>4640242180090</v>
      </c>
      <c r="E496" s="550"/>
      <c r="F496" s="544">
        <v>1.5</v>
      </c>
      <c r="G496" s="32">
        <v>8</v>
      </c>
      <c r="H496" s="544">
        <v>12</v>
      </c>
      <c r="I496" s="544">
        <v>12.435</v>
      </c>
      <c r="J496" s="32">
        <v>64</v>
      </c>
      <c r="K496" s="32" t="s">
        <v>101</v>
      </c>
      <c r="L496" s="32"/>
      <c r="M496" s="33" t="s">
        <v>102</v>
      </c>
      <c r="N496" s="33"/>
      <c r="O496" s="32">
        <v>50</v>
      </c>
      <c r="P496" s="715" t="s">
        <v>750</v>
      </c>
      <c r="Q496" s="552"/>
      <c r="R496" s="552"/>
      <c r="S496" s="552"/>
      <c r="T496" s="553"/>
      <c r="U496" s="34"/>
      <c r="V496" s="34"/>
      <c r="W496" s="35" t="s">
        <v>68</v>
      </c>
      <c r="X496" s="545">
        <v>0</v>
      </c>
      <c r="Y496" s="546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35" t="s">
        <v>751</v>
      </c>
      <c r="AG496" s="64"/>
      <c r="AJ496" s="68"/>
      <c r="AK496" s="68">
        <v>0</v>
      </c>
      <c r="BB496" s="53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32" x14ac:dyDescent="0.2">
      <c r="A497" s="572"/>
      <c r="B497" s="559"/>
      <c r="C497" s="559"/>
      <c r="D497" s="559"/>
      <c r="E497" s="559"/>
      <c r="F497" s="559"/>
      <c r="G497" s="559"/>
      <c r="H497" s="559"/>
      <c r="I497" s="559"/>
      <c r="J497" s="559"/>
      <c r="K497" s="559"/>
      <c r="L497" s="559"/>
      <c r="M497" s="559"/>
      <c r="N497" s="559"/>
      <c r="O497" s="573"/>
      <c r="P497" s="562" t="s">
        <v>70</v>
      </c>
      <c r="Q497" s="563"/>
      <c r="R497" s="563"/>
      <c r="S497" s="563"/>
      <c r="T497" s="563"/>
      <c r="U497" s="563"/>
      <c r="V497" s="564"/>
      <c r="W497" s="37" t="s">
        <v>71</v>
      </c>
      <c r="X497" s="547">
        <f>IFERROR(X496/H496,"0")</f>
        <v>0</v>
      </c>
      <c r="Y497" s="547">
        <f>IFERROR(Y496/H496,"0")</f>
        <v>0</v>
      </c>
      <c r="Z497" s="547">
        <f>IFERROR(IF(Z496="",0,Z496),"0")</f>
        <v>0</v>
      </c>
      <c r="AA497" s="548"/>
      <c r="AB497" s="548"/>
      <c r="AC497" s="548"/>
    </row>
    <row r="498" spans="1:32" x14ac:dyDescent="0.2">
      <c r="A498" s="559"/>
      <c r="B498" s="559"/>
      <c r="C498" s="559"/>
      <c r="D498" s="559"/>
      <c r="E498" s="559"/>
      <c r="F498" s="559"/>
      <c r="G498" s="559"/>
      <c r="H498" s="559"/>
      <c r="I498" s="559"/>
      <c r="J498" s="559"/>
      <c r="K498" s="559"/>
      <c r="L498" s="559"/>
      <c r="M498" s="559"/>
      <c r="N498" s="559"/>
      <c r="O498" s="573"/>
      <c r="P498" s="562" t="s">
        <v>70</v>
      </c>
      <c r="Q498" s="563"/>
      <c r="R498" s="563"/>
      <c r="S498" s="563"/>
      <c r="T498" s="563"/>
      <c r="U498" s="563"/>
      <c r="V498" s="564"/>
      <c r="W498" s="37" t="s">
        <v>68</v>
      </c>
      <c r="X498" s="547">
        <f>IFERROR(SUM(X496:X496),"0")</f>
        <v>0</v>
      </c>
      <c r="Y498" s="547">
        <f>IFERROR(SUM(Y496:Y496),"0")</f>
        <v>0</v>
      </c>
      <c r="Z498" s="37"/>
      <c r="AA498" s="548"/>
      <c r="AB498" s="548"/>
      <c r="AC498" s="548"/>
    </row>
    <row r="499" spans="1:32" ht="15" customHeight="1" x14ac:dyDescent="0.2">
      <c r="A499" s="679"/>
      <c r="B499" s="559"/>
      <c r="C499" s="559"/>
      <c r="D499" s="559"/>
      <c r="E499" s="559"/>
      <c r="F499" s="559"/>
      <c r="G499" s="559"/>
      <c r="H499" s="559"/>
      <c r="I499" s="559"/>
      <c r="J499" s="559"/>
      <c r="K499" s="559"/>
      <c r="L499" s="559"/>
      <c r="M499" s="559"/>
      <c r="N499" s="559"/>
      <c r="O499" s="680"/>
      <c r="P499" s="590" t="s">
        <v>752</v>
      </c>
      <c r="Q499" s="591"/>
      <c r="R499" s="591"/>
      <c r="S499" s="591"/>
      <c r="T499" s="591"/>
      <c r="U499" s="591"/>
      <c r="V499" s="592"/>
      <c r="W499" s="37" t="s">
        <v>68</v>
      </c>
      <c r="X499" s="547">
        <f>IFERROR(X24+X32+X36+X44+X48+X58+X64+X70+X78+X83+X90+X97+X105+X111+X118+X122+X128+X133+X138+X144+X150+X156+X168+X174+X178+X184+X189+X200+X212+X217+X230+X234+X238+X246+X255+X263+X270+X275+X279+X284+X294+X304+X312+X318+X325+X331+X338+X350+X355+X360+X364+X371+X375+X380+X384+X399+X404+X409+X416+X421+X426+X443+X449+X458+X464+X473+X479+X484+X488+X493+X498,"0")</f>
        <v>15564</v>
      </c>
      <c r="Y499" s="547">
        <f>IFERROR(Y24+Y32+Y36+Y44+Y48+Y58+Y64+Y70+Y78+Y83+Y90+Y97+Y105+Y111+Y118+Y122+Y128+Y133+Y138+Y144+Y150+Y156+Y168+Y174+Y178+Y184+Y189+Y200+Y212+Y217+Y230+Y234+Y238+Y246+Y255+Y263+Y270+Y275+Y279+Y284+Y294+Y304+Y312+Y318+Y325+Y331+Y338+Y350+Y355+Y360+Y364+Y371+Y375+Y380+Y384+Y399+Y404+Y409+Y416+Y421+Y426+Y443+Y449+Y458+Y464+Y473+Y479+Y484+Y488+Y493+Y498,"0")</f>
        <v>15653.850000000002</v>
      </c>
      <c r="Z499" s="37"/>
      <c r="AA499" s="548"/>
      <c r="AB499" s="548"/>
      <c r="AC499" s="548"/>
    </row>
    <row r="500" spans="1:32" x14ac:dyDescent="0.2">
      <c r="A500" s="559"/>
      <c r="B500" s="559"/>
      <c r="C500" s="559"/>
      <c r="D500" s="559"/>
      <c r="E500" s="559"/>
      <c r="F500" s="559"/>
      <c r="G500" s="559"/>
      <c r="H500" s="559"/>
      <c r="I500" s="559"/>
      <c r="J500" s="559"/>
      <c r="K500" s="559"/>
      <c r="L500" s="559"/>
      <c r="M500" s="559"/>
      <c r="N500" s="559"/>
      <c r="O500" s="680"/>
      <c r="P500" s="590" t="s">
        <v>753</v>
      </c>
      <c r="Q500" s="591"/>
      <c r="R500" s="591"/>
      <c r="S500" s="591"/>
      <c r="T500" s="591"/>
      <c r="U500" s="591"/>
      <c r="V500" s="592"/>
      <c r="W500" s="37" t="s">
        <v>68</v>
      </c>
      <c r="X500" s="547">
        <f>IFERROR(SUM(BM22:BM496),"0")</f>
        <v>16500.147780367784</v>
      </c>
      <c r="Y500" s="547">
        <f>IFERROR(SUM(BN22:BN496),"0")</f>
        <v>16595.102999999999</v>
      </c>
      <c r="Z500" s="37"/>
      <c r="AA500" s="548"/>
      <c r="AB500" s="548"/>
      <c r="AC500" s="548"/>
    </row>
    <row r="501" spans="1:32" x14ac:dyDescent="0.2">
      <c r="A501" s="559"/>
      <c r="B501" s="559"/>
      <c r="C501" s="559"/>
      <c r="D501" s="559"/>
      <c r="E501" s="559"/>
      <c r="F501" s="559"/>
      <c r="G501" s="559"/>
      <c r="H501" s="559"/>
      <c r="I501" s="559"/>
      <c r="J501" s="559"/>
      <c r="K501" s="559"/>
      <c r="L501" s="559"/>
      <c r="M501" s="559"/>
      <c r="N501" s="559"/>
      <c r="O501" s="680"/>
      <c r="P501" s="590" t="s">
        <v>754</v>
      </c>
      <c r="Q501" s="591"/>
      <c r="R501" s="591"/>
      <c r="S501" s="591"/>
      <c r="T501" s="591"/>
      <c r="U501" s="591"/>
      <c r="V501" s="592"/>
      <c r="W501" s="37" t="s">
        <v>755</v>
      </c>
      <c r="X501" s="38">
        <f>ROUNDUP(SUM(BO22:BO496),0)</f>
        <v>28</v>
      </c>
      <c r="Y501" s="38">
        <f>ROUNDUP(SUM(BP22:BP496),0)</f>
        <v>28</v>
      </c>
      <c r="Z501" s="37"/>
      <c r="AA501" s="548"/>
      <c r="AB501" s="548"/>
      <c r="AC501" s="548"/>
    </row>
    <row r="502" spans="1:32" x14ac:dyDescent="0.2">
      <c r="A502" s="559"/>
      <c r="B502" s="559"/>
      <c r="C502" s="559"/>
      <c r="D502" s="559"/>
      <c r="E502" s="559"/>
      <c r="F502" s="559"/>
      <c r="G502" s="559"/>
      <c r="H502" s="559"/>
      <c r="I502" s="559"/>
      <c r="J502" s="559"/>
      <c r="K502" s="559"/>
      <c r="L502" s="559"/>
      <c r="M502" s="559"/>
      <c r="N502" s="559"/>
      <c r="O502" s="680"/>
      <c r="P502" s="590" t="s">
        <v>756</v>
      </c>
      <c r="Q502" s="591"/>
      <c r="R502" s="591"/>
      <c r="S502" s="591"/>
      <c r="T502" s="591"/>
      <c r="U502" s="591"/>
      <c r="V502" s="592"/>
      <c r="W502" s="37" t="s">
        <v>68</v>
      </c>
      <c r="X502" s="547">
        <f>GrossWeightTotal+PalletQtyTotal*25</f>
        <v>17200.147780367784</v>
      </c>
      <c r="Y502" s="547">
        <f>GrossWeightTotalR+PalletQtyTotalR*25</f>
        <v>17295.102999999999</v>
      </c>
      <c r="Z502" s="37"/>
      <c r="AA502" s="548"/>
      <c r="AB502" s="548"/>
      <c r="AC502" s="548"/>
    </row>
    <row r="503" spans="1:32" x14ac:dyDescent="0.2">
      <c r="A503" s="559"/>
      <c r="B503" s="559"/>
      <c r="C503" s="559"/>
      <c r="D503" s="559"/>
      <c r="E503" s="559"/>
      <c r="F503" s="559"/>
      <c r="G503" s="559"/>
      <c r="H503" s="559"/>
      <c r="I503" s="559"/>
      <c r="J503" s="559"/>
      <c r="K503" s="559"/>
      <c r="L503" s="559"/>
      <c r="M503" s="559"/>
      <c r="N503" s="559"/>
      <c r="O503" s="680"/>
      <c r="P503" s="590" t="s">
        <v>757</v>
      </c>
      <c r="Q503" s="591"/>
      <c r="R503" s="591"/>
      <c r="S503" s="591"/>
      <c r="T503" s="591"/>
      <c r="U503" s="591"/>
      <c r="V503" s="592"/>
      <c r="W503" s="37" t="s">
        <v>755</v>
      </c>
      <c r="X503" s="547">
        <f>IFERROR(X23+X31+X35+X43+X47+X57+X63+X69+X77+X82+X89+X96+X104+X110+X117+X121+X127+X132+X137+X143+X149+X155+X167+X173+X177+X183+X188+X199+X211+X216+X229+X233+X237+X245+X254+X262+X269+X274+X278+X283+X293+X303+X311+X317+X324+X330+X337+X349+X354+X359+X363+X370+X374+X379+X383+X398+X403+X408+X415+X420+X425+X442+X448+X457+X463+X472+X478+X483+X487+X492+X497,"0")</f>
        <v>2561.6349391349395</v>
      </c>
      <c r="Y503" s="547">
        <f>IFERROR(Y23+Y31+Y35+Y43+Y47+Y57+Y63+Y69+Y77+Y82+Y89+Y96+Y104+Y110+Y117+Y121+Y127+Y132+Y137+Y143+Y149+Y155+Y167+Y173+Y177+Y183+Y188+Y199+Y211+Y216+Y229+Y233+Y237+Y245+Y254+Y262+Y269+Y274+Y278+Y283+Y293+Y303+Y311+Y317+Y324+Y330+Y337+Y349+Y354+Y359+Y363+Y370+Y374+Y379+Y383+Y398+Y403+Y408+Y415+Y420+Y425+Y442+Y448+Y457+Y463+Y472+Y478+Y483+Y487+Y492+Y497,"0")</f>
        <v>2575</v>
      </c>
      <c r="Z503" s="37"/>
      <c r="AA503" s="548"/>
      <c r="AB503" s="548"/>
      <c r="AC503" s="548"/>
    </row>
    <row r="504" spans="1:32" ht="14.25" customHeight="1" x14ac:dyDescent="0.2">
      <c r="A504" s="559"/>
      <c r="B504" s="559"/>
      <c r="C504" s="559"/>
      <c r="D504" s="559"/>
      <c r="E504" s="559"/>
      <c r="F504" s="559"/>
      <c r="G504" s="559"/>
      <c r="H504" s="559"/>
      <c r="I504" s="559"/>
      <c r="J504" s="559"/>
      <c r="K504" s="559"/>
      <c r="L504" s="559"/>
      <c r="M504" s="559"/>
      <c r="N504" s="559"/>
      <c r="O504" s="680"/>
      <c r="P504" s="590" t="s">
        <v>758</v>
      </c>
      <c r="Q504" s="591"/>
      <c r="R504" s="591"/>
      <c r="S504" s="591"/>
      <c r="T504" s="591"/>
      <c r="U504" s="591"/>
      <c r="V504" s="592"/>
      <c r="W504" s="39" t="s">
        <v>759</v>
      </c>
      <c r="X504" s="37"/>
      <c r="Y504" s="37"/>
      <c r="Z504" s="37">
        <f>IFERROR(Z23+Z31+Z35+Z43+Z47+Z57+Z63+Z69+Z77+Z82+Z89+Z96+Z104+Z110+Z117+Z121+Z127+Z132+Z137+Z143+Z149+Z155+Z167+Z173+Z177+Z183+Z188+Z199+Z211+Z216+Z229+Z233+Z237+Z245+Z254+Z262+Z269+Z274+Z278+Z283+Z293+Z303+Z311+Z317+Z324+Z330+Z337+Z349+Z354+Z359+Z363+Z370+Z374+Z379+Z383+Z398+Z403+Z408+Z415+Z420+Z425+Z442+Z448+Z457+Z463+Z472+Z478+Z483+Z487+Z492+Z497,"0")</f>
        <v>32.404670000000003</v>
      </c>
      <c r="AA504" s="548"/>
      <c r="AB504" s="548"/>
      <c r="AC504" s="548"/>
    </row>
    <row r="505" spans="1:32" ht="13.5" customHeight="1" thickBot="1" x14ac:dyDescent="0.25"/>
    <row r="506" spans="1:32" ht="27" customHeight="1" thickTop="1" thickBot="1" x14ac:dyDescent="0.25">
      <c r="A506" s="40" t="s">
        <v>760</v>
      </c>
      <c r="B506" s="542" t="s">
        <v>62</v>
      </c>
      <c r="C506" s="560" t="s">
        <v>96</v>
      </c>
      <c r="D506" s="647"/>
      <c r="E506" s="647"/>
      <c r="F506" s="647"/>
      <c r="G506" s="647"/>
      <c r="H506" s="648"/>
      <c r="I506" s="560" t="s">
        <v>245</v>
      </c>
      <c r="J506" s="647"/>
      <c r="K506" s="647"/>
      <c r="L506" s="647"/>
      <c r="M506" s="647"/>
      <c r="N506" s="647"/>
      <c r="O506" s="647"/>
      <c r="P506" s="647"/>
      <c r="Q506" s="647"/>
      <c r="R506" s="647"/>
      <c r="S506" s="648"/>
      <c r="T506" s="560" t="s">
        <v>534</v>
      </c>
      <c r="U506" s="648"/>
      <c r="V506" s="560" t="s">
        <v>590</v>
      </c>
      <c r="W506" s="647"/>
      <c r="X506" s="647"/>
      <c r="Y506" s="648"/>
      <c r="Z506" s="542" t="s">
        <v>646</v>
      </c>
      <c r="AA506" s="560" t="s">
        <v>710</v>
      </c>
      <c r="AB506" s="648"/>
      <c r="AC506" s="52"/>
      <c r="AF506" s="543"/>
    </row>
    <row r="507" spans="1:32" ht="14.25" customHeight="1" thickTop="1" x14ac:dyDescent="0.2">
      <c r="A507" s="769" t="s">
        <v>761</v>
      </c>
      <c r="B507" s="560" t="s">
        <v>62</v>
      </c>
      <c r="C507" s="560" t="s">
        <v>97</v>
      </c>
      <c r="D507" s="560" t="s">
        <v>112</v>
      </c>
      <c r="E507" s="560" t="s">
        <v>167</v>
      </c>
      <c r="F507" s="560" t="s">
        <v>187</v>
      </c>
      <c r="G507" s="560" t="s">
        <v>217</v>
      </c>
      <c r="H507" s="560" t="s">
        <v>96</v>
      </c>
      <c r="I507" s="560" t="s">
        <v>246</v>
      </c>
      <c r="J507" s="560" t="s">
        <v>286</v>
      </c>
      <c r="K507" s="560" t="s">
        <v>346</v>
      </c>
      <c r="L507" s="560" t="s">
        <v>390</v>
      </c>
      <c r="M507" s="560" t="s">
        <v>406</v>
      </c>
      <c r="N507" s="543"/>
      <c r="O507" s="560" t="s">
        <v>420</v>
      </c>
      <c r="P507" s="560" t="s">
        <v>430</v>
      </c>
      <c r="Q507" s="560" t="s">
        <v>437</v>
      </c>
      <c r="R507" s="560" t="s">
        <v>442</v>
      </c>
      <c r="S507" s="560" t="s">
        <v>524</v>
      </c>
      <c r="T507" s="560" t="s">
        <v>535</v>
      </c>
      <c r="U507" s="560" t="s">
        <v>570</v>
      </c>
      <c r="V507" s="560" t="s">
        <v>591</v>
      </c>
      <c r="W507" s="560" t="s">
        <v>623</v>
      </c>
      <c r="X507" s="560" t="s">
        <v>638</v>
      </c>
      <c r="Y507" s="560" t="s">
        <v>642</v>
      </c>
      <c r="Z507" s="560" t="s">
        <v>646</v>
      </c>
      <c r="AA507" s="560" t="s">
        <v>710</v>
      </c>
      <c r="AB507" s="560" t="s">
        <v>747</v>
      </c>
      <c r="AC507" s="52"/>
      <c r="AF507" s="543"/>
    </row>
    <row r="508" spans="1:32" ht="13.5" customHeight="1" thickBot="1" x14ac:dyDescent="0.25">
      <c r="A508" s="770"/>
      <c r="B508" s="561"/>
      <c r="C508" s="561"/>
      <c r="D508" s="561"/>
      <c r="E508" s="561"/>
      <c r="F508" s="561"/>
      <c r="G508" s="561"/>
      <c r="H508" s="561"/>
      <c r="I508" s="561"/>
      <c r="J508" s="561"/>
      <c r="K508" s="561"/>
      <c r="L508" s="561"/>
      <c r="M508" s="561"/>
      <c r="N508" s="543"/>
      <c r="O508" s="561"/>
      <c r="P508" s="561"/>
      <c r="Q508" s="561"/>
      <c r="R508" s="561"/>
      <c r="S508" s="561"/>
      <c r="T508" s="561"/>
      <c r="U508" s="561"/>
      <c r="V508" s="561"/>
      <c r="W508" s="561"/>
      <c r="X508" s="561"/>
      <c r="Y508" s="561"/>
      <c r="Z508" s="561"/>
      <c r="AA508" s="561"/>
      <c r="AB508" s="561"/>
      <c r="AC508" s="52"/>
      <c r="AF508" s="543"/>
    </row>
    <row r="509" spans="1:32" ht="18" customHeight="1" thickTop="1" thickBot="1" x14ac:dyDescent="0.25">
      <c r="A509" s="40" t="s">
        <v>762</v>
      </c>
      <c r="B509" s="46">
        <f>IFERROR(Y22*1,"0")+IFERROR(Y26*1,"0")+IFERROR(Y27*1,"0")+IFERROR(Y28*1,"0")+IFERROR(Y29*1,"0")+IFERROR(Y30*1,"0")+IFERROR(Y34*1,"0")</f>
        <v>0</v>
      </c>
      <c r="C509" s="46">
        <f>IFERROR(Y40*1,"0")+IFERROR(Y41*1,"0")+IFERROR(Y42*1,"0")+IFERROR(Y46*1,"0")</f>
        <v>108</v>
      </c>
      <c r="D509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245.20000000000002</v>
      </c>
      <c r="E509" s="46">
        <f>IFERROR(Y86*1,"0")+IFERROR(Y87*1,"0")+IFERROR(Y88*1,"0")+IFERROR(Y92*1,"0")+IFERROR(Y93*1,"0")+IFERROR(Y94*1,"0")+IFERROR(Y95*1,"0")</f>
        <v>1578.6</v>
      </c>
      <c r="F509" s="46">
        <f>IFERROR(Y100*1,"0")+IFERROR(Y101*1,"0")+IFERROR(Y102*1,"0")+IFERROR(Y103*1,"0")+IFERROR(Y107*1,"0")+IFERROR(Y108*1,"0")+IFERROR(Y109*1,"0")+IFERROR(Y113*1,"0")+IFERROR(Y114*1,"0")+IFERROR(Y115*1,"0")+IFERROR(Y116*1,"0")+IFERROR(Y120*1,"0")</f>
        <v>1492.5</v>
      </c>
      <c r="G509" s="46">
        <f>IFERROR(Y125*1,"0")+IFERROR(Y126*1,"0")+IFERROR(Y130*1,"0")+IFERROR(Y131*1,"0")+IFERROR(Y135*1,"0")+IFERROR(Y136*1,"0")</f>
        <v>41.6</v>
      </c>
      <c r="H509" s="46">
        <f>IFERROR(Y141*1,"0")+IFERROR(Y142*1,"0")+IFERROR(Y146*1,"0")+IFERROR(Y147*1,"0")+IFERROR(Y148*1,"0")</f>
        <v>0</v>
      </c>
      <c r="I509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9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242.39999999999998</v>
      </c>
      <c r="K509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0</v>
      </c>
      <c r="L509" s="46">
        <f>IFERROR(Y249*1,"0")+IFERROR(Y250*1,"0")+IFERROR(Y251*1,"0")+IFERROR(Y252*1,"0")+IFERROR(Y253*1,"0")</f>
        <v>0</v>
      </c>
      <c r="M509" s="46">
        <f>IFERROR(Y258*1,"0")+IFERROR(Y259*1,"0")+IFERROR(Y260*1,"0")+IFERROR(Y261*1,"0")</f>
        <v>0</v>
      </c>
      <c r="N509" s="543"/>
      <c r="O509" s="46">
        <f>IFERROR(Y266*1,"0")+IFERROR(Y267*1,"0")+IFERROR(Y268*1,"0")</f>
        <v>0</v>
      </c>
      <c r="P509" s="46">
        <f>IFERROR(Y273*1,"0")+IFERROR(Y277*1,"0")</f>
        <v>0</v>
      </c>
      <c r="Q509" s="46">
        <f>IFERROR(Y282*1,"0")</f>
        <v>0</v>
      </c>
      <c r="R509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357.75</v>
      </c>
      <c r="S509" s="46">
        <f>IFERROR(Y334*1,"0")+IFERROR(Y335*1,"0")+IFERROR(Y336*1,"0")</f>
        <v>378</v>
      </c>
      <c r="T509" s="46">
        <f>IFERROR(Y342*1,"0")+IFERROR(Y343*1,"0")+IFERROR(Y344*1,"0")+IFERROR(Y345*1,"0")+IFERROR(Y346*1,"0")+IFERROR(Y347*1,"0")+IFERROR(Y348*1,"0")+IFERROR(Y352*1,"0")+IFERROR(Y353*1,"0")+IFERROR(Y357*1,"0")+IFERROR(Y358*1,"0")+IFERROR(Y362*1,"0")</f>
        <v>3720</v>
      </c>
      <c r="U509" s="46">
        <f>IFERROR(Y367*1,"0")+IFERROR(Y368*1,"0")+IFERROR(Y369*1,"0")+IFERROR(Y373*1,"0")+IFERROR(Y377*1,"0")+IFERROR(Y378*1,"0")+IFERROR(Y382*1,"0")</f>
        <v>2167.8000000000002</v>
      </c>
      <c r="V509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09" s="46">
        <f>IFERROR(Y407*1,"0")+IFERROR(Y411*1,"0")+IFERROR(Y412*1,"0")+IFERROR(Y413*1,"0")+IFERROR(Y414*1,"0")</f>
        <v>0</v>
      </c>
      <c r="X509" s="46">
        <f>IFERROR(Y419*1,"0")</f>
        <v>0</v>
      </c>
      <c r="Y509" s="46">
        <f>IFERROR(Y424*1,"0")</f>
        <v>0</v>
      </c>
      <c r="Z509" s="46">
        <f>IFERROR(Y430*1,"0")+IFERROR(Y431*1,"0")+IFERROR(Y432*1,"0")+IFERROR(Y433*1,"0")+IFERROR(Y434*1,"0")+IFERROR(Y435*1,"0")+IFERROR(Y436*1,"0")+IFERROR(Y437*1,"0")+IFERROR(Y438*1,"0")+IFERROR(Y439*1,"0")+IFERROR(Y440*1,"0")+IFERROR(Y441*1,"0")+IFERROR(Y445*1,"0")+IFERROR(Y446*1,"0")+IFERROR(Y447*1,"0")+IFERROR(Y451*1,"0")+IFERROR(Y452*1,"0")+IFERROR(Y453*1,"0")+IFERROR(Y454*1,"0")+IFERROR(Y455*1,"0")+IFERROR(Y456*1,"0")+IFERROR(Y460*1,"0")+IFERROR(Y461*1,"0")+IFERROR(Y462*1,"0")</f>
        <v>5016</v>
      </c>
      <c r="AA509" s="46">
        <f>IFERROR(Y468*1,"0")+IFERROR(Y469*1,"0")+IFERROR(Y470*1,"0")+IFERROR(Y471*1,"0")+IFERROR(Y475*1,"0")+IFERROR(Y476*1,"0")+IFERROR(Y477*1,"0")+IFERROR(Y481*1,"0")+IFERROR(Y482*1,"0")+IFERROR(Y486*1,"0")+IFERROR(Y490*1,"0")+IFERROR(Y491*1,"0")</f>
        <v>306</v>
      </c>
      <c r="AB509" s="46">
        <f>IFERROR(Y496*1,"0")</f>
        <v>0</v>
      </c>
      <c r="AC509" s="52"/>
      <c r="AF509" s="543"/>
    </row>
  </sheetData>
  <sheetProtection algorithmName="SHA-512" hashValue="BXxptoczD1ytA5HNJDV0ormzsF0zlllWivm/UsGCHFbBv45qN+JL6FTgFYx9642UJT8lJ5aUrv1YAdI8+J07jw==" saltValue="3BCu0q6e3hajsvi+0wF/Kg==" spinCount="100000" sheet="1" objects="1" scenarios="1" sort="0" autoFilter="0" pivotTables="0"/>
  <autoFilter ref="A18:AF50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0">
    <mergeCell ref="A8:C8"/>
    <mergeCell ref="A153:Z153"/>
    <mergeCell ref="D268:E268"/>
    <mergeCell ref="P138:V138"/>
    <mergeCell ref="A137:O138"/>
    <mergeCell ref="D395:E395"/>
    <mergeCell ref="P374:V374"/>
    <mergeCell ref="A10:C10"/>
    <mergeCell ref="P126:T126"/>
    <mergeCell ref="P69:V69"/>
    <mergeCell ref="P311:V311"/>
    <mergeCell ref="A21:Z21"/>
    <mergeCell ref="A129:Z129"/>
    <mergeCell ref="D192:E192"/>
    <mergeCell ref="D42:E42"/>
    <mergeCell ref="D344:E344"/>
    <mergeCell ref="D17:E18"/>
    <mergeCell ref="P373:T373"/>
    <mergeCell ref="P307:T307"/>
    <mergeCell ref="P202:T202"/>
    <mergeCell ref="D250:E250"/>
    <mergeCell ref="A188:O189"/>
    <mergeCell ref="X17:X18"/>
    <mergeCell ref="P216:V216"/>
    <mergeCell ref="Z507:Z508"/>
    <mergeCell ref="V12:W12"/>
    <mergeCell ref="D191:E191"/>
    <mergeCell ref="D433:E433"/>
    <mergeCell ref="P122:V122"/>
    <mergeCell ref="P368:T368"/>
    <mergeCell ref="P43:V43"/>
    <mergeCell ref="A39:Z39"/>
    <mergeCell ref="I507:I508"/>
    <mergeCell ref="P501:V501"/>
    <mergeCell ref="P60:T60"/>
    <mergeCell ref="D291:E291"/>
    <mergeCell ref="D266:E266"/>
    <mergeCell ref="D95:E95"/>
    <mergeCell ref="A339:Z339"/>
    <mergeCell ref="P447:T447"/>
    <mergeCell ref="Y17:Y18"/>
    <mergeCell ref="U17:V17"/>
    <mergeCell ref="A428:Z428"/>
    <mergeCell ref="P425:V425"/>
    <mergeCell ref="D471:E471"/>
    <mergeCell ref="A494:Z494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D407:E407"/>
    <mergeCell ref="Q6:R6"/>
    <mergeCell ref="P493:V493"/>
    <mergeCell ref="D452:E452"/>
    <mergeCell ref="P371:V371"/>
    <mergeCell ref="D252:E252"/>
    <mergeCell ref="A112:Z112"/>
    <mergeCell ref="P137:V137"/>
    <mergeCell ref="A257:Z257"/>
    <mergeCell ref="P439:T439"/>
    <mergeCell ref="D249:E249"/>
    <mergeCell ref="P433:T433"/>
    <mergeCell ref="D170:E170"/>
    <mergeCell ref="D468:E468"/>
    <mergeCell ref="P303:V303"/>
    <mergeCell ref="P132:V132"/>
    <mergeCell ref="P243:T243"/>
    <mergeCell ref="P436:T436"/>
    <mergeCell ref="P292:T292"/>
    <mergeCell ref="A487:O488"/>
    <mergeCell ref="P379:V379"/>
    <mergeCell ref="D196:E196"/>
    <mergeCell ref="P443:V443"/>
    <mergeCell ref="A231:Z231"/>
    <mergeCell ref="A333:Z333"/>
    <mergeCell ref="P283:V283"/>
    <mergeCell ref="P486:T486"/>
    <mergeCell ref="P75:T75"/>
    <mergeCell ref="P342:T342"/>
    <mergeCell ref="P146:T146"/>
    <mergeCell ref="D323:E323"/>
    <mergeCell ref="D394:E394"/>
    <mergeCell ref="D223:E223"/>
    <mergeCell ref="P181:T181"/>
    <mergeCell ref="P357:T357"/>
    <mergeCell ref="P344:T344"/>
    <mergeCell ref="D102:E102"/>
    <mergeCell ref="P403:V403"/>
    <mergeCell ref="P117:V117"/>
    <mergeCell ref="D76:E76"/>
    <mergeCell ref="F5:G5"/>
    <mergeCell ref="H507:H508"/>
    <mergeCell ref="P144:V144"/>
    <mergeCell ref="J507:J508"/>
    <mergeCell ref="P442:V442"/>
    <mergeCell ref="A25:Z25"/>
    <mergeCell ref="L507:L508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V11:W11"/>
    <mergeCell ref="A370:O371"/>
    <mergeCell ref="A497:O498"/>
    <mergeCell ref="P367:T367"/>
    <mergeCell ref="D165:E165"/>
    <mergeCell ref="D475:E475"/>
    <mergeCell ref="F10:G10"/>
    <mergeCell ref="P78:V78"/>
    <mergeCell ref="D397:E397"/>
    <mergeCell ref="A201:Z201"/>
    <mergeCell ref="P363:V363"/>
    <mergeCell ref="D310:E310"/>
    <mergeCell ref="A245:O246"/>
    <mergeCell ref="AD17:AF18"/>
    <mergeCell ref="P167:V167"/>
    <mergeCell ref="D101:E101"/>
    <mergeCell ref="A337:O338"/>
    <mergeCell ref="D29:E29"/>
    <mergeCell ref="A20:Z20"/>
    <mergeCell ref="P72:T72"/>
    <mergeCell ref="A33:Z33"/>
    <mergeCell ref="P23:V23"/>
    <mergeCell ref="D54:E54"/>
    <mergeCell ref="P62:T62"/>
    <mergeCell ref="P2:W3"/>
    <mergeCell ref="P498:V498"/>
    <mergeCell ref="A269:O270"/>
    <mergeCell ref="P298:T298"/>
    <mergeCell ref="D437:E437"/>
    <mergeCell ref="P369:T369"/>
    <mergeCell ref="D241:E241"/>
    <mergeCell ref="P347:T347"/>
    <mergeCell ref="A415:O416"/>
    <mergeCell ref="P198:T198"/>
    <mergeCell ref="A57:O58"/>
    <mergeCell ref="D228:E228"/>
    <mergeCell ref="P412:T412"/>
    <mergeCell ref="P54:T54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T506:U506"/>
    <mergeCell ref="P284:V284"/>
    <mergeCell ref="A110:O111"/>
    <mergeCell ref="D321:E321"/>
    <mergeCell ref="P107:T107"/>
    <mergeCell ref="P101:T101"/>
    <mergeCell ref="P63:V63"/>
    <mergeCell ref="D215:E215"/>
    <mergeCell ref="P492:V492"/>
    <mergeCell ref="P479:V479"/>
    <mergeCell ref="P336:T336"/>
    <mergeCell ref="A248:Z248"/>
    <mergeCell ref="P430:T430"/>
    <mergeCell ref="P174:V174"/>
    <mergeCell ref="P350:V350"/>
    <mergeCell ref="A175:Z175"/>
    <mergeCell ref="A235:Z235"/>
    <mergeCell ref="P102:T102"/>
    <mergeCell ref="A247:Z247"/>
    <mergeCell ref="P189:V189"/>
    <mergeCell ref="A185:Z185"/>
    <mergeCell ref="P196:T196"/>
    <mergeCell ref="D226:E226"/>
    <mergeCell ref="A106:Z106"/>
    <mergeCell ref="S507:S508"/>
    <mergeCell ref="A478:O479"/>
    <mergeCell ref="K507:K508"/>
    <mergeCell ref="P348:T348"/>
    <mergeCell ref="P323:T323"/>
    <mergeCell ref="D358:E358"/>
    <mergeCell ref="A91:Z91"/>
    <mergeCell ref="P337:V337"/>
    <mergeCell ref="P70:V70"/>
    <mergeCell ref="B507:B508"/>
    <mergeCell ref="P97:V97"/>
    <mergeCell ref="D389:E389"/>
    <mergeCell ref="C506:H506"/>
    <mergeCell ref="P176:T176"/>
    <mergeCell ref="P114:T114"/>
    <mergeCell ref="P241:T241"/>
    <mergeCell ref="A157:Z157"/>
    <mergeCell ref="D320:E320"/>
    <mergeCell ref="P470:T470"/>
    <mergeCell ref="D447:E447"/>
    <mergeCell ref="A127:O128"/>
    <mergeCell ref="P426:V426"/>
    <mergeCell ref="P301:T301"/>
    <mergeCell ref="P255:V255"/>
    <mergeCell ref="P490:T490"/>
    <mergeCell ref="D292:E292"/>
    <mergeCell ref="P346:T346"/>
    <mergeCell ref="D227:E227"/>
    <mergeCell ref="A463:O464"/>
    <mergeCell ref="P262:V262"/>
    <mergeCell ref="P321:T321"/>
    <mergeCell ref="P125:T125"/>
    <mergeCell ref="A9:C9"/>
    <mergeCell ref="D373:E373"/>
    <mergeCell ref="D202:E202"/>
    <mergeCell ref="A179:Z179"/>
    <mergeCell ref="P32:V32"/>
    <mergeCell ref="Q13:R13"/>
    <mergeCell ref="P47:V47"/>
    <mergeCell ref="P41:T41"/>
    <mergeCell ref="A35:O36"/>
    <mergeCell ref="D22:E22"/>
    <mergeCell ref="P34:T34"/>
    <mergeCell ref="P214:T214"/>
    <mergeCell ref="D86:E86"/>
    <mergeCell ref="M17:M18"/>
    <mergeCell ref="O17:O18"/>
    <mergeCell ref="D164:E164"/>
    <mergeCell ref="P57:V57"/>
    <mergeCell ref="D314:E314"/>
    <mergeCell ref="P184:V184"/>
    <mergeCell ref="G17:G18"/>
    <mergeCell ref="D159:E159"/>
    <mergeCell ref="P121:V121"/>
    <mergeCell ref="D80:E80"/>
    <mergeCell ref="A169:Z169"/>
    <mergeCell ref="A467:Z467"/>
    <mergeCell ref="D288:E288"/>
    <mergeCell ref="P130:T130"/>
    <mergeCell ref="P421:V421"/>
    <mergeCell ref="A271:Z271"/>
    <mergeCell ref="D136:E136"/>
    <mergeCell ref="D434:E434"/>
    <mergeCell ref="P46:T46"/>
    <mergeCell ref="P282:T282"/>
    <mergeCell ref="D154:E154"/>
    <mergeCell ref="D225:E225"/>
    <mergeCell ref="D461:E461"/>
    <mergeCell ref="P61:T61"/>
    <mergeCell ref="A444:Z444"/>
    <mergeCell ref="D436:E436"/>
    <mergeCell ref="D462:E462"/>
    <mergeCell ref="H5:M5"/>
    <mergeCell ref="P31:V31"/>
    <mergeCell ref="P473:V473"/>
    <mergeCell ref="D439:E439"/>
    <mergeCell ref="P396:T396"/>
    <mergeCell ref="A341:Z341"/>
    <mergeCell ref="A285:Z285"/>
    <mergeCell ref="V507:V508"/>
    <mergeCell ref="P461:T461"/>
    <mergeCell ref="A317:O318"/>
    <mergeCell ref="X507:X508"/>
    <mergeCell ref="P225:T225"/>
    <mergeCell ref="D146:E146"/>
    <mergeCell ref="D6:M6"/>
    <mergeCell ref="P162:T162"/>
    <mergeCell ref="P502:V502"/>
    <mergeCell ref="P331:V331"/>
    <mergeCell ref="P460:T460"/>
    <mergeCell ref="A85:Z85"/>
    <mergeCell ref="D441:E441"/>
    <mergeCell ref="P227:T227"/>
    <mergeCell ref="D368:E368"/>
    <mergeCell ref="P475:T475"/>
    <mergeCell ref="D481:E481"/>
    <mergeCell ref="V6:W9"/>
    <mergeCell ref="P234:V234"/>
    <mergeCell ref="P109:T109"/>
    <mergeCell ref="A507:A508"/>
    <mergeCell ref="D435:E435"/>
    <mergeCell ref="D413:E413"/>
    <mergeCell ref="C507:C508"/>
    <mergeCell ref="P345:T345"/>
    <mergeCell ref="D186:E186"/>
    <mergeCell ref="A155:O156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P173:V173"/>
    <mergeCell ref="P458:V458"/>
    <mergeCell ref="D446:E446"/>
    <mergeCell ref="P44:V44"/>
    <mergeCell ref="P237:V237"/>
    <mergeCell ref="D367:E367"/>
    <mergeCell ref="P105:V105"/>
    <mergeCell ref="A489:Z489"/>
    <mergeCell ref="V506:Y506"/>
    <mergeCell ref="AA17:AA18"/>
    <mergeCell ref="H10:M10"/>
    <mergeCell ref="AC17:AC18"/>
    <mergeCell ref="P108:T108"/>
    <mergeCell ref="D393:E393"/>
    <mergeCell ref="P251:T251"/>
    <mergeCell ref="A104:O105"/>
    <mergeCell ref="P343:T343"/>
    <mergeCell ref="Z17:Z18"/>
    <mergeCell ref="AB17:AB18"/>
    <mergeCell ref="P226:T226"/>
    <mergeCell ref="P335:T335"/>
    <mergeCell ref="D207:E207"/>
    <mergeCell ref="P164:T164"/>
    <mergeCell ref="P462:T462"/>
    <mergeCell ref="P93:T93"/>
    <mergeCell ref="D299:E299"/>
    <mergeCell ref="D222:E222"/>
    <mergeCell ref="A59:Z59"/>
    <mergeCell ref="A466:Z466"/>
    <mergeCell ref="A295:Z295"/>
    <mergeCell ref="P159:T159"/>
    <mergeCell ref="D438:E438"/>
    <mergeCell ref="P395:T395"/>
    <mergeCell ref="A340:Z340"/>
    <mergeCell ref="D267:E267"/>
    <mergeCell ref="H17:H18"/>
    <mergeCell ref="P261:T261"/>
    <mergeCell ref="D204:E204"/>
    <mergeCell ref="P388:T388"/>
    <mergeCell ref="P161:T161"/>
    <mergeCell ref="D198:E198"/>
    <mergeCell ref="D296:E296"/>
    <mergeCell ref="P275:V275"/>
    <mergeCell ref="P104:V104"/>
    <mergeCell ref="P27:T27"/>
    <mergeCell ref="P154:T154"/>
    <mergeCell ref="D75:E75"/>
    <mergeCell ref="D206:E206"/>
    <mergeCell ref="P390:T390"/>
    <mergeCell ref="D298:E298"/>
    <mergeCell ref="D181:E181"/>
    <mergeCell ref="P404:V404"/>
    <mergeCell ref="A351:Z351"/>
    <mergeCell ref="P327:T327"/>
    <mergeCell ref="J9:M9"/>
    <mergeCell ref="A356:Z356"/>
    <mergeCell ref="D348:E348"/>
    <mergeCell ref="A283:O284"/>
    <mergeCell ref="P141:T141"/>
    <mergeCell ref="D62:E62"/>
    <mergeCell ref="D56:E56"/>
    <mergeCell ref="D193:E193"/>
    <mergeCell ref="P377:T377"/>
    <mergeCell ref="A363:O364"/>
    <mergeCell ref="P206:T206"/>
    <mergeCell ref="D347:E347"/>
    <mergeCell ref="D176:E176"/>
    <mergeCell ref="P155:V155"/>
    <mergeCell ref="D114:E114"/>
    <mergeCell ref="D362:E362"/>
    <mergeCell ref="D51:E51"/>
    <mergeCell ref="P306:T306"/>
    <mergeCell ref="A38:Z38"/>
    <mergeCell ref="A280:Z280"/>
    <mergeCell ref="P207:T207"/>
    <mergeCell ref="A372:Z372"/>
    <mergeCell ref="P299:T299"/>
    <mergeCell ref="P150:V150"/>
    <mergeCell ref="P51:T51"/>
    <mergeCell ref="P26:T26"/>
    <mergeCell ref="A143:O144"/>
    <mergeCell ref="A199:O200"/>
    <mergeCell ref="P338:V338"/>
    <mergeCell ref="P58:V58"/>
    <mergeCell ref="P500:V500"/>
    <mergeCell ref="A13:M13"/>
    <mergeCell ref="A119:Z119"/>
    <mergeCell ref="A417:Z417"/>
    <mergeCell ref="D61:E61"/>
    <mergeCell ref="P115:T115"/>
    <mergeCell ref="A427:Z427"/>
    <mergeCell ref="A256:Z256"/>
    <mergeCell ref="A15:M15"/>
    <mergeCell ref="D490:E490"/>
    <mergeCell ref="A359:O360"/>
    <mergeCell ref="D346:E346"/>
    <mergeCell ref="D477:E477"/>
    <mergeCell ref="P204:T204"/>
    <mergeCell ref="A264:Z264"/>
    <mergeCell ref="P446:T446"/>
    <mergeCell ref="D125:E125"/>
    <mergeCell ref="P440:T440"/>
    <mergeCell ref="P87:T87"/>
    <mergeCell ref="P451:T451"/>
    <mergeCell ref="P449:V449"/>
    <mergeCell ref="D335:E335"/>
    <mergeCell ref="D68:E68"/>
    <mergeCell ref="D424:E424"/>
    <mergeCell ref="P224:T224"/>
    <mergeCell ref="P491:T491"/>
    <mergeCell ref="P322:T322"/>
    <mergeCell ref="P260:T260"/>
    <mergeCell ref="P309:T309"/>
    <mergeCell ref="D172:E172"/>
    <mergeCell ref="P88:T88"/>
    <mergeCell ref="A418:Z418"/>
    <mergeCell ref="D491:E491"/>
    <mergeCell ref="D412:E412"/>
    <mergeCell ref="P441:T441"/>
    <mergeCell ref="P477:T477"/>
    <mergeCell ref="D476:E476"/>
    <mergeCell ref="P384:V384"/>
    <mergeCell ref="P457:V457"/>
    <mergeCell ref="P393:T393"/>
    <mergeCell ref="D203:E203"/>
    <mergeCell ref="P232:T232"/>
    <mergeCell ref="T5:U5"/>
    <mergeCell ref="P76:T76"/>
    <mergeCell ref="V5:W5"/>
    <mergeCell ref="P496:T496"/>
    <mergeCell ref="P203:T203"/>
    <mergeCell ref="A319:Z319"/>
    <mergeCell ref="P294:V294"/>
    <mergeCell ref="D46:E46"/>
    <mergeCell ref="D40:E40"/>
    <mergeCell ref="D282:E282"/>
    <mergeCell ref="P212:V212"/>
    <mergeCell ref="D469:E469"/>
    <mergeCell ref="Q8:R8"/>
    <mergeCell ref="P438:T438"/>
    <mergeCell ref="P267:T267"/>
    <mergeCell ref="D419:E419"/>
    <mergeCell ref="P254:V254"/>
    <mergeCell ref="P83:V83"/>
    <mergeCell ref="A82:O83"/>
    <mergeCell ref="A349:O350"/>
    <mergeCell ref="A79:Z79"/>
    <mergeCell ref="T6:U9"/>
    <mergeCell ref="Q10:R10"/>
    <mergeCell ref="D41:E41"/>
    <mergeCell ref="A12:M12"/>
    <mergeCell ref="D343:E343"/>
    <mergeCell ref="P397:T397"/>
    <mergeCell ref="P200:V200"/>
    <mergeCell ref="P74:T74"/>
    <mergeCell ref="A190:Z190"/>
    <mergeCell ref="A19:Z19"/>
    <mergeCell ref="P310:T310"/>
    <mergeCell ref="D182:E182"/>
    <mergeCell ref="A14:M14"/>
    <mergeCell ref="D109:E109"/>
    <mergeCell ref="P163:T163"/>
    <mergeCell ref="D345:E345"/>
    <mergeCell ref="P296:T296"/>
    <mergeCell ref="P318:V318"/>
    <mergeCell ref="D277:E277"/>
    <mergeCell ref="P383:V383"/>
    <mergeCell ref="A37:Z37"/>
    <mergeCell ref="P149:V149"/>
    <mergeCell ref="A145:Z145"/>
    <mergeCell ref="A272:Z272"/>
    <mergeCell ref="A381:Z381"/>
    <mergeCell ref="A139:Z139"/>
    <mergeCell ref="P360:V360"/>
    <mergeCell ref="D162:E162"/>
    <mergeCell ref="A69:O70"/>
    <mergeCell ref="D460:E460"/>
    <mergeCell ref="D327:E327"/>
    <mergeCell ref="P210:T210"/>
    <mergeCell ref="D454:E454"/>
    <mergeCell ref="P308:T308"/>
    <mergeCell ref="D93:E93"/>
    <mergeCell ref="P277:T277"/>
    <mergeCell ref="D391:E391"/>
    <mergeCell ref="D220:E220"/>
    <mergeCell ref="P370:V370"/>
    <mergeCell ref="P199:V199"/>
    <mergeCell ref="D328:E328"/>
    <mergeCell ref="P263:V263"/>
    <mergeCell ref="D251:E251"/>
    <mergeCell ref="P355:V355"/>
    <mergeCell ref="A180:Z180"/>
    <mergeCell ref="P293:V293"/>
    <mergeCell ref="P424:T424"/>
    <mergeCell ref="A429:Z429"/>
    <mergeCell ref="A406:Z406"/>
    <mergeCell ref="D74:E74"/>
    <mergeCell ref="D130:E130"/>
    <mergeCell ref="F9:G9"/>
    <mergeCell ref="P289:T289"/>
    <mergeCell ref="D161:E161"/>
    <mergeCell ref="D232:E232"/>
    <mergeCell ref="P238:V238"/>
    <mergeCell ref="P68:T68"/>
    <mergeCell ref="A483:O484"/>
    <mergeCell ref="P353:T353"/>
    <mergeCell ref="P82:V82"/>
    <mergeCell ref="A134:Z134"/>
    <mergeCell ref="A262:O263"/>
    <mergeCell ref="A265:Z265"/>
    <mergeCell ref="A420:O421"/>
    <mergeCell ref="P317:V317"/>
    <mergeCell ref="P304:V304"/>
    <mergeCell ref="A98:Z98"/>
    <mergeCell ref="D52:E52"/>
    <mergeCell ref="P110:V110"/>
    <mergeCell ref="D27:E27"/>
    <mergeCell ref="P408:V408"/>
    <mergeCell ref="P208:T208"/>
    <mergeCell ref="D396:E396"/>
    <mergeCell ref="P15:T16"/>
    <mergeCell ref="D456:E456"/>
    <mergeCell ref="A5:C5"/>
    <mergeCell ref="P64:V64"/>
    <mergeCell ref="A485:Z485"/>
    <mergeCell ref="A423:Z423"/>
    <mergeCell ref="P349:V349"/>
    <mergeCell ref="P420:V420"/>
    <mergeCell ref="D166:E166"/>
    <mergeCell ref="A410:Z410"/>
    <mergeCell ref="D402:E402"/>
    <mergeCell ref="P128:V128"/>
    <mergeCell ref="A442:O443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P358:T358"/>
    <mergeCell ref="D401:E401"/>
    <mergeCell ref="A474:Z474"/>
    <mergeCell ref="P380:V380"/>
    <mergeCell ref="P66:T66"/>
    <mergeCell ref="A6:C6"/>
    <mergeCell ref="D309:E309"/>
    <mergeCell ref="D113:E113"/>
    <mergeCell ref="P415:V415"/>
    <mergeCell ref="D88:E88"/>
    <mergeCell ref="P142:T142"/>
    <mergeCell ref="A332:Z332"/>
    <mergeCell ref="D148:E148"/>
    <mergeCell ref="D26:E26"/>
    <mergeCell ref="P378:T378"/>
    <mergeCell ref="A324:O325"/>
    <mergeCell ref="D115:E115"/>
    <mergeCell ref="P182:T182"/>
    <mergeCell ref="P55:T55"/>
    <mergeCell ref="Q12:R12"/>
    <mergeCell ref="A274:O275"/>
    <mergeCell ref="D261:E261"/>
    <mergeCell ref="P411:T411"/>
    <mergeCell ref="D388:E388"/>
    <mergeCell ref="P354:V354"/>
    <mergeCell ref="P183:V183"/>
    <mergeCell ref="A43:O44"/>
    <mergeCell ref="P133:V133"/>
    <mergeCell ref="D390:E390"/>
    <mergeCell ref="Q9:R9"/>
    <mergeCell ref="G507:G508"/>
    <mergeCell ref="D451:E451"/>
    <mergeCell ref="P36:V36"/>
    <mergeCell ref="P478:V478"/>
    <mergeCell ref="P278:V278"/>
    <mergeCell ref="A219:Z219"/>
    <mergeCell ref="Q11:R11"/>
    <mergeCell ref="D322:E322"/>
    <mergeCell ref="P205:T205"/>
    <mergeCell ref="D260:E260"/>
    <mergeCell ref="D453:E453"/>
    <mergeCell ref="A459:Z459"/>
    <mergeCell ref="A499:O504"/>
    <mergeCell ref="P469:T469"/>
    <mergeCell ref="A123:Z123"/>
    <mergeCell ref="P127:V127"/>
    <mergeCell ref="P507:P508"/>
    <mergeCell ref="D9:E9"/>
    <mergeCell ref="P197:T197"/>
    <mergeCell ref="A354:O355"/>
    <mergeCell ref="A183:O184"/>
    <mergeCell ref="A425:O426"/>
    <mergeCell ref="A254:O255"/>
    <mergeCell ref="P52:T52"/>
    <mergeCell ref="D160:E160"/>
    <mergeCell ref="P481:T481"/>
    <mergeCell ref="I17:I18"/>
    <mergeCell ref="D141:E141"/>
    <mergeCell ref="D306:E306"/>
    <mergeCell ref="D135:E135"/>
    <mergeCell ref="P456:T456"/>
    <mergeCell ref="D377:E377"/>
    <mergeCell ref="P287:T287"/>
    <mergeCell ref="P414:T414"/>
    <mergeCell ref="P352:T352"/>
    <mergeCell ref="D72:E72"/>
    <mergeCell ref="A326:Z326"/>
    <mergeCell ref="P178:V178"/>
    <mergeCell ref="A177:O178"/>
    <mergeCell ref="A239:Z239"/>
    <mergeCell ref="P270:V270"/>
    <mergeCell ref="P463:V463"/>
    <mergeCell ref="P53:T53"/>
    <mergeCell ref="A132:O133"/>
    <mergeCell ref="D116:E116"/>
    <mergeCell ref="D414:E414"/>
    <mergeCell ref="D352:E352"/>
    <mergeCell ref="D1:F1"/>
    <mergeCell ref="A71:Z71"/>
    <mergeCell ref="P488:V488"/>
    <mergeCell ref="A313:Z313"/>
    <mergeCell ref="P111:V111"/>
    <mergeCell ref="P409:V409"/>
    <mergeCell ref="A405:Z405"/>
    <mergeCell ref="J17:J18"/>
    <mergeCell ref="L17:L18"/>
    <mergeCell ref="P359:V359"/>
    <mergeCell ref="D240:E240"/>
    <mergeCell ref="P48:V48"/>
    <mergeCell ref="D334:E334"/>
    <mergeCell ref="A293:O294"/>
    <mergeCell ref="P192:T192"/>
    <mergeCell ref="D100:E100"/>
    <mergeCell ref="P113:T113"/>
    <mergeCell ref="A400:Z400"/>
    <mergeCell ref="P17:T18"/>
    <mergeCell ref="P194:T194"/>
    <mergeCell ref="P250:T250"/>
    <mergeCell ref="D329:E329"/>
    <mergeCell ref="A167:O168"/>
    <mergeCell ref="D158:E158"/>
    <mergeCell ref="D147:E147"/>
    <mergeCell ref="D87:E87"/>
    <mergeCell ref="D445:E445"/>
    <mergeCell ref="P402:T402"/>
    <mergeCell ref="D301:E301"/>
    <mergeCell ref="P116:T116"/>
    <mergeCell ref="A376:Z376"/>
    <mergeCell ref="A233:O234"/>
    <mergeCell ref="I506:S506"/>
    <mergeCell ref="D224:E224"/>
    <mergeCell ref="A398:O399"/>
    <mergeCell ref="P401:T401"/>
    <mergeCell ref="P268:T268"/>
    <mergeCell ref="D382:E382"/>
    <mergeCell ref="P103:T103"/>
    <mergeCell ref="A403:O404"/>
    <mergeCell ref="P131:T131"/>
    <mergeCell ref="P187:T187"/>
    <mergeCell ref="A117:O118"/>
    <mergeCell ref="P258:T258"/>
    <mergeCell ref="D108:E108"/>
    <mergeCell ref="D369:E369"/>
    <mergeCell ref="P223:T223"/>
    <mergeCell ref="P419:T419"/>
    <mergeCell ref="P399:V399"/>
    <mergeCell ref="D316:E316"/>
    <mergeCell ref="P273:T273"/>
    <mergeCell ref="A218:Z218"/>
    <mergeCell ref="Y507:Y508"/>
    <mergeCell ref="D210:E210"/>
    <mergeCell ref="AA507:AA508"/>
    <mergeCell ref="A492:O493"/>
    <mergeCell ref="D308:E308"/>
    <mergeCell ref="E507:E508"/>
    <mergeCell ref="AA506:AB506"/>
    <mergeCell ref="U507:U508"/>
    <mergeCell ref="M507:M508"/>
    <mergeCell ref="O507:O508"/>
    <mergeCell ref="P497:V497"/>
    <mergeCell ref="P484:V484"/>
    <mergeCell ref="P499:V499"/>
    <mergeCell ref="A495:Z495"/>
    <mergeCell ref="A480:Z480"/>
    <mergeCell ref="W507:W508"/>
    <mergeCell ref="D440:E440"/>
    <mergeCell ref="P483:V483"/>
    <mergeCell ref="A457:O458"/>
    <mergeCell ref="D273:E273"/>
    <mergeCell ref="D5:E5"/>
    <mergeCell ref="P382:T382"/>
    <mergeCell ref="D496:E496"/>
    <mergeCell ref="P453:T453"/>
    <mergeCell ref="D507:D508"/>
    <mergeCell ref="P42:T42"/>
    <mergeCell ref="A303:O304"/>
    <mergeCell ref="F507:F508"/>
    <mergeCell ref="D290:E290"/>
    <mergeCell ref="D94:E94"/>
    <mergeCell ref="P471:T471"/>
    <mergeCell ref="P259:T259"/>
    <mergeCell ref="A278:O279"/>
    <mergeCell ref="P148:T148"/>
    <mergeCell ref="A47:O48"/>
    <mergeCell ref="P240:T240"/>
    <mergeCell ref="A96:O97"/>
    <mergeCell ref="P482:T482"/>
    <mergeCell ref="P398:V398"/>
    <mergeCell ref="P177:V177"/>
    <mergeCell ref="P269:V269"/>
    <mergeCell ref="A387:Z387"/>
    <mergeCell ref="A45:Z45"/>
    <mergeCell ref="A281:Z281"/>
    <mergeCell ref="H1:Q1"/>
    <mergeCell ref="A448:O449"/>
    <mergeCell ref="A305:Z305"/>
    <mergeCell ref="P274:V274"/>
    <mergeCell ref="A99:Z99"/>
    <mergeCell ref="A366:Z366"/>
    <mergeCell ref="D214:E214"/>
    <mergeCell ref="A286:Z286"/>
    <mergeCell ref="P246:V246"/>
    <mergeCell ref="P120:T120"/>
    <mergeCell ref="D259:E259"/>
    <mergeCell ref="A237:O238"/>
    <mergeCell ref="D28:E28"/>
    <mergeCell ref="D432:E432"/>
    <mergeCell ref="D236:E236"/>
    <mergeCell ref="P171:T171"/>
    <mergeCell ref="A361:Z361"/>
    <mergeCell ref="P413:T413"/>
    <mergeCell ref="P242:T242"/>
    <mergeCell ref="D353:E353"/>
    <mergeCell ref="P407:T407"/>
    <mergeCell ref="D92:E92"/>
    <mergeCell ref="D55:E55"/>
    <mergeCell ref="D67:E67"/>
    <mergeCell ref="D7:M7"/>
    <mergeCell ref="P236:T236"/>
    <mergeCell ref="P156:V156"/>
    <mergeCell ref="A152:Z152"/>
    <mergeCell ref="P334:T334"/>
    <mergeCell ref="P92:T92"/>
    <mergeCell ref="A450:Z450"/>
    <mergeCell ref="P394:T394"/>
    <mergeCell ref="D315:E315"/>
    <mergeCell ref="D302:E302"/>
    <mergeCell ref="P29:T29"/>
    <mergeCell ref="P100:T100"/>
    <mergeCell ref="D81:E81"/>
    <mergeCell ref="P94:T94"/>
    <mergeCell ref="D208:E208"/>
    <mergeCell ref="D8:M8"/>
    <mergeCell ref="A211:O212"/>
    <mergeCell ref="D300:E300"/>
    <mergeCell ref="P279:V279"/>
    <mergeCell ref="P329:T329"/>
    <mergeCell ref="P158:T158"/>
    <mergeCell ref="P118:V118"/>
    <mergeCell ref="P416:V416"/>
    <mergeCell ref="P266:T266"/>
    <mergeCell ref="V10:W10"/>
    <mergeCell ref="A173:O174"/>
    <mergeCell ref="D431:E431"/>
    <mergeCell ref="A229:O230"/>
    <mergeCell ref="A422:Z422"/>
    <mergeCell ref="D287:E287"/>
    <mergeCell ref="P170:T170"/>
    <mergeCell ref="A124:Z124"/>
    <mergeCell ref="P468:T468"/>
    <mergeCell ref="P316:T316"/>
    <mergeCell ref="D66:E66"/>
    <mergeCell ref="D126:E126"/>
    <mergeCell ref="D197:E197"/>
    <mergeCell ref="D253:E253"/>
    <mergeCell ref="D53:E53"/>
    <mergeCell ref="A84:Z84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B17:B18"/>
    <mergeCell ref="A77:O78"/>
    <mergeCell ref="P143:V143"/>
    <mergeCell ref="D131:E131"/>
    <mergeCell ref="D258:E258"/>
    <mergeCell ref="P252:T252"/>
    <mergeCell ref="P81:T81"/>
    <mergeCell ref="D195:E195"/>
    <mergeCell ref="P56:T56"/>
    <mergeCell ref="A50:Z50"/>
    <mergeCell ref="W17:W18"/>
    <mergeCell ref="P96:V96"/>
    <mergeCell ref="P90:V90"/>
    <mergeCell ref="P217:V217"/>
    <mergeCell ref="A213:Z213"/>
    <mergeCell ref="A151:Z151"/>
    <mergeCell ref="D142:E142"/>
    <mergeCell ref="P95:T95"/>
    <mergeCell ref="D30:E30"/>
    <mergeCell ref="A140:Z140"/>
    <mergeCell ref="P35:V35"/>
    <mergeCell ref="D209:E209"/>
    <mergeCell ref="P166:T166"/>
    <mergeCell ref="P188:V188"/>
    <mergeCell ref="R1:T1"/>
    <mergeCell ref="P28:T28"/>
    <mergeCell ref="P392:T392"/>
    <mergeCell ref="P221:T221"/>
    <mergeCell ref="D307:E307"/>
    <mergeCell ref="Q507:Q508"/>
    <mergeCell ref="P215:T215"/>
    <mergeCell ref="P165:T165"/>
    <mergeCell ref="P432:T432"/>
    <mergeCell ref="P229:V229"/>
    <mergeCell ref="A89:O90"/>
    <mergeCell ref="D73:E73"/>
    <mergeCell ref="P77:V77"/>
    <mergeCell ref="P30:T30"/>
    <mergeCell ref="P375:V375"/>
    <mergeCell ref="A374:O375"/>
    <mergeCell ref="P464:V464"/>
    <mergeCell ref="P290:T290"/>
    <mergeCell ref="A311:O312"/>
    <mergeCell ref="P452:T452"/>
    <mergeCell ref="P448:V448"/>
    <mergeCell ref="P504:V504"/>
    <mergeCell ref="P233:V233"/>
    <mergeCell ref="P230:V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A216:O217"/>
    <mergeCell ref="P86:T86"/>
    <mergeCell ref="P328:T328"/>
    <mergeCell ref="D205:E205"/>
    <mergeCell ref="A379:O380"/>
    <mergeCell ref="A330:O331"/>
    <mergeCell ref="P249:T249"/>
    <mergeCell ref="A365:Z365"/>
    <mergeCell ref="D357:E357"/>
    <mergeCell ref="P172:T172"/>
    <mergeCell ref="A63:O64"/>
    <mergeCell ref="P168:V168"/>
    <mergeCell ref="D60:E60"/>
    <mergeCell ref="P244:T244"/>
    <mergeCell ref="P73:T73"/>
    <mergeCell ref="P437:T437"/>
    <mergeCell ref="P315:T315"/>
    <mergeCell ref="D187:E187"/>
    <mergeCell ref="P302:T302"/>
    <mergeCell ref="A276:Z276"/>
    <mergeCell ref="AB507:AB508"/>
    <mergeCell ref="R507:R508"/>
    <mergeCell ref="P245:V245"/>
    <mergeCell ref="T507:T508"/>
    <mergeCell ref="D486:E486"/>
    <mergeCell ref="P455:T455"/>
    <mergeCell ref="D482:E482"/>
    <mergeCell ref="P503:V503"/>
    <mergeCell ref="P325:V325"/>
    <mergeCell ref="A386:Z386"/>
    <mergeCell ref="D378:E378"/>
    <mergeCell ref="P472:V472"/>
    <mergeCell ref="P487:V487"/>
    <mergeCell ref="D470:E470"/>
    <mergeCell ref="P476:T476"/>
    <mergeCell ref="A472:O47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763</v>
      </c>
      <c r="H1" s="52"/>
    </row>
    <row r="3" spans="2:8" x14ac:dyDescent="0.2">
      <c r="B3" s="47" t="s">
        <v>764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765</v>
      </c>
      <c r="C6" s="47" t="s">
        <v>766</v>
      </c>
      <c r="D6" s="47" t="s">
        <v>767</v>
      </c>
      <c r="E6" s="47"/>
    </row>
    <row r="7" spans="2:8" x14ac:dyDescent="0.2">
      <c r="B7" s="47" t="s">
        <v>768</v>
      </c>
      <c r="C7" s="47" t="s">
        <v>769</v>
      </c>
      <c r="D7" s="47" t="s">
        <v>770</v>
      </c>
      <c r="E7" s="47"/>
    </row>
    <row r="8" spans="2:8" x14ac:dyDescent="0.2">
      <c r="B8" s="47" t="s">
        <v>771</v>
      </c>
      <c r="C8" s="47" t="s">
        <v>772</v>
      </c>
      <c r="D8" s="47" t="s">
        <v>773</v>
      </c>
      <c r="E8" s="47"/>
    </row>
    <row r="9" spans="2:8" x14ac:dyDescent="0.2">
      <c r="B9" s="47" t="s">
        <v>14</v>
      </c>
      <c r="C9" s="47" t="s">
        <v>774</v>
      </c>
      <c r="D9" s="47" t="s">
        <v>775</v>
      </c>
      <c r="E9" s="47"/>
    </row>
    <row r="11" spans="2:8" x14ac:dyDescent="0.2">
      <c r="B11" s="47" t="s">
        <v>776</v>
      </c>
      <c r="C11" s="47" t="s">
        <v>766</v>
      </c>
      <c r="D11" s="47"/>
      <c r="E11" s="47"/>
    </row>
    <row r="13" spans="2:8" x14ac:dyDescent="0.2">
      <c r="B13" s="47" t="s">
        <v>777</v>
      </c>
      <c r="C13" s="47" t="s">
        <v>769</v>
      </c>
      <c r="D13" s="47"/>
      <c r="E13" s="47"/>
    </row>
    <row r="15" spans="2:8" x14ac:dyDescent="0.2">
      <c r="B15" s="47" t="s">
        <v>778</v>
      </c>
      <c r="C15" s="47" t="s">
        <v>772</v>
      </c>
      <c r="D15" s="47"/>
      <c r="E15" s="47"/>
    </row>
    <row r="17" spans="2:5" x14ac:dyDescent="0.2">
      <c r="B17" s="47" t="s">
        <v>779</v>
      </c>
      <c r="C17" s="47" t="s">
        <v>774</v>
      </c>
      <c r="D17" s="47"/>
      <c r="E17" s="47"/>
    </row>
    <row r="19" spans="2:5" x14ac:dyDescent="0.2">
      <c r="B19" s="47" t="s">
        <v>780</v>
      </c>
      <c r="C19" s="47"/>
      <c r="D19" s="47"/>
      <c r="E19" s="47"/>
    </row>
    <row r="20" spans="2:5" x14ac:dyDescent="0.2">
      <c r="B20" s="47" t="s">
        <v>781</v>
      </c>
      <c r="C20" s="47"/>
      <c r="D20" s="47"/>
      <c r="E20" s="47"/>
    </row>
    <row r="21" spans="2:5" x14ac:dyDescent="0.2">
      <c r="B21" s="47" t="s">
        <v>782</v>
      </c>
      <c r="C21" s="47"/>
      <c r="D21" s="47"/>
      <c r="E21" s="47"/>
    </row>
    <row r="22" spans="2:5" x14ac:dyDescent="0.2">
      <c r="B22" s="47" t="s">
        <v>783</v>
      </c>
      <c r="C22" s="47"/>
      <c r="D22" s="47"/>
      <c r="E22" s="47"/>
    </row>
    <row r="23" spans="2:5" x14ac:dyDescent="0.2">
      <c r="B23" s="47" t="s">
        <v>784</v>
      </c>
      <c r="C23" s="47"/>
      <c r="D23" s="47"/>
      <c r="E23" s="47"/>
    </row>
    <row r="24" spans="2:5" x14ac:dyDescent="0.2">
      <c r="B24" s="47" t="s">
        <v>785</v>
      </c>
      <c r="C24" s="47"/>
      <c r="D24" s="47"/>
      <c r="E24" s="47"/>
    </row>
    <row r="25" spans="2:5" x14ac:dyDescent="0.2">
      <c r="B25" s="47" t="s">
        <v>786</v>
      </c>
      <c r="C25" s="47"/>
      <c r="D25" s="47"/>
      <c r="E25" s="47"/>
    </row>
    <row r="26" spans="2:5" x14ac:dyDescent="0.2">
      <c r="B26" s="47" t="s">
        <v>787</v>
      </c>
      <c r="C26" s="47"/>
      <c r="D26" s="47"/>
      <c r="E26" s="47"/>
    </row>
    <row r="27" spans="2:5" x14ac:dyDescent="0.2">
      <c r="B27" s="47" t="s">
        <v>788</v>
      </c>
      <c r="C27" s="47"/>
      <c r="D27" s="47"/>
      <c r="E27" s="47"/>
    </row>
    <row r="28" spans="2:5" x14ac:dyDescent="0.2">
      <c r="B28" s="47" t="s">
        <v>789</v>
      </c>
      <c r="C28" s="47"/>
      <c r="D28" s="47"/>
      <c r="E28" s="47"/>
    </row>
    <row r="29" spans="2:5" x14ac:dyDescent="0.2">
      <c r="B29" s="47" t="s">
        <v>790</v>
      </c>
      <c r="C29" s="47"/>
      <c r="D29" s="47"/>
      <c r="E29" s="47"/>
    </row>
  </sheetData>
  <sheetProtection algorithmName="SHA-512" hashValue="QZvohrK98Ssoc+nXzfwtafVcnGBILW8Awd9YNvxdsteoBptTD9Ww9YCfwzr7Qh/SgXNfeIy9aRMp1+/5pOF08g==" saltValue="VwD2JTCZrvL1SXiN5yh1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2025-10-13T07:49:39Z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