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5D7142FF-81CF-4814-9845-8536A72AB6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1" i="1" l="1"/>
  <c r="X490" i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01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Y264" i="1" s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Y118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X83" i="1"/>
  <c r="Y82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Y64" i="1" s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1" i="1" l="1"/>
  <c r="Y495" i="1" s="1"/>
  <c r="Y43" i="1"/>
  <c r="BP74" i="1"/>
  <c r="BN74" i="1"/>
  <c r="Z74" i="1"/>
  <c r="BP87" i="1"/>
  <c r="BN87" i="1"/>
  <c r="Z87" i="1"/>
  <c r="BP95" i="1"/>
  <c r="BN95" i="1"/>
  <c r="Z95" i="1"/>
  <c r="F501" i="1"/>
  <c r="Y105" i="1"/>
  <c r="BP100" i="1"/>
  <c r="BN100" i="1"/>
  <c r="Z100" i="1"/>
  <c r="Y104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7" i="1"/>
  <c r="BP176" i="1"/>
  <c r="BN176" i="1"/>
  <c r="Z176" i="1"/>
  <c r="Z177" i="1" s="1"/>
  <c r="J501" i="1"/>
  <c r="Y184" i="1"/>
  <c r="BP181" i="1"/>
  <c r="BN181" i="1"/>
  <c r="Z181" i="1"/>
  <c r="Z183" i="1" s="1"/>
  <c r="BP244" i="1"/>
  <c r="BN244" i="1"/>
  <c r="Z244" i="1"/>
  <c r="BP346" i="1"/>
  <c r="BN346" i="1"/>
  <c r="Z346" i="1"/>
  <c r="BP359" i="1"/>
  <c r="BN359" i="1"/>
  <c r="Z359" i="1"/>
  <c r="Z360" i="1" s="1"/>
  <c r="U501" i="1"/>
  <c r="Y371" i="1"/>
  <c r="BP368" i="1"/>
  <c r="BN368" i="1"/>
  <c r="Z368" i="1"/>
  <c r="Z370" i="1" s="1"/>
  <c r="Y370" i="1"/>
  <c r="BP62" i="1"/>
  <c r="BN62" i="1"/>
  <c r="Z62" i="1"/>
  <c r="Y69" i="1"/>
  <c r="BP66" i="1"/>
  <c r="BN66" i="1"/>
  <c r="Z66" i="1"/>
  <c r="Z89" i="1"/>
  <c r="Y97" i="1"/>
  <c r="BP108" i="1"/>
  <c r="BN108" i="1"/>
  <c r="Z108" i="1"/>
  <c r="Z110" i="1" s="1"/>
  <c r="BP116" i="1"/>
  <c r="BN116" i="1"/>
  <c r="Z116" i="1"/>
  <c r="Y121" i="1"/>
  <c r="BP120" i="1"/>
  <c r="BN120" i="1"/>
  <c r="Z120" i="1"/>
  <c r="Z121" i="1" s="1"/>
  <c r="G501" i="1"/>
  <c r="Y128" i="1"/>
  <c r="BP125" i="1"/>
  <c r="BN125" i="1"/>
  <c r="Z125" i="1"/>
  <c r="Z127" i="1" s="1"/>
  <c r="Y174" i="1"/>
  <c r="Y178" i="1"/>
  <c r="BP262" i="1"/>
  <c r="BN262" i="1"/>
  <c r="Z262" i="1"/>
  <c r="O501" i="1"/>
  <c r="Y270" i="1"/>
  <c r="BP267" i="1"/>
  <c r="BN267" i="1"/>
  <c r="Z267" i="1"/>
  <c r="Y271" i="1"/>
  <c r="BP290" i="1"/>
  <c r="BN290" i="1"/>
  <c r="Z290" i="1"/>
  <c r="Z294" i="1" s="1"/>
  <c r="Y294" i="1"/>
  <c r="BP298" i="1"/>
  <c r="BN298" i="1"/>
  <c r="Z298" i="1"/>
  <c r="Z304" i="1" s="1"/>
  <c r="Y304" i="1"/>
  <c r="BP302" i="1"/>
  <c r="BN302" i="1"/>
  <c r="Z302" i="1"/>
  <c r="Z325" i="1"/>
  <c r="BP323" i="1"/>
  <c r="BN323" i="1"/>
  <c r="Z323" i="1"/>
  <c r="Y325" i="1"/>
  <c r="Y350" i="1"/>
  <c r="Y361" i="1"/>
  <c r="Y364" i="1"/>
  <c r="BP363" i="1"/>
  <c r="BN363" i="1"/>
  <c r="Z363" i="1"/>
  <c r="Z364" i="1" s="1"/>
  <c r="Y365" i="1"/>
  <c r="BP411" i="1"/>
  <c r="BN411" i="1"/>
  <c r="Z411" i="1"/>
  <c r="Y413" i="1"/>
  <c r="H9" i="1"/>
  <c r="B501" i="1"/>
  <c r="X492" i="1"/>
  <c r="X494" i="1" s="1"/>
  <c r="X493" i="1"/>
  <c r="X495" i="1"/>
  <c r="Y24" i="1"/>
  <c r="Z27" i="1"/>
  <c r="Z31" i="1" s="1"/>
  <c r="BN27" i="1"/>
  <c r="Y492" i="1" s="1"/>
  <c r="Z29" i="1"/>
  <c r="BN29" i="1"/>
  <c r="C501" i="1"/>
  <c r="Z41" i="1"/>
  <c r="Z43" i="1" s="1"/>
  <c r="BN41" i="1"/>
  <c r="Y44" i="1"/>
  <c r="D501" i="1"/>
  <c r="Y57" i="1"/>
  <c r="Z52" i="1"/>
  <c r="Z57" i="1" s="1"/>
  <c r="BN52" i="1"/>
  <c r="Z54" i="1"/>
  <c r="BN54" i="1"/>
  <c r="BP56" i="1"/>
  <c r="Y493" i="1" s="1"/>
  <c r="BN56" i="1"/>
  <c r="Z56" i="1"/>
  <c r="Y58" i="1"/>
  <c r="Y63" i="1"/>
  <c r="BP60" i="1"/>
  <c r="BN60" i="1"/>
  <c r="Z60" i="1"/>
  <c r="Z63" i="1" s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E501" i="1"/>
  <c r="Y89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Y183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Z338" i="1"/>
  <c r="BP336" i="1"/>
  <c r="BN336" i="1"/>
  <c r="Z336" i="1"/>
  <c r="Y338" i="1"/>
  <c r="Y90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Z211" i="1" s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Y305" i="1"/>
  <c r="BP300" i="1"/>
  <c r="BN300" i="1"/>
  <c r="Z300" i="1"/>
  <c r="Z312" i="1"/>
  <c r="BP308" i="1"/>
  <c r="BN308" i="1"/>
  <c r="Z308" i="1"/>
  <c r="Y312" i="1"/>
  <c r="BP316" i="1"/>
  <c r="BN316" i="1"/>
  <c r="Z316" i="1"/>
  <c r="Z318" i="1" s="1"/>
  <c r="Y326" i="1"/>
  <c r="Z331" i="1"/>
  <c r="BP329" i="1"/>
  <c r="BN329" i="1"/>
  <c r="Z329" i="1"/>
  <c r="BP344" i="1"/>
  <c r="BN344" i="1"/>
  <c r="Z344" i="1"/>
  <c r="BP348" i="1"/>
  <c r="BN348" i="1"/>
  <c r="Z348" i="1"/>
  <c r="Z350" i="1" s="1"/>
  <c r="BP386" i="1"/>
  <c r="BN386" i="1"/>
  <c r="Z386" i="1"/>
  <c r="Z395" i="1" s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Z449" i="1" s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Z44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Z464" i="1" s="1"/>
  <c r="Y464" i="1"/>
  <c r="Z470" i="1"/>
  <c r="BP468" i="1"/>
  <c r="BN468" i="1"/>
  <c r="Z468" i="1"/>
  <c r="Y475" i="1"/>
  <c r="Y490" i="1"/>
  <c r="Y494" i="1" l="1"/>
  <c r="Z455" i="1"/>
  <c r="Z230" i="1"/>
  <c r="Z69" i="1"/>
  <c r="Z496" i="1" s="1"/>
  <c r="Z149" i="1"/>
  <c r="Z104" i="1"/>
  <c r="Z434" i="1"/>
  <c r="Z199" i="1"/>
  <c r="Z167" i="1"/>
  <c r="Z77" i="1"/>
  <c r="Y491" i="1"/>
  <c r="Z270" i="1"/>
</calcChain>
</file>

<file path=xl/sharedStrings.xml><?xml version="1.0" encoding="utf-8"?>
<sst xmlns="http://schemas.openxmlformats.org/spreadsheetml/2006/main" count="2296" uniqueCount="768">
  <si>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</si>
  <si>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</si>
  <si>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</si>
  <si>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</si>
  <si>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</si>
  <si>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</si>
  <si>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</si>
  <si>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</si>
  <si>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</si>
  <si>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</si>
  <si>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</si>
  <si>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</si>
  <si>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</si>
  <si>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</si>
  <si>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</si>
  <si>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</si>
  <si>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</si>
  <si>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</si>
  <si>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</si>
  <si>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</si>
  <si>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</si>
  <si>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</si>
  <si>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</si>
  <si>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</si>
  <si>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</si>
  <si>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</si>
  <si>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</si>
  <si>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</si>
  <si>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</si>
  <si>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</si>
  <si>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</si>
  <si>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</si>
  <si>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</si>
  <si>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</si>
  <si>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</si>
  <si>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</si>
  <si>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</si>
  <si>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</si>
  <si>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</si>
  <si>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</si>
  <si>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</si>
  <si>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</si>
  <si>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</si>
  <si>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</si>
  <si>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</si>
  <si>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</si>
  <si>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</si>
  <si>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</si>
  <si>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</si>
  <si>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</si>
  <si>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</si>
  <si>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</si>
  <si>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</si>
  <si>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</si>
  <si>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</si>
  <si>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</si>
  <si>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</si>
  <si>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</si>
  <si>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</si>
  <si>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</si>
  <si>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</si>
  <si>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</si>
  <si>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</si>
  <si>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</si>
  <si>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</si>
  <si>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</si>
  <si>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</si>
  <si>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</si>
  <si>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</si>
  <si>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</si>
  <si>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</si>
  <si>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</si>
  <si>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</si>
  <si>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</si>
  <si>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</si>
  <si>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</si>
  <si>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</si>
  <si>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</si>
  <si>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</si>
  <si>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</si>
  <si>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</si>
  <si>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</si>
  <si>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</si>
  <si>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</si>
  <si>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</si>
  <si>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</si>
  <si>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</si>
  <si>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</si>
  <si>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</si>
  <si>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</si>
  <si>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</si>
  <si>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</si>
  <si>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</si>
  <si>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</si>
  <si>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</si>
  <si>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</si>
  <si>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</si>
  <si>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</si>
  <si>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</si>
  <si>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</si>
  <si>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</si>
  <si>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</si>
  <si>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</si>
  <si>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</si>
  <si>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</si>
  <si>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</si>
  <si>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</si>
  <si>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</si>
  <si>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</si>
  <si>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</si>
  <si>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</si>
  <si>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</si>
  <si>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</si>
  <si>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</si>
  <si>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</si>
  <si>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</si>
  <si>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</si>
  <si>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</si>
  <si>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</si>
  <si>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</si>
  <si>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</si>
  <si>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</si>
  <si>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</si>
  <si>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</si>
  <si>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</si>
  <si>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</si>
  <si>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</si>
  <si>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</si>
  <si>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</si>
  <si>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</si>
  <si>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</si>
  <si>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</si>
  <si>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</si>
  <si>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</si>
  <si>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</si>
  <si>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</si>
  <si>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</si>
  <si>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</si>
  <si>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</si>
  <si>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</si>
  <si>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</si>
  <si>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</si>
  <si>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</si>
  <si>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</si>
  <si>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</si>
  <si>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</si>
  <si>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</si>
  <si>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</si>
  <si>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</si>
  <si>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</si>
  <si>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</si>
  <si>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</si>
  <si>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</si>
  <si>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</si>
  <si>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</si>
  <si>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</si>
  <si>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</si>
  <si>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</si>
  <si>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</si>
  <si>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</si>
  <si>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</si>
  <si>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</si>
  <si>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</si>
  <si>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</si>
  <si>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</si>
  <si>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</si>
  <si>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</si>
  <si>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</si>
  <si>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</si>
  <si>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</si>
  <si>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</si>
  <si>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</si>
  <si>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</si>
  <si>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</si>
  <si>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</si>
  <si>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</si>
  <si>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</si>
  <si>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</si>
  <si>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</si>
  <si>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</si>
  <si>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</si>
  <si>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</si>
  <si>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</si>
  <si>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</si>
  <si>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</si>
  <si>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</si>
  <si>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</si>
  <si>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</si>
  <si>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</si>
  <si>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</si>
  <si>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</si>
  <si>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</si>
  <si>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</si>
  <si>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</si>
  <si>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</si>
  <si>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</si>
  <si>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</si>
  <si>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</si>
  <si>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</si>
  <si>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</si>
  <si>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</si>
  <si>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</si>
  <si>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</si>
  <si>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</si>
  <si>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</si>
  <si>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</si>
  <si>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</si>
  <si>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</si>
  <si>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</si>
  <si>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</si>
  <si>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</si>
  <si>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</si>
  <si>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</si>
  <si>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</si>
  <si>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</si>
  <si>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</si>
  <si>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</si>
  <si>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</si>
  <si>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</si>
  <si>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</si>
  <si>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</si>
  <si>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</si>
  <si>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</si>
  <si>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</si>
  <si>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</si>
  <si>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</si>
  <si>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</si>
  <si>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</si>
  <si>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</si>
  <si>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</si>
  <si>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</si>
  <si>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</si>
  <si>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</si>
  <si>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</si>
  <si>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</si>
  <si>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</si>
  <si>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</si>
  <si>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</si>
  <si>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</si>
  <si>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</si>
  <si>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</si>
  <si>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</si>
  <si>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</si>
  <si>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</si>
  <si>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</si>
  <si>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</si>
  <si>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</si>
  <si>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</si>
  <si>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</si>
  <si>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</si>
  <si>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</si>
  <si>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</si>
  <si>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</si>
  <si>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</si>
  <si>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</si>
  <si>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</si>
  <si>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</si>
  <si>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</si>
  <si>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</si>
  <si>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</si>
  <si>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</si>
  <si>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</si>
  <si>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</si>
  <si>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</si>
  <si>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</si>
  <si>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</si>
  <si>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</si>
  <si>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</si>
  <si>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</si>
  <si>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</si>
  <si>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</si>
  <si>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</si>
  <si>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</si>
  <si>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</si>
  <si>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</si>
  <si>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</si>
  <si>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</si>
  <si>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</si>
  <si>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</si>
  <si>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</si>
  <si>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</si>
  <si>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</si>
  <si>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</si>
  <si>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</si>
  <si>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</si>
  <si>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</si>
  <si>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</si>
  <si>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</si>
  <si>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</si>
  <si>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</si>
  <si>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</si>
  <si>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</si>
  <si>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</si>
  <si>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</si>
  <si>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</si>
  <si>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</si>
  <si>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</si>
  <si>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</si>
  <si>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</si>
  <si>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</si>
  <si>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</si>
  <si>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</si>
  <si>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</si>
  <si>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</si>
  <si>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</si>
  <si>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</si>
  <si>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</si>
  <si>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</si>
  <si>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</si>
  <si>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</si>
  <si>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</si>
  <si>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</si>
  <si>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</si>
  <si>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</si>
  <si>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</si>
  <si>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</si>
  <si>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</si>
  <si>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</si>
  <si>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</si>
  <si>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</si>
  <si>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</si>
  <si>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</si>
  <si>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</si>
  <si>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</si>
  <si>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</si>
  <si>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</si>
  <si>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</si>
  <si>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</si>
  <si>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</si>
  <si>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</si>
  <si>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</si>
  <si>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</si>
  <si>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</si>
  <si>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</si>
  <si>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</si>
  <si>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</si>
  <si>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</si>
  <si>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</si>
  <si>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</si>
  <si>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</si>
  <si>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</si>
  <si>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</si>
  <si>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</si>
  <si>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</si>
  <si>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</si>
  <si>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</si>
  <si>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</si>
  <si>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</si>
  <si>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</si>
  <si>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</si>
  <si>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</si>
  <si>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</si>
  <si>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</si>
  <si>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</si>
  <si>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</si>
  <si>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</si>
  <si>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</si>
  <si>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</si>
  <si>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</si>
  <si>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</si>
  <si>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</si>
  <si>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</si>
  <si>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</si>
  <si>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</si>
  <si>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</si>
  <si>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</si>
  <si>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P005062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</si>
  <si>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</si>
  <si>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</si>
  <si>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</si>
  <si>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</si>
  <si>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</si>
  <si>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</si>
  <si>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</si>
  <si>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</si>
  <si>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</si>
  <si>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</si>
  <si>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</si>
  <si>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</si>
  <si>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</si>
  <si>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</si>
  <si>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</si>
  <si>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</si>
  <si>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</si>
  <si>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</si>
  <si>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</si>
  <si>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</si>
  <si>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</si>
  <si>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</si>
  <si>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</si>
  <si>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</si>
  <si>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</si>
  <si>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</si>
  <si>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</si>
  <si>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</si>
  <si>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</si>
  <si>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</si>
  <si>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</si>
  <si>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</si>
  <si>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</si>
  <si>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</si>
  <si>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</si>
  <si>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</si>
  <si>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</si>
  <si>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</si>
  <si>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</si>
  <si>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</si>
  <si>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</si>
  <si>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</si>
  <si>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</si>
  <si>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</si>
  <si>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</si>
  <si>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</si>
  <si>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</si>
  <si>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</si>
  <si>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</si>
  <si>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</si>
  <si>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</si>
  <si>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</si>
  <si>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</si>
  <si>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</si>
  <si>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</si>
  <si>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</si>
  <si>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</si>
  <si>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</si>
  <si>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</si>
  <si>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</si>
  <si>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</si>
  <si>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</si>
  <si>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</si>
  <si>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</si>
  <si>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</si>
  <si>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</si>
  <si>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</si>
  <si>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</si>
  <si>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</si>
  <si>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</si>
  <si>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</si>
  <si>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</si>
  <si>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</si>
  <si>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</si>
  <si>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</si>
  <si>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</si>
  <si>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</si>
  <si>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</si>
  <si>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</si>
  <si>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</si>
  <si>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</si>
  <si>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</si>
  <si>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</si>
  <si>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</si>
  <si>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</si>
  <si>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</si>
  <si>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</si>
  <si>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</si>
  <si>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</si>
  <si>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</si>
  <si>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</si>
  <si>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</si>
  <si>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</si>
  <si>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</si>
  <si>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</si>
  <si>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</si>
  <si>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</si>
  <si>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</si>
  <si>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</si>
  <si>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</si>
  <si>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</si>
  <si>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</si>
  <si>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</si>
  <si>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</si>
  <si>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</si>
  <si>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</si>
  <si>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</si>
  <si>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</si>
  <si>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</si>
  <si>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</si>
  <si>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</si>
  <si>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</si>
  <si>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</si>
  <si>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</si>
  <si>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</si>
  <si>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</si>
  <si>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</si>
  <si>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</si>
  <si>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</si>
  <si>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</si>
  <si>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</si>
  <si>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</si>
  <si>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</si>
  <si>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</si>
  <si>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</si>
  <si>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</si>
  <si>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</si>
  <si>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</si>
  <si>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</si>
  <si>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</si>
  <si>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</si>
  <si>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</si>
  <si>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</si>
  <si>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</si>
  <si>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</si>
  <si>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</si>
  <si>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</si>
  <si>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</si>
  <si>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</si>
  <si>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</si>
  <si>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</si>
  <si>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</si>
  <si>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</si>
  <si>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</si>
  <si>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</si>
  <si>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</si>
  <si>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</si>
  <si>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</si>
  <si>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</si>
  <si>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</si>
  <si>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</si>
  <si>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</si>
  <si>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</si>
  <si>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</si>
  <si>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</si>
  <si>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</si>
  <si>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</si>
  <si>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</si>
  <si>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</si>
  <si>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</si>
  <si>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</si>
  <si>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</si>
  <si>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</si>
  <si>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</si>
  <si>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</si>
  <si>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</si>
  <si>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</si>
  <si>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</si>
  <si>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</si>
  <si>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</si>
  <si>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</si>
  <si>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</si>
  <si>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</si>
  <si>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</si>
  <si>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</si>
  <si>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</si>
  <si>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</si>
  <si>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</si>
  <si>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</si>
  <si>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</si>
  <si>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</si>
  <si>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</si>
  <si>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</si>
  <si>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</si>
  <si>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</si>
  <si>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</si>
  <si>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</si>
  <si>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</si>
  <si>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</si>
  <si>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</si>
  <si>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</si>
  <si>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</si>
  <si>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</si>
  <si>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</si>
  <si>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</si>
  <si>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</si>
  <si>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</si>
  <si>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</si>
  <si>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</si>
  <si>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</si>
  <si>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</si>
  <si>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</si>
  <si>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</si>
  <si>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</si>
  <si>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</si>
  <si>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</si>
  <si>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</si>
  <si>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</si>
  <si>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</si>
  <si>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</si>
  <si>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</si>
  <si>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P005172</t>
  </si>
  <si>
    <t>ЕАЭС N RU Д-RU.РА02.В.61652/24</t>
  </si>
  <si>
    <t>P004227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</si>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</sst>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8" zoomScaleNormal="100" zoomScaleSheetLayoutView="100" workbookViewId="0">
      <selection activeCell="AA497" sqref="AA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45956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0.375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200</v>
      </c>
      <c r="Y40" s="544">
        <f>IFERROR(IF(X40="",0,CEILING((X40/$H40),1)*$H40),"")</f>
        <v>205.20000000000002</v>
      </c>
      <c r="Z40" s="36">
        <f>IFERROR(IF(Y40=0,"",ROUNDUP(Y40/H40,0)*0.01898),"")</f>
        <v>0.36062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208.05555555555554</v>
      </c>
      <c r="BN40" s="64">
        <f>IFERROR(Y40*I40/H40,"0")</f>
        <v>213.46499999999997</v>
      </c>
      <c r="BO40" s="64">
        <f>IFERROR(1/J40*(X40/H40),"0")</f>
        <v>0.28935185185185186</v>
      </c>
      <c r="BP40" s="64">
        <f>IFERROR(1/J40*(Y40/H40),"0")</f>
        <v>0.296875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180</v>
      </c>
      <c r="Y41" s="544">
        <f>IFERROR(IF(X41="",0,CEILING((X41/$H41),1)*$H41),"")</f>
        <v>180</v>
      </c>
      <c r="Z41" s="36">
        <f>IFERROR(IF(Y41=0,"",ROUNDUP(Y41/H41,0)*0.00902),"")</f>
        <v>0.40590000000000004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189.45</v>
      </c>
      <c r="BN41" s="64">
        <f>IFERROR(Y41*I41/H41,"0")</f>
        <v>189.45</v>
      </c>
      <c r="BO41" s="64">
        <f>IFERROR(1/J41*(X41/H41),"0")</f>
        <v>0.34090909090909094</v>
      </c>
      <c r="BP41" s="64">
        <f>IFERROR(1/J41*(Y41/H41),"0")</f>
        <v>0.34090909090909094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63.518518518518519</v>
      </c>
      <c r="Y43" s="545">
        <f>IFERROR(Y40/H40,"0")+IFERROR(Y41/H41,"0")+IFERROR(Y42/H42,"0")</f>
        <v>64</v>
      </c>
      <c r="Z43" s="545">
        <f>IFERROR(IF(Z40="",0,Z40),"0")+IFERROR(IF(Z41="",0,Z41),"0")+IFERROR(IF(Z42="",0,Z42),"0")</f>
        <v>0.76652000000000009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380</v>
      </c>
      <c r="Y44" s="545">
        <f>IFERROR(SUM(Y40:Y42),"0")</f>
        <v>385.20000000000005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200</v>
      </c>
      <c r="Y52" s="544">
        <f t="shared" si="0"/>
        <v>205.20000000000002</v>
      </c>
      <c r="Z52" s="36">
        <f>IFERROR(IF(Y52=0,"",ROUNDUP(Y52/H52,0)*0.01898),"")</f>
        <v>0.36062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208.05555555555554</v>
      </c>
      <c r="BN52" s="64">
        <f t="shared" si="2"/>
        <v>213.46499999999997</v>
      </c>
      <c r="BO52" s="64">
        <f t="shared" si="3"/>
        <v>0.28935185185185186</v>
      </c>
      <c r="BP52" s="64">
        <f t="shared" si="4"/>
        <v>0.296875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270</v>
      </c>
      <c r="Y56" s="544">
        <f t="shared" si="0"/>
        <v>270</v>
      </c>
      <c r="Z56" s="36">
        <f>IFERROR(IF(Y56=0,"",ROUNDUP(Y56/H56,0)*0.00902),"")</f>
        <v>0.54120000000000001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282.60000000000002</v>
      </c>
      <c r="BN56" s="64">
        <f t="shared" si="2"/>
        <v>282.60000000000002</v>
      </c>
      <c r="BO56" s="64">
        <f t="shared" si="3"/>
        <v>0.45454545454545459</v>
      </c>
      <c r="BP56" s="64">
        <f t="shared" si="4"/>
        <v>0.45454545454545459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78.518518518518519</v>
      </c>
      <c r="Y57" s="545">
        <f>IFERROR(Y51/H51,"0")+IFERROR(Y52/H52,"0")+IFERROR(Y53/H53,"0")+IFERROR(Y54/H54,"0")+IFERROR(Y55/H55,"0")+IFERROR(Y56/H56,"0")</f>
        <v>79</v>
      </c>
      <c r="Z57" s="545">
        <f>IFERROR(IF(Z51="",0,Z51),"0")+IFERROR(IF(Z52="",0,Z52),"0")+IFERROR(IF(Z53="",0,Z53),"0")+IFERROR(IF(Z54="",0,Z54),"0")+IFERROR(IF(Z55="",0,Z55),"0")+IFERROR(IF(Z56="",0,Z56),"0")</f>
        <v>0.90182000000000007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470</v>
      </c>
      <c r="Y58" s="545">
        <f>IFERROR(SUM(Y51:Y56),"0")</f>
        <v>475.20000000000005</v>
      </c>
      <c r="Z58" s="37"/>
      <c r="AA58" s="546"/>
      <c r="AB58" s="546"/>
      <c r="AC58" s="546"/>
    </row>
    <row r="59" spans="1:68" ht="14.25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220</v>
      </c>
      <c r="Y60" s="544">
        <f>IFERROR(IF(X60="",0,CEILING((X60/$H60),1)*$H60),"")</f>
        <v>226.8</v>
      </c>
      <c r="Z60" s="36">
        <f>IFERROR(IF(Y60=0,"",ROUNDUP(Y60/H60,0)*0.01898),"")</f>
        <v>0.39857999999999999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228.86111111111109</v>
      </c>
      <c r="BN60" s="64">
        <f>IFERROR(Y60*I60/H60,"0")</f>
        <v>235.93499999999997</v>
      </c>
      <c r="BO60" s="64">
        <f>IFERROR(1/J60*(X60/H60),"0")</f>
        <v>0.31828703703703703</v>
      </c>
      <c r="BP60" s="64">
        <f>IFERROR(1/J60*(Y60/H60),"0")</f>
        <v>0.328125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135</v>
      </c>
      <c r="Y62" s="544">
        <f>IFERROR(IF(X62="",0,CEILING((X62/$H62),1)*$H62),"")</f>
        <v>135</v>
      </c>
      <c r="Z62" s="36">
        <f>IFERROR(IF(Y62=0,"",ROUNDUP(Y62/H62,0)*0.00651),"")</f>
        <v>0.32550000000000001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144</v>
      </c>
      <c r="BN62" s="64">
        <f>IFERROR(Y62*I62/H62,"0")</f>
        <v>144</v>
      </c>
      <c r="BO62" s="64">
        <f>IFERROR(1/J62*(X62/H62),"0")</f>
        <v>0.27472527472527475</v>
      </c>
      <c r="BP62" s="64">
        <f>IFERROR(1/J62*(Y62/H62),"0")</f>
        <v>0.27472527472527475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70.370370370370367</v>
      </c>
      <c r="Y63" s="545">
        <f>IFERROR(Y60/H60,"0")+IFERROR(Y61/H61,"0")+IFERROR(Y62/H62,"0")</f>
        <v>71</v>
      </c>
      <c r="Z63" s="545">
        <f>IFERROR(IF(Z60="",0,Z60),"0")+IFERROR(IF(Z61="",0,Z61),"0")+IFERROR(IF(Z62="",0,Z62),"0")</f>
        <v>0.72408000000000006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355</v>
      </c>
      <c r="Y64" s="545">
        <f>IFERROR(SUM(Y60:Y62),"0")</f>
        <v>361.8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40</v>
      </c>
      <c r="Y80" s="544">
        <f>IFERROR(IF(X80="",0,CEILING((X80/$H80),1)*$H80),"")</f>
        <v>46.8</v>
      </c>
      <c r="Z80" s="36">
        <f>IFERROR(IF(Y80=0,"",ROUNDUP(Y80/H80,0)*0.01898),"")</f>
        <v>0.11388000000000001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42.230769230769226</v>
      </c>
      <c r="BN80" s="64">
        <f>IFERROR(Y80*I80/H80,"0")</f>
        <v>49.41</v>
      </c>
      <c r="BO80" s="64">
        <f>IFERROR(1/J80*(X80/H80),"0")</f>
        <v>8.0128205128205135E-2</v>
      </c>
      <c r="BP80" s="64">
        <f>IFERROR(1/J80*(Y80/H80),"0")</f>
        <v>9.375E-2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5.1282051282051286</v>
      </c>
      <c r="Y82" s="545">
        <f>IFERROR(Y80/H80,"0")+IFERROR(Y81/H81,"0")</f>
        <v>6</v>
      </c>
      <c r="Z82" s="545">
        <f>IFERROR(IF(Z80="",0,Z80),"0")+IFERROR(IF(Z81="",0,Z81),"0")</f>
        <v>0.11388000000000001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40</v>
      </c>
      <c r="Y83" s="545">
        <f>IFERROR(SUM(Y80:Y81),"0")</f>
        <v>46.8</v>
      </c>
      <c r="Z83" s="37"/>
      <c r="AA83" s="546"/>
      <c r="AB83" s="546"/>
      <c r="AC83" s="546"/>
    </row>
    <row r="84" spans="1:68" ht="16.5" customHeight="1" x14ac:dyDescent="0.25">
      <c r="A84" s="563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200</v>
      </c>
      <c r="Y86" s="544">
        <f>IFERROR(IF(X86="",0,CEILING((X86/$H86),1)*$H86),"")</f>
        <v>205.20000000000002</v>
      </c>
      <c r="Z86" s="36">
        <f>IFERROR(IF(Y86=0,"",ROUNDUP(Y86/H86,0)*0.01898),"")</f>
        <v>0.36062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540</v>
      </c>
      <c r="Y88" s="544">
        <f>IFERROR(IF(X88="",0,CEILING((X88/$H88),1)*$H88),"")</f>
        <v>540</v>
      </c>
      <c r="Z88" s="36">
        <f>IFERROR(IF(Y88=0,"",ROUNDUP(Y88/H88,0)*0.00902),"")</f>
        <v>1.0824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565.20000000000005</v>
      </c>
      <c r="BN88" s="64">
        <f>IFERROR(Y88*I88/H88,"0")</f>
        <v>565.20000000000005</v>
      </c>
      <c r="BO88" s="64">
        <f>IFERROR(1/J88*(X88/H88),"0")</f>
        <v>0.90909090909090917</v>
      </c>
      <c r="BP88" s="64">
        <f>IFERROR(1/J88*(Y88/H88),"0")</f>
        <v>0.90909090909090917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138.51851851851853</v>
      </c>
      <c r="Y89" s="545">
        <f>IFERROR(Y86/H86,"0")+IFERROR(Y87/H87,"0")+IFERROR(Y88/H88,"0")</f>
        <v>139</v>
      </c>
      <c r="Z89" s="545">
        <f>IFERROR(IF(Z86="",0,Z86),"0")+IFERROR(IF(Z87="",0,Z87),"0")+IFERROR(IF(Z88="",0,Z88),"0")</f>
        <v>1.44302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740</v>
      </c>
      <c r="Y90" s="545">
        <f>IFERROR(SUM(Y86:Y88),"0")</f>
        <v>745.2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200</v>
      </c>
      <c r="Y92" s="544">
        <f>IFERROR(IF(X92="",0,CEILING((X92/$H92),1)*$H92),"")</f>
        <v>202.5</v>
      </c>
      <c r="Z92" s="36">
        <f>IFERROR(IF(Y92=0,"",ROUNDUP(Y92/H92,0)*0.01898),"")</f>
        <v>0.47450000000000003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212.81481481481481</v>
      </c>
      <c r="BN92" s="64">
        <f>IFERROR(Y92*I92/H92,"0")</f>
        <v>215.47499999999999</v>
      </c>
      <c r="BO92" s="64">
        <f>IFERROR(1/J92*(X92/H92),"0")</f>
        <v>0.38580246913580246</v>
      </c>
      <c r="BP92" s="64">
        <f>IFERROR(1/J92*(Y92/H92),"0")</f>
        <v>0.390625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405</v>
      </c>
      <c r="Y94" s="544">
        <f>IFERROR(IF(X94="",0,CEILING((X94/$H94),1)*$H94),"")</f>
        <v>405</v>
      </c>
      <c r="Z94" s="36">
        <f>IFERROR(IF(Y94=0,"",ROUNDUP(Y94/H94,0)*0.00651),"")</f>
        <v>0.97650000000000003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442.79999999999995</v>
      </c>
      <c r="BN94" s="64">
        <f>IFERROR(Y94*I94/H94,"0")</f>
        <v>442.79999999999995</v>
      </c>
      <c r="BO94" s="64">
        <f>IFERROR(1/J94*(X94/H94),"0")</f>
        <v>0.82417582417582425</v>
      </c>
      <c r="BP94" s="64">
        <f>IFERROR(1/J94*(Y94/H94),"0")</f>
        <v>0.82417582417582425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174.69135802469137</v>
      </c>
      <c r="Y96" s="545">
        <f>IFERROR(Y92/H92,"0")+IFERROR(Y93/H93,"0")+IFERROR(Y94/H94,"0")+IFERROR(Y95/H95,"0")</f>
        <v>175</v>
      </c>
      <c r="Z96" s="545">
        <f>IFERROR(IF(Z92="",0,Z92),"0")+IFERROR(IF(Z93="",0,Z93),"0")+IFERROR(IF(Z94="",0,Z94),"0")+IFERROR(IF(Z95="",0,Z95),"0")</f>
        <v>1.4510000000000001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605</v>
      </c>
      <c r="Y97" s="545">
        <f>IFERROR(SUM(Y92:Y95),"0")</f>
        <v>607.5</v>
      </c>
      <c r="Z97" s="37"/>
      <c r="AA97" s="546"/>
      <c r="AB97" s="546"/>
      <c r="AC97" s="546"/>
    </row>
    <row r="98" spans="1:68" ht="16.5" customHeight="1" x14ac:dyDescent="0.25">
      <c r="A98" s="563" t="s">
        <v>191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450</v>
      </c>
      <c r="Y102" s="544">
        <f>IFERROR(IF(X102="",0,CEILING((X102/$H102),1)*$H102),"")</f>
        <v>450</v>
      </c>
      <c r="Z102" s="36">
        <f>IFERROR(IF(Y102=0,"",ROUNDUP(Y102/H102,0)*0.00902),"")</f>
        <v>0.90200000000000002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471</v>
      </c>
      <c r="BN102" s="64">
        <f>IFERROR(Y102*I102/H102,"0")</f>
        <v>471</v>
      </c>
      <c r="BO102" s="64">
        <f>IFERROR(1/J102*(X102/H102),"0")</f>
        <v>0.75757575757575757</v>
      </c>
      <c r="BP102" s="64">
        <f>IFERROR(1/J102*(Y102/H102),"0")</f>
        <v>0.75757575757575757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100</v>
      </c>
      <c r="Y104" s="545">
        <f>IFERROR(Y100/H100,"0")+IFERROR(Y101/H101,"0")+IFERROR(Y102/H102,"0")+IFERROR(Y103/H103,"0")</f>
        <v>100</v>
      </c>
      <c r="Z104" s="545">
        <f>IFERROR(IF(Z100="",0,Z100),"0")+IFERROR(IF(Z101="",0,Z101),"0")+IFERROR(IF(Z102="",0,Z102),"0")+IFERROR(IF(Z103="",0,Z103),"0")</f>
        <v>0.90200000000000002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450</v>
      </c>
      <c r="Y105" s="545">
        <f>IFERROR(SUM(Y100:Y103),"0")</f>
        <v>450</v>
      </c>
      <c r="Z105" s="37"/>
      <c r="AA105" s="546"/>
      <c r="AB105" s="546"/>
      <c r="AC105" s="546"/>
    </row>
    <row r="106" spans="1:68" ht="14.25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600</v>
      </c>
      <c r="Y113" s="544">
        <f>IFERROR(IF(X113="",0,CEILING((X113/$H113),1)*$H113),"")</f>
        <v>607.5</v>
      </c>
      <c r="Z113" s="36">
        <f>IFERROR(IF(Y113=0,"",ROUNDUP(Y113/H113,0)*0.01898),"")</f>
        <v>1.4235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637.99999999999989</v>
      </c>
      <c r="BN113" s="64">
        <f>IFERROR(Y113*I113/H113,"0")</f>
        <v>645.97500000000002</v>
      </c>
      <c r="BO113" s="64">
        <f>IFERROR(1/J113*(X113/H113),"0")</f>
        <v>1.1574074074074074</v>
      </c>
      <c r="BP113" s="64">
        <f>IFERROR(1/J113*(Y113/H113),"0")</f>
        <v>1.171875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405</v>
      </c>
      <c r="Y115" s="544">
        <f>IFERROR(IF(X115="",0,CEILING((X115/$H115),1)*$H115),"")</f>
        <v>405</v>
      </c>
      <c r="Z115" s="36">
        <f>IFERROR(IF(Y115=0,"",ROUNDUP(Y115/H115,0)*0.00651),"")</f>
        <v>0.97650000000000003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442.79999999999995</v>
      </c>
      <c r="BN115" s="64">
        <f>IFERROR(Y115*I115/H115,"0")</f>
        <v>442.79999999999995</v>
      </c>
      <c r="BO115" s="64">
        <f>IFERROR(1/J115*(X115/H115),"0")</f>
        <v>0.82417582417582425</v>
      </c>
      <c r="BP115" s="64">
        <f>IFERROR(1/J115*(Y115/H115),"0")</f>
        <v>0.82417582417582425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15</v>
      </c>
      <c r="Y116" s="544">
        <f>IFERROR(IF(X116="",0,CEILING((X116/$H116),1)*$H116),"")</f>
        <v>16.2</v>
      </c>
      <c r="Z116" s="36">
        <f>IFERROR(IF(Y116=0,"",ROUNDUP(Y116/H116,0)*0.00651),"")</f>
        <v>5.8590000000000003E-2</v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16.5</v>
      </c>
      <c r="BN116" s="64">
        <f>IFERROR(Y116*I116/H116,"0")</f>
        <v>17.82</v>
      </c>
      <c r="BO116" s="64">
        <f>IFERROR(1/J116*(X116/H116),"0")</f>
        <v>4.5787545787545791E-2</v>
      </c>
      <c r="BP116" s="64">
        <f>IFERROR(1/J116*(Y116/H116),"0")</f>
        <v>4.9450549450549455E-2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232.40740740740742</v>
      </c>
      <c r="Y117" s="545">
        <f>IFERROR(Y113/H113,"0")+IFERROR(Y114/H114,"0")+IFERROR(Y115/H115,"0")+IFERROR(Y116/H116,"0")</f>
        <v>234</v>
      </c>
      <c r="Z117" s="545">
        <f>IFERROR(IF(Z113="",0,Z113),"0")+IFERROR(IF(Z114="",0,Z114),"0")+IFERROR(IF(Z115="",0,Z115),"0")+IFERROR(IF(Z116="",0,Z116),"0")</f>
        <v>2.4585900000000001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1020</v>
      </c>
      <c r="Y118" s="545">
        <f>IFERROR(SUM(Y113:Y116),"0")</f>
        <v>1028.7</v>
      </c>
      <c r="Z118" s="37"/>
      <c r="AA118" s="546"/>
      <c r="AB118" s="546"/>
      <c r="AC118" s="546"/>
    </row>
    <row r="119" spans="1:68" ht="14.25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33</v>
      </c>
      <c r="Y120" s="544">
        <f>IFERROR(IF(X120="",0,CEILING((X120/$H120),1)*$H120),"")</f>
        <v>33.659999999999997</v>
      </c>
      <c r="Z120" s="36">
        <f>IFERROR(IF(Y120=0,"",ROUNDUP(Y120/H120,0)*0.00651),"")</f>
        <v>0.11067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37.299999999999997</v>
      </c>
      <c r="BN120" s="64">
        <f>IFERROR(Y120*I120/H120,"0")</f>
        <v>38.045999999999992</v>
      </c>
      <c r="BO120" s="64">
        <f>IFERROR(1/J120*(X120/H120),"0")</f>
        <v>9.1575091575091583E-2</v>
      </c>
      <c r="BP120" s="64">
        <f>IFERROR(1/J120*(Y120/H120),"0")</f>
        <v>9.3406593406593408E-2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16.666666666666668</v>
      </c>
      <c r="Y121" s="545">
        <f>IFERROR(Y120/H120,"0")</f>
        <v>17</v>
      </c>
      <c r="Z121" s="545">
        <f>IFERROR(IF(Z120="",0,Z120),"0")</f>
        <v>0.11067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33</v>
      </c>
      <c r="Y122" s="545">
        <f>IFERROR(SUM(Y120:Y120),"0")</f>
        <v>33.659999999999997</v>
      </c>
      <c r="Z122" s="37"/>
      <c r="AA122" s="546"/>
      <c r="AB122" s="546"/>
      <c r="AC122" s="546"/>
    </row>
    <row r="123" spans="1:68" ht="16.5" customHeight="1" x14ac:dyDescent="0.25">
      <c r="A123" s="563" t="s">
        <v>223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40</v>
      </c>
      <c r="Y125" s="544">
        <f>IFERROR(IF(X125="",0,CEILING((X125/$H125),1)*$H125),"")</f>
        <v>41.6</v>
      </c>
      <c r="Z125" s="36">
        <f>IFERROR(IF(Y125=0,"",ROUNDUP(Y125/H125,0)*0.00651),"")</f>
        <v>8.4629999999999997E-2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42.249999999999993</v>
      </c>
      <c r="BN125" s="64">
        <f>IFERROR(Y125*I125/H125,"0")</f>
        <v>43.94</v>
      </c>
      <c r="BO125" s="64">
        <f>IFERROR(1/J125*(X125/H125),"0")</f>
        <v>6.8681318681318687E-2</v>
      </c>
      <c r="BP125" s="64">
        <f>IFERROR(1/J125*(Y125/H125),"0")</f>
        <v>7.1428571428571438E-2</v>
      </c>
    </row>
    <row r="126" spans="1:68" ht="27" customHeight="1" x14ac:dyDescent="0.25">
      <c r="A126" s="54" t="s">
        <v>224</v>
      </c>
      <c r="B126" s="54" t="s">
        <v>227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12.5</v>
      </c>
      <c r="Y127" s="545">
        <f>IFERROR(Y125/H125,"0")+IFERROR(Y126/H126,"0")</f>
        <v>13</v>
      </c>
      <c r="Z127" s="545">
        <f>IFERROR(IF(Z125="",0,Z125),"0")+IFERROR(IF(Z126="",0,Z126),"0")</f>
        <v>8.4629999999999997E-2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40</v>
      </c>
      <c r="Y128" s="545">
        <f>IFERROR(SUM(Y125:Y126),"0")</f>
        <v>41.6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228</v>
      </c>
      <c r="B130" s="54" t="s">
        <v>229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38.5</v>
      </c>
      <c r="Y131" s="544">
        <f>IFERROR(IF(X131="",0,CEILING((X131/$H131),1)*$H131),"")</f>
        <v>39.199999999999996</v>
      </c>
      <c r="Z131" s="36">
        <f>IFERROR(IF(Y131=0,"",ROUNDUP(Y131/H131,0)*0.00651),"")</f>
        <v>9.1139999999999999E-2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42.185000000000009</v>
      </c>
      <c r="BN131" s="64">
        <f>IFERROR(Y131*I131/H131,"0")</f>
        <v>42.951999999999998</v>
      </c>
      <c r="BO131" s="64">
        <f>IFERROR(1/J131*(X131/H131),"0")</f>
        <v>7.5549450549450559E-2</v>
      </c>
      <c r="BP131" s="64">
        <f>IFERROR(1/J131*(Y131/H131),"0")</f>
        <v>7.6923076923076927E-2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13.75</v>
      </c>
      <c r="Y132" s="545">
        <f>IFERROR(Y130/H130,"0")+IFERROR(Y131/H131,"0")</f>
        <v>14</v>
      </c>
      <c r="Z132" s="545">
        <f>IFERROR(IF(Z130="",0,Z130),"0")+IFERROR(IF(Z131="",0,Z131),"0")</f>
        <v>9.1139999999999999E-2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38.5</v>
      </c>
      <c r="Y133" s="545">
        <f>IFERROR(SUM(Y130:Y131),"0")</f>
        <v>39.199999999999996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232</v>
      </c>
      <c r="B135" s="54" t="s">
        <v>233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39.6</v>
      </c>
      <c r="Y136" s="544">
        <f>IFERROR(IF(X136="",0,CEILING((X136/$H136),1)*$H136),"")</f>
        <v>39.6</v>
      </c>
      <c r="Z136" s="36">
        <f>IFERROR(IF(Y136=0,"",ROUNDUP(Y136/H136,0)*0.00651),"")</f>
        <v>9.7650000000000001E-2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43.62</v>
      </c>
      <c r="BN136" s="64">
        <f>IFERROR(Y136*I136/H136,"0")</f>
        <v>43.62</v>
      </c>
      <c r="BO136" s="64">
        <f>IFERROR(1/J136*(X136/H136),"0")</f>
        <v>8.241758241758243E-2</v>
      </c>
      <c r="BP136" s="64">
        <f>IFERROR(1/J136*(Y136/H136),"0")</f>
        <v>8.241758241758243E-2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15</v>
      </c>
      <c r="Y137" s="545">
        <f>IFERROR(Y135/H135,"0")+IFERROR(Y136/H136,"0")</f>
        <v>15</v>
      </c>
      <c r="Z137" s="545">
        <f>IFERROR(IF(Z135="",0,Z135),"0")+IFERROR(IF(Z136="",0,Z136),"0")</f>
        <v>9.7650000000000001E-2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39.6</v>
      </c>
      <c r="Y138" s="545">
        <f>IFERROR(SUM(Y135:Y136),"0")</f>
        <v>39.6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235</v>
      </c>
      <c r="B141" s="54" t="s">
        <v>236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238</v>
      </c>
      <c r="B142" s="54" t="s">
        <v>239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250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251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50</v>
      </c>
      <c r="Y158" s="544">
        <f t="shared" ref="Y158:Y166" si="5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53.214285714285715</v>
      </c>
      <c r="BN158" s="64">
        <f t="shared" ref="BN158:BN166" si="7">IFERROR(Y158*I158/H158,"0")</f>
        <v>53.64</v>
      </c>
      <c r="BO158" s="64">
        <f t="shared" ref="BO158:BO166" si="8">IFERROR(1/J158*(X158/H158),"0")</f>
        <v>9.0187590187590191E-2</v>
      </c>
      <c r="BP158" s="64">
        <f t="shared" ref="BP158:BP166" si="9">IFERROR(1/J158*(Y158/H158),"0")</f>
        <v>9.0909090909090912E-2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30</v>
      </c>
      <c r="Y159" s="544">
        <f t="shared" si="5"/>
        <v>33.6</v>
      </c>
      <c r="Z159" s="36">
        <f>IFERROR(IF(Y159=0,"",ROUNDUP(Y159/H159,0)*0.00902),"")</f>
        <v>7.2160000000000002E-2</v>
      </c>
      <c r="AA159" s="56"/>
      <c r="AB159" s="57"/>
      <c r="AC159" s="193" t="s">
        <v>260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31.928571428571427</v>
      </c>
      <c r="BN159" s="64">
        <f t="shared" si="7"/>
        <v>35.76</v>
      </c>
      <c r="BO159" s="64">
        <f t="shared" si="8"/>
        <v>5.4112554112554112E-2</v>
      </c>
      <c r="BP159" s="64">
        <f t="shared" si="9"/>
        <v>6.0606060606060608E-2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120</v>
      </c>
      <c r="Y160" s="544">
        <f t="shared" si="5"/>
        <v>121.80000000000001</v>
      </c>
      <c r="Z160" s="36">
        <f>IFERROR(IF(Y160=0,"",ROUNDUP(Y160/H160,0)*0.00902),"")</f>
        <v>0.26158000000000003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126</v>
      </c>
      <c r="BN160" s="64">
        <f t="shared" si="7"/>
        <v>127.89</v>
      </c>
      <c r="BO160" s="64">
        <f t="shared" si="8"/>
        <v>0.21645021645021645</v>
      </c>
      <c r="BP160" s="64">
        <f t="shared" si="9"/>
        <v>0.2196969696969697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70</v>
      </c>
      <c r="Y161" s="544">
        <f t="shared" si="5"/>
        <v>71.400000000000006</v>
      </c>
      <c r="Z161" s="36">
        <f>IFERROR(IF(Y161=0,"",ROUNDUP(Y161/H161,0)*0.00502),"")</f>
        <v>0.17068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74.333333333333329</v>
      </c>
      <c r="BN161" s="64">
        <f t="shared" si="7"/>
        <v>75.820000000000007</v>
      </c>
      <c r="BO161" s="64">
        <f t="shared" si="8"/>
        <v>0.14245014245014245</v>
      </c>
      <c r="BP161" s="64">
        <f t="shared" si="9"/>
        <v>0.14529914529914531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87.5</v>
      </c>
      <c r="Y162" s="544">
        <f t="shared" si="5"/>
        <v>88.2</v>
      </c>
      <c r="Z162" s="36">
        <f>IFERROR(IF(Y162=0,"",ROUNDUP(Y162/H162,0)*0.00502),"")</f>
        <v>0.21084</v>
      </c>
      <c r="AA162" s="56"/>
      <c r="AB162" s="57"/>
      <c r="AC162" s="199" t="s">
        <v>260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92.916666666666657</v>
      </c>
      <c r="BN162" s="64">
        <f t="shared" si="7"/>
        <v>93.66</v>
      </c>
      <c r="BO162" s="64">
        <f t="shared" si="8"/>
        <v>0.17806267806267806</v>
      </c>
      <c r="BP162" s="64">
        <f t="shared" si="9"/>
        <v>0.17948717948717952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140</v>
      </c>
      <c r="Y164" s="544">
        <f t="shared" si="5"/>
        <v>140.70000000000002</v>
      </c>
      <c r="Z164" s="36">
        <f>IFERROR(IF(Y164=0,"",ROUNDUP(Y164/H164,0)*0.00502),"")</f>
        <v>0.33634000000000003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146.66666666666666</v>
      </c>
      <c r="BN164" s="64">
        <f t="shared" si="7"/>
        <v>147.40000000000003</v>
      </c>
      <c r="BO164" s="64">
        <f t="shared" si="8"/>
        <v>0.28490028490028491</v>
      </c>
      <c r="BP164" s="64">
        <f t="shared" si="9"/>
        <v>0.28632478632478636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189.28571428571428</v>
      </c>
      <c r="Y167" s="545">
        <f>IFERROR(Y158/H158,"0")+IFERROR(Y159/H159,"0")+IFERROR(Y160/H160,"0")+IFERROR(Y161/H161,"0")+IFERROR(Y162/H162,"0")+IFERROR(Y163/H163,"0")+IFERROR(Y164/H164,"0")+IFERROR(Y165/H165,"0")+IFERROR(Y166/H166,"0")</f>
        <v>192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1.15984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497.5</v>
      </c>
      <c r="Y168" s="545">
        <f>IFERROR(SUM(Y158:Y166),"0")</f>
        <v>506.1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7.0000000000000009</v>
      </c>
      <c r="Y170" s="544">
        <f>IFERROR(IF(X170="",0,CEILING((X170/$H170),1)*$H170),"")</f>
        <v>7.5600000000000005</v>
      </c>
      <c r="Z170" s="36">
        <f>IFERROR(IF(Y170=0,"",ROUNDUP(Y170/H170,0)*0.0059),"")</f>
        <v>3.5400000000000001E-2</v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8.0555555555555554</v>
      </c>
      <c r="BN170" s="64">
        <f>IFERROR(Y170*I170/H170,"0")</f>
        <v>8.6999999999999993</v>
      </c>
      <c r="BO170" s="64">
        <f>IFERROR(1/J170*(X170/H170),"0")</f>
        <v>2.5720164609053499E-2</v>
      </c>
      <c r="BP170" s="64">
        <f>IFERROR(1/J170*(Y170/H170),"0")</f>
        <v>2.7777777777777776E-2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7.0000000000000009</v>
      </c>
      <c r="Y171" s="544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2.5720164609053499E-2</v>
      </c>
      <c r="BP171" s="64">
        <f>IFERROR(1/J171*(Y171/H171),"0")</f>
        <v>2.7777777777777776E-2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10.5</v>
      </c>
      <c r="Y172" s="544">
        <f>IFERROR(IF(X172="",0,CEILING((X172/$H172),1)*$H172),"")</f>
        <v>11.34</v>
      </c>
      <c r="Z172" s="36">
        <f>IFERROR(IF(Y172=0,"",ROUNDUP(Y172/H172,0)*0.0059),"")</f>
        <v>5.3100000000000001E-2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12.083333333333332</v>
      </c>
      <c r="BN172" s="64">
        <f>IFERROR(Y172*I172/H172,"0")</f>
        <v>13.049999999999999</v>
      </c>
      <c r="BO172" s="64">
        <f>IFERROR(1/J172*(X172/H172),"0")</f>
        <v>3.8580246913580245E-2</v>
      </c>
      <c r="BP172" s="64">
        <f>IFERROR(1/J172*(Y172/H172),"0")</f>
        <v>4.1666666666666664E-2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19.444444444444446</v>
      </c>
      <c r="Y173" s="545">
        <f>IFERROR(Y170/H170,"0")+IFERROR(Y171/H171,"0")+IFERROR(Y172/H172,"0")</f>
        <v>21</v>
      </c>
      <c r="Z173" s="545">
        <f>IFERROR(IF(Z170="",0,Z170),"0")+IFERROR(IF(Z171="",0,Z171),"0")+IFERROR(IF(Z172="",0,Z172),"0")</f>
        <v>0.12390000000000001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24.5</v>
      </c>
      <c r="Y174" s="545">
        <f>IFERROR(SUM(Y170:Y172),"0")</f>
        <v>26.46</v>
      </c>
      <c r="Z174" s="37"/>
      <c r="AA174" s="546"/>
      <c r="AB174" s="546"/>
      <c r="AC174" s="546"/>
    </row>
    <row r="175" spans="1:68" ht="14.25" customHeight="1" x14ac:dyDescent="0.25">
      <c r="A175" s="556" t="s">
        <v>289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4.9000000000000004</v>
      </c>
      <c r="Y176" s="544">
        <f>IFERROR(IF(X176="",0,CEILING((X176/$H176),1)*$H176),"")</f>
        <v>5.04</v>
      </c>
      <c r="Z176" s="36">
        <f>IFERROR(IF(Y176=0,"",ROUNDUP(Y176/H176,0)*0.0059),"")</f>
        <v>2.3599999999999999E-2</v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5.6388888888888893</v>
      </c>
      <c r="BN176" s="64">
        <f>IFERROR(Y176*I176/H176,"0")</f>
        <v>5.8</v>
      </c>
      <c r="BO176" s="64">
        <f>IFERROR(1/J176*(X176/H176),"0")</f>
        <v>1.800411522633745E-2</v>
      </c>
      <c r="BP176" s="64">
        <f>IFERROR(1/J176*(Y176/H176),"0")</f>
        <v>1.8518518518518517E-2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3.8888888888888893</v>
      </c>
      <c r="Y177" s="545">
        <f>IFERROR(Y176/H176,"0")</f>
        <v>4</v>
      </c>
      <c r="Z177" s="545">
        <f>IFERROR(IF(Z176="",0,Z176),"0")</f>
        <v>2.3599999999999999E-2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4.9000000000000004</v>
      </c>
      <c r="Y178" s="545">
        <f>IFERROR(SUM(Y176:Y176),"0")</f>
        <v>5.04</v>
      </c>
      <c r="Z178" s="37"/>
      <c r="AA178" s="546"/>
      <c r="AB178" s="546"/>
      <c r="AC178" s="546"/>
    </row>
    <row r="179" spans="1:68" ht="16.5" customHeight="1" x14ac:dyDescent="0.25">
      <c r="A179" s="563" t="s">
        <v>292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130</v>
      </c>
      <c r="Y191" s="544">
        <f t="shared" ref="Y191:Y198" si="10">IFERROR(IF(X191="",0,CEILING((X191/$H191),1)*$H191),"")</f>
        <v>135</v>
      </c>
      <c r="Z191" s="36">
        <f>IFERROR(IF(Y191=0,"",ROUNDUP(Y191/H191,0)*0.00902),"")</f>
        <v>0.22550000000000001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135.05555555555557</v>
      </c>
      <c r="BN191" s="64">
        <f t="shared" ref="BN191:BN198" si="12">IFERROR(Y191*I191/H191,"0")</f>
        <v>140.25</v>
      </c>
      <c r="BO191" s="64">
        <f t="shared" ref="BO191:BO198" si="13">IFERROR(1/J191*(X191/H191),"0")</f>
        <v>0.18237934904601572</v>
      </c>
      <c r="BP191" s="64">
        <f t="shared" ref="BP191:BP198" si="14">IFERROR(1/J191*(Y191/H191),"0")</f>
        <v>0.18939393939393939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40</v>
      </c>
      <c r="Y192" s="544">
        <f t="shared" si="10"/>
        <v>43.2</v>
      </c>
      <c r="Z192" s="36">
        <f>IFERROR(IF(Y192=0,"",ROUNDUP(Y192/H192,0)*0.00902),"")</f>
        <v>7.2160000000000002E-2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41.555555555555557</v>
      </c>
      <c r="BN192" s="64">
        <f t="shared" si="12"/>
        <v>44.88</v>
      </c>
      <c r="BO192" s="64">
        <f t="shared" si="13"/>
        <v>5.6116722783389444E-2</v>
      </c>
      <c r="BP192" s="64">
        <f t="shared" si="14"/>
        <v>6.0606060606060608E-2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450</v>
      </c>
      <c r="Y193" s="544">
        <f t="shared" si="10"/>
        <v>453.6</v>
      </c>
      <c r="Z193" s="36">
        <f>IFERROR(IF(Y193=0,"",ROUNDUP(Y193/H193,0)*0.00902),"")</f>
        <v>0.75768000000000002</v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467.49999999999994</v>
      </c>
      <c r="BN193" s="64">
        <f t="shared" si="12"/>
        <v>471.24</v>
      </c>
      <c r="BO193" s="64">
        <f t="shared" si="13"/>
        <v>0.63131313131313127</v>
      </c>
      <c r="BP193" s="64">
        <f t="shared" si="14"/>
        <v>0.63636363636363635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60</v>
      </c>
      <c r="Y194" s="544">
        <f t="shared" si="10"/>
        <v>64.800000000000011</v>
      </c>
      <c r="Z194" s="36">
        <f>IFERROR(IF(Y194=0,"",ROUNDUP(Y194/H194,0)*0.00902),"")</f>
        <v>0.10824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62.333333333333336</v>
      </c>
      <c r="BN194" s="64">
        <f t="shared" si="12"/>
        <v>67.320000000000007</v>
      </c>
      <c r="BO194" s="64">
        <f t="shared" si="13"/>
        <v>8.4175084175084181E-2</v>
      </c>
      <c r="BP194" s="64">
        <f t="shared" si="14"/>
        <v>9.0909090909090925E-2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72</v>
      </c>
      <c r="Y195" s="544">
        <f t="shared" si="10"/>
        <v>72</v>
      </c>
      <c r="Z195" s="36">
        <f>IFERROR(IF(Y195=0,"",ROUNDUP(Y195/H195,0)*0.00502),"")</f>
        <v>0.20080000000000001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77.2</v>
      </c>
      <c r="BN195" s="64">
        <f t="shared" si="12"/>
        <v>77.2</v>
      </c>
      <c r="BO195" s="64">
        <f t="shared" si="13"/>
        <v>0.17094017094017094</v>
      </c>
      <c r="BP195" s="64">
        <f t="shared" si="14"/>
        <v>0.17094017094017094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45</v>
      </c>
      <c r="Y196" s="544">
        <f t="shared" si="10"/>
        <v>45</v>
      </c>
      <c r="Z196" s="36">
        <f>IFERROR(IF(Y196=0,"",ROUNDUP(Y196/H196,0)*0.00502),"")</f>
        <v>0.1255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47.5</v>
      </c>
      <c r="BN196" s="64">
        <f t="shared" si="12"/>
        <v>47.5</v>
      </c>
      <c r="BO196" s="64">
        <f t="shared" si="13"/>
        <v>0.10683760683760685</v>
      </c>
      <c r="BP196" s="64">
        <f t="shared" si="14"/>
        <v>0.10683760683760685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 t="s">
        <v>266</v>
      </c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54</v>
      </c>
      <c r="Y197" s="544">
        <f t="shared" si="10"/>
        <v>54</v>
      </c>
      <c r="Z197" s="36">
        <f>IFERROR(IF(Y197=0,"",ROUNDUP(Y197/H197,0)*0.00502),"")</f>
        <v>0.15060000000000001</v>
      </c>
      <c r="AA197" s="56"/>
      <c r="AB197" s="57"/>
      <c r="AC197" s="237" t="s">
        <v>311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56.999999999999993</v>
      </c>
      <c r="BN197" s="64">
        <f t="shared" si="12"/>
        <v>56.999999999999993</v>
      </c>
      <c r="BO197" s="64">
        <f t="shared" si="13"/>
        <v>0.12820512820512822</v>
      </c>
      <c r="BP197" s="64">
        <f t="shared" si="14"/>
        <v>0.12820512820512822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42</v>
      </c>
      <c r="Y198" s="544">
        <f t="shared" si="10"/>
        <v>43.2</v>
      </c>
      <c r="Z198" s="36">
        <f>IFERROR(IF(Y198=0,"",ROUNDUP(Y198/H198,0)*0.00502),"")</f>
        <v>0.12048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44.333333333333329</v>
      </c>
      <c r="BN198" s="64">
        <f t="shared" si="12"/>
        <v>45.6</v>
      </c>
      <c r="BO198" s="64">
        <f t="shared" si="13"/>
        <v>9.9715099715099717E-2</v>
      </c>
      <c r="BP198" s="64">
        <f t="shared" si="14"/>
        <v>0.10256410256410257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244.25925925925927</v>
      </c>
      <c r="Y199" s="545">
        <f>IFERROR(Y191/H191,"0")+IFERROR(Y192/H192,"0")+IFERROR(Y193/H193,"0")+IFERROR(Y194/H194,"0")+IFERROR(Y195/H195,"0")+IFERROR(Y196/H196,"0")+IFERROR(Y197/H197,"0")+IFERROR(Y198/H198,"0")</f>
        <v>248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1.7609600000000001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893</v>
      </c>
      <c r="Y200" s="545">
        <f>IFERROR(SUM(Y191:Y198),"0")</f>
        <v>910.8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80</v>
      </c>
      <c r="Y204" s="544">
        <f t="shared" si="15"/>
        <v>87</v>
      </c>
      <c r="Z204" s="36">
        <f>IFERROR(IF(Y204=0,"",ROUNDUP(Y204/H204,0)*0.01898),"")</f>
        <v>0.1898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84.772413793103453</v>
      </c>
      <c r="BN204" s="64">
        <f t="shared" si="17"/>
        <v>92.190000000000012</v>
      </c>
      <c r="BO204" s="64">
        <f t="shared" si="18"/>
        <v>0.14367816091954025</v>
      </c>
      <c r="BP204" s="64">
        <f t="shared" si="19"/>
        <v>0.15625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240</v>
      </c>
      <c r="Y205" s="544">
        <f t="shared" si="15"/>
        <v>240</v>
      </c>
      <c r="Z205" s="36">
        <f t="shared" ref="Z205:Z210" si="20">IFERROR(IF(Y205=0,"",ROUNDUP(Y205/H205,0)*0.00651),"")</f>
        <v>0.65100000000000002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267</v>
      </c>
      <c r="BN205" s="64">
        <f t="shared" si="17"/>
        <v>267</v>
      </c>
      <c r="BO205" s="64">
        <f t="shared" si="18"/>
        <v>0.5494505494505495</v>
      </c>
      <c r="BP205" s="64">
        <f t="shared" si="19"/>
        <v>0.5494505494505495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220</v>
      </c>
      <c r="Y207" s="544">
        <f t="shared" si="15"/>
        <v>220.79999999999998</v>
      </c>
      <c r="Z207" s="36">
        <f t="shared" si="20"/>
        <v>0.59892000000000001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243.10000000000002</v>
      </c>
      <c r="BN207" s="64">
        <f t="shared" si="17"/>
        <v>243.98400000000001</v>
      </c>
      <c r="BO207" s="64">
        <f t="shared" si="18"/>
        <v>0.50366300366300376</v>
      </c>
      <c r="BP207" s="64">
        <f t="shared" si="19"/>
        <v>0.50549450549450559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112</v>
      </c>
      <c r="Y209" s="544">
        <f t="shared" si="15"/>
        <v>112.8</v>
      </c>
      <c r="Z209" s="36">
        <f t="shared" si="20"/>
        <v>0.30597000000000002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123.76</v>
      </c>
      <c r="BN209" s="64">
        <f t="shared" si="17"/>
        <v>124.64400000000001</v>
      </c>
      <c r="BO209" s="64">
        <f t="shared" si="18"/>
        <v>0.25641025641025644</v>
      </c>
      <c r="BP209" s="64">
        <f t="shared" si="19"/>
        <v>0.25824175824175827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200</v>
      </c>
      <c r="Y210" s="544">
        <f t="shared" si="15"/>
        <v>201.6</v>
      </c>
      <c r="Z210" s="36">
        <f t="shared" si="20"/>
        <v>0.54683999999999999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221.50000000000003</v>
      </c>
      <c r="BN210" s="64">
        <f t="shared" si="17"/>
        <v>223.27200000000002</v>
      </c>
      <c r="BO210" s="64">
        <f t="shared" si="18"/>
        <v>0.45787545787545797</v>
      </c>
      <c r="BP210" s="64">
        <f t="shared" si="19"/>
        <v>0.46153846153846156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330.86206896551732</v>
      </c>
      <c r="Y211" s="545">
        <f>IFERROR(Y202/H202,"0")+IFERROR(Y203/H203,"0")+IFERROR(Y204/H204,"0")+IFERROR(Y205/H205,"0")+IFERROR(Y206/H206,"0")+IFERROR(Y207/H207,"0")+IFERROR(Y208/H208,"0")+IFERROR(Y209/H209,"0")+IFERROR(Y210/H210,"0")</f>
        <v>333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2.2925300000000002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852</v>
      </c>
      <c r="Y212" s="545">
        <f>IFERROR(SUM(Y202:Y210),"0")</f>
        <v>862.19999999999993</v>
      </c>
      <c r="Z212" s="37"/>
      <c r="AA212" s="546"/>
      <c r="AB212" s="546"/>
      <c r="AC212" s="546"/>
    </row>
    <row r="213" spans="1:68" ht="14.25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24</v>
      </c>
      <c r="Y214" s="544">
        <f>IFERROR(IF(X214="",0,CEILING((X214/$H214),1)*$H214),"")</f>
        <v>24</v>
      </c>
      <c r="Z214" s="36">
        <f>IFERROR(IF(Y214=0,"",ROUNDUP(Y214/H214,0)*0.00651),"")</f>
        <v>6.5100000000000005E-2</v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26.520000000000003</v>
      </c>
      <c r="BN214" s="64">
        <f>IFERROR(Y214*I214/H214,"0")</f>
        <v>26.520000000000003</v>
      </c>
      <c r="BO214" s="64">
        <f>IFERROR(1/J214*(X214/H214),"0")</f>
        <v>5.4945054945054951E-2</v>
      </c>
      <c r="BP214" s="64">
        <f>IFERROR(1/J214*(Y214/H214),"0")</f>
        <v>5.4945054945054951E-2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24</v>
      </c>
      <c r="Y215" s="544">
        <f>IFERROR(IF(X215="",0,CEILING((X215/$H215),1)*$H215),"")</f>
        <v>24</v>
      </c>
      <c r="Z215" s="36">
        <f>IFERROR(IF(Y215=0,"",ROUNDUP(Y215/H215,0)*0.00651),"")</f>
        <v>6.5100000000000005E-2</v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26.520000000000003</v>
      </c>
      <c r="BN215" s="64">
        <f>IFERROR(Y215*I215/H215,"0")</f>
        <v>26.520000000000003</v>
      </c>
      <c r="BO215" s="64">
        <f>IFERROR(1/J215*(X215/H215),"0")</f>
        <v>5.4945054945054951E-2</v>
      </c>
      <c r="BP215" s="64">
        <f>IFERROR(1/J215*(Y215/H215),"0")</f>
        <v>5.4945054945054951E-2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20</v>
      </c>
      <c r="Y216" s="545">
        <f>IFERROR(Y214/H214,"0")+IFERROR(Y215/H215,"0")</f>
        <v>20</v>
      </c>
      <c r="Z216" s="545">
        <f>IFERROR(IF(Z214="",0,Z214),"0")+IFERROR(IF(Z215="",0,Z215),"0")</f>
        <v>0.13020000000000001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48</v>
      </c>
      <c r="Y217" s="545">
        <f>IFERROR(SUM(Y214:Y215),"0")</f>
        <v>48</v>
      </c>
      <c r="Z217" s="37"/>
      <c r="AA217" s="546"/>
      <c r="AB217" s="546"/>
      <c r="AC217" s="546"/>
    </row>
    <row r="218" spans="1:68" ht="16.5" customHeight="1" x14ac:dyDescent="0.25">
      <c r="A218" s="563" t="s">
        <v>352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355</v>
      </c>
      <c r="AC220" s="263" t="s">
        <v>356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10</v>
      </c>
      <c r="Y221" s="544">
        <f t="shared" si="21"/>
        <v>11.6</v>
      </c>
      <c r="Z221" s="36">
        <f>IFERROR(IF(Y221=0,"",ROUNDUP(Y221/H221,0)*0.01898),"")</f>
        <v>1.898E-2</v>
      </c>
      <c r="AA221" s="56"/>
      <c r="AB221" s="57"/>
      <c r="AC221" s="265" t="s">
        <v>359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10.375</v>
      </c>
      <c r="BN221" s="64">
        <f t="shared" si="23"/>
        <v>12.035</v>
      </c>
      <c r="BO221" s="64">
        <f t="shared" si="24"/>
        <v>1.3469827586206897E-2</v>
      </c>
      <c r="BP221" s="64">
        <f t="shared" si="25"/>
        <v>1.5625E-2</v>
      </c>
    </row>
    <row r="222" spans="1:68" ht="27" customHeight="1" x14ac:dyDescent="0.25">
      <c r="A222" s="54" t="s">
        <v>360</v>
      </c>
      <c r="B222" s="54" t="s">
        <v>361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362</v>
      </c>
      <c r="B223" s="54" t="s">
        <v>363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50</v>
      </c>
      <c r="Y223" s="544">
        <f t="shared" si="21"/>
        <v>58</v>
      </c>
      <c r="Z223" s="36">
        <f>IFERROR(IF(Y223=0,"",ROUNDUP(Y223/H223,0)*0.01898),"")</f>
        <v>9.4899999999999998E-2</v>
      </c>
      <c r="AA223" s="56"/>
      <c r="AB223" s="57"/>
      <c r="AC223" s="269" t="s">
        <v>364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51.875</v>
      </c>
      <c r="BN223" s="64">
        <f t="shared" si="23"/>
        <v>60.174999999999997</v>
      </c>
      <c r="BO223" s="64">
        <f t="shared" si="24"/>
        <v>6.7349137931034489E-2</v>
      </c>
      <c r="BP223" s="64">
        <f t="shared" si="25"/>
        <v>7.8125E-2</v>
      </c>
    </row>
    <row r="224" spans="1:68" ht="27" customHeight="1" x14ac:dyDescent="0.25">
      <c r="A224" s="54" t="s">
        <v>365</v>
      </c>
      <c r="B224" s="54" t="s">
        <v>366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365</v>
      </c>
      <c r="B225" s="54" t="s">
        <v>367</v>
      </c>
      <c r="C225" s="31">
        <v>4301011824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 t="s">
        <v>199</v>
      </c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20</v>
      </c>
      <c r="Y225" s="544">
        <f t="shared" si="21"/>
        <v>20</v>
      </c>
      <c r="Z225" s="36">
        <f t="shared" si="26"/>
        <v>4.5100000000000001E-2</v>
      </c>
      <c r="AA225" s="56"/>
      <c r="AB225" s="57"/>
      <c r="AC225" s="273" t="s">
        <v>359</v>
      </c>
      <c r="AG225" s="64"/>
      <c r="AJ225" s="68" t="s">
        <v>106</v>
      </c>
      <c r="AK225" s="68">
        <v>48</v>
      </c>
      <c r="BB225" s="274" t="s">
        <v>1</v>
      </c>
      <c r="BM225" s="64">
        <f t="shared" si="22"/>
        <v>21.05</v>
      </c>
      <c r="BN225" s="64">
        <f t="shared" si="23"/>
        <v>21.05</v>
      </c>
      <c r="BO225" s="64">
        <f t="shared" si="24"/>
        <v>3.787878787878788E-2</v>
      </c>
      <c r="BP225" s="64">
        <f t="shared" si="25"/>
        <v>3.787878787878788E-2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373</v>
      </c>
      <c r="B229" s="54" t="s">
        <v>375</v>
      </c>
      <c r="C229" s="31">
        <v>4301011722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 t="s">
        <v>199</v>
      </c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40</v>
      </c>
      <c r="Y229" s="544">
        <f t="shared" si="21"/>
        <v>40</v>
      </c>
      <c r="Z229" s="36">
        <f t="shared" si="26"/>
        <v>9.0200000000000002E-2</v>
      </c>
      <c r="AA229" s="56"/>
      <c r="AB229" s="57"/>
      <c r="AC229" s="281" t="s">
        <v>364</v>
      </c>
      <c r="AG229" s="64"/>
      <c r="AJ229" s="68" t="s">
        <v>106</v>
      </c>
      <c r="AK229" s="68">
        <v>48</v>
      </c>
      <c r="BB229" s="282" t="s">
        <v>1</v>
      </c>
      <c r="BM229" s="64">
        <f t="shared" si="22"/>
        <v>42.1</v>
      </c>
      <c r="BN229" s="64">
        <f t="shared" si="23"/>
        <v>42.1</v>
      </c>
      <c r="BO229" s="64">
        <f t="shared" si="24"/>
        <v>7.575757575757576E-2</v>
      </c>
      <c r="BP229" s="64">
        <f t="shared" si="25"/>
        <v>7.575757575757576E-2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20.172413793103448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21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0.24918000000000001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120</v>
      </c>
      <c r="Y231" s="545">
        <f>IFERROR(SUM(Y220:Y229),"0")</f>
        <v>129.6</v>
      </c>
      <c r="Z231" s="37"/>
      <c r="AA231" s="546"/>
      <c r="AB231" s="546"/>
      <c r="AC231" s="546"/>
    </row>
    <row r="232" spans="1:68" ht="14.25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376</v>
      </c>
      <c r="B233" s="54" t="s">
        <v>377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379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380</v>
      </c>
      <c r="B237" s="54" t="s">
        <v>381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382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383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384</v>
      </c>
      <c r="B241" s="54" t="s">
        <v>385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386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388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3.5</v>
      </c>
      <c r="Y242" s="544">
        <f>IFERROR(IF(X242="",0,CEILING((X242/$H242),1)*$H242),"")</f>
        <v>3.6</v>
      </c>
      <c r="Z242" s="36">
        <f>IFERROR(IF(Y242=0,"",ROUNDUP(Y242/H242,0)*0.0059),"")</f>
        <v>1.18E-2</v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3.8402777777777781</v>
      </c>
      <c r="BN242" s="64">
        <f>IFERROR(Y242*I242/H242,"0")</f>
        <v>3.95</v>
      </c>
      <c r="BO242" s="64">
        <f>IFERROR(1/J242*(X242/H242),"0")</f>
        <v>9.0020576131687232E-3</v>
      </c>
      <c r="BP242" s="64">
        <f>IFERROR(1/J242*(Y242/H242),"0")</f>
        <v>9.2592592592592587E-3</v>
      </c>
    </row>
    <row r="243" spans="1:68" ht="27" customHeight="1" x14ac:dyDescent="0.25">
      <c r="A243" s="54" t="s">
        <v>389</v>
      </c>
      <c r="B243" s="54" t="s">
        <v>390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2.75</v>
      </c>
      <c r="Y243" s="544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3.3305555555555557</v>
      </c>
      <c r="BN243" s="64">
        <f>IFERROR(Y243*I243/H243,"0")</f>
        <v>4.3600000000000003</v>
      </c>
      <c r="BO243" s="64">
        <f>IFERROR(1/J243*(X243/H243),"0")</f>
        <v>1.4146090534979422E-2</v>
      </c>
      <c r="BP243" s="64">
        <f>IFERROR(1/J243*(Y243/H243),"0")</f>
        <v>1.8518518518518517E-2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5</v>
      </c>
      <c r="Y246" s="545">
        <f>IFERROR(Y241/H241,"0")+IFERROR(Y242/H242,"0")+IFERROR(Y243/H243,"0")+IFERROR(Y244/H244,"0")+IFERROR(Y245/H245,"0")</f>
        <v>6</v>
      </c>
      <c r="Z246" s="545">
        <f>IFERROR(IF(Z241="",0,Z241),"0")+IFERROR(IF(Z242="",0,Z242),"0")+IFERROR(IF(Z243="",0,Z243),"0")+IFERROR(IF(Z244="",0,Z244),"0")+IFERROR(IF(Z245="",0,Z245),"0")</f>
        <v>3.5400000000000001E-2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6.25</v>
      </c>
      <c r="Y247" s="545">
        <f>IFERROR(SUM(Y241:Y245),"0")</f>
        <v>7.2</v>
      </c>
      <c r="Z247" s="37"/>
      <c r="AA247" s="546"/>
      <c r="AB247" s="546"/>
      <c r="AC247" s="546"/>
    </row>
    <row r="248" spans="1:68" ht="16.5" customHeight="1" x14ac:dyDescent="0.25">
      <c r="A248" s="56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423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424</v>
      </c>
      <c r="B267" s="54" t="s">
        <v>425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427</v>
      </c>
      <c r="B268" s="54" t="s">
        <v>428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60</v>
      </c>
      <c r="Y268" s="544">
        <f>IFERROR(IF(X268="",0,CEILING((X268/$H268),1)*$H268),"")</f>
        <v>60</v>
      </c>
      <c r="Z268" s="36">
        <f>IFERROR(IF(Y268=0,"",ROUNDUP(Y268/H268,0)*0.00651),"")</f>
        <v>0.16275000000000001</v>
      </c>
      <c r="AA268" s="56"/>
      <c r="AB268" s="57"/>
      <c r="AC268" s="317" t="s">
        <v>429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66.300000000000011</v>
      </c>
      <c r="BN268" s="64">
        <f>IFERROR(Y268*I268/H268,"0")</f>
        <v>66.300000000000011</v>
      </c>
      <c r="BO268" s="64">
        <f>IFERROR(1/J268*(X268/H268),"0")</f>
        <v>0.13736263736263737</v>
      </c>
      <c r="BP268" s="64">
        <f>IFERROR(1/J268*(Y268/H268),"0")</f>
        <v>0.13736263736263737</v>
      </c>
    </row>
    <row r="269" spans="1:68" ht="37.5" customHeight="1" x14ac:dyDescent="0.25">
      <c r="A269" s="54" t="s">
        <v>430</v>
      </c>
      <c r="B269" s="54" t="s">
        <v>431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160</v>
      </c>
      <c r="Y269" s="544">
        <f>IFERROR(IF(X269="",0,CEILING((X269/$H269),1)*$H269),"")</f>
        <v>160.79999999999998</v>
      </c>
      <c r="Z269" s="36">
        <f>IFERROR(IF(Y269=0,"",ROUNDUP(Y269/H269,0)*0.00651),"")</f>
        <v>0.43617</v>
      </c>
      <c r="AA269" s="56"/>
      <c r="AB269" s="57"/>
      <c r="AC269" s="319" t="s">
        <v>432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172</v>
      </c>
      <c r="BN269" s="64">
        <f>IFERROR(Y269*I269/H269,"0")</f>
        <v>172.85999999999999</v>
      </c>
      <c r="BO269" s="64">
        <f>IFERROR(1/J269*(X269/H269),"0")</f>
        <v>0.36630036630036633</v>
      </c>
      <c r="BP269" s="64">
        <f>IFERROR(1/J269*(Y269/H269),"0")</f>
        <v>0.36813186813186816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91.666666666666671</v>
      </c>
      <c r="Y270" s="545">
        <f>IFERROR(Y267/H267,"0")+IFERROR(Y268/H268,"0")+IFERROR(Y269/H269,"0")</f>
        <v>92</v>
      </c>
      <c r="Z270" s="545">
        <f>IFERROR(IF(Z267="",0,Z267),"0")+IFERROR(IF(Z268="",0,Z268),"0")+IFERROR(IF(Z269="",0,Z269),"0")</f>
        <v>0.59892000000000001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220</v>
      </c>
      <c r="Y271" s="545">
        <f>IFERROR(SUM(Y267:Y269),"0")</f>
        <v>220.79999999999998</v>
      </c>
      <c r="Z271" s="37"/>
      <c r="AA271" s="546"/>
      <c r="AB271" s="546"/>
      <c r="AC271" s="546"/>
    </row>
    <row r="272" spans="1:68" ht="16.5" customHeight="1" x14ac:dyDescent="0.25">
      <c r="A272" s="563" t="s">
        <v>433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434</v>
      </c>
      <c r="B274" s="54" t="s">
        <v>435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436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437</v>
      </c>
      <c r="B275" s="54" t="s">
        <v>438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440</v>
      </c>
      <c r="B279" s="54" t="s">
        <v>441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443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448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452</v>
      </c>
      <c r="B290" s="54" t="s">
        <v>453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455</v>
      </c>
      <c r="B291" s="54" t="s">
        <v>456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462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463</v>
      </c>
      <c r="B297" s="54" t="s">
        <v>464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468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175</v>
      </c>
      <c r="Y301" s="544">
        <f t="shared" si="27"/>
        <v>176.4</v>
      </c>
      <c r="Z301" s="36">
        <f>IFERROR(IF(Y301=0,"",ROUNDUP(Y301/H301,0)*0.00502),"")</f>
        <v>0.42168</v>
      </c>
      <c r="AA301" s="56"/>
      <c r="AB301" s="57"/>
      <c r="AC301" s="347" t="s">
        <v>476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183.33333333333334</v>
      </c>
      <c r="BN301" s="64">
        <f t="shared" si="29"/>
        <v>184.8</v>
      </c>
      <c r="BO301" s="64">
        <f t="shared" si="30"/>
        <v>0.35612535612535612</v>
      </c>
      <c r="BP301" s="64">
        <f t="shared" si="31"/>
        <v>0.35897435897435903</v>
      </c>
    </row>
    <row r="302" spans="1:68" ht="27" customHeight="1" x14ac:dyDescent="0.25">
      <c r="A302" s="54" t="s">
        <v>477</v>
      </c>
      <c r="B302" s="54" t="s">
        <v>478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 t="s">
        <v>216</v>
      </c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27</v>
      </c>
      <c r="Y303" s="544">
        <f t="shared" si="27"/>
        <v>27</v>
      </c>
      <c r="Z303" s="36">
        <f>IFERROR(IF(Y303=0,"",ROUNDUP(Y303/H303,0)*0.00651),"")</f>
        <v>9.7650000000000001E-2</v>
      </c>
      <c r="AA303" s="56"/>
      <c r="AB303" s="57"/>
      <c r="AC303" s="351" t="s">
        <v>481</v>
      </c>
      <c r="AG303" s="64"/>
      <c r="AJ303" s="68" t="s">
        <v>106</v>
      </c>
      <c r="AK303" s="68">
        <v>25.2</v>
      </c>
      <c r="BB303" s="352" t="s">
        <v>1</v>
      </c>
      <c r="BM303" s="64">
        <f t="shared" si="28"/>
        <v>30.419999999999998</v>
      </c>
      <c r="BN303" s="64">
        <f t="shared" si="29"/>
        <v>30.419999999999998</v>
      </c>
      <c r="BO303" s="64">
        <f t="shared" si="30"/>
        <v>8.241758241758243E-2</v>
      </c>
      <c r="BP303" s="64">
        <f t="shared" si="31"/>
        <v>8.241758241758243E-2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98.333333333333329</v>
      </c>
      <c r="Y304" s="545">
        <f>IFERROR(Y297/H297,"0")+IFERROR(Y298/H298,"0")+IFERROR(Y299/H299,"0")+IFERROR(Y300/H300,"0")+IFERROR(Y301/H301,"0")+IFERROR(Y302/H302,"0")+IFERROR(Y303/H303,"0")</f>
        <v>99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0.51932999999999996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202</v>
      </c>
      <c r="Y305" s="545">
        <f>IFERROR(SUM(Y297:Y303),"0")</f>
        <v>203.4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482</v>
      </c>
      <c r="B307" s="54" t="s">
        <v>483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497</v>
      </c>
      <c r="B315" s="54" t="s">
        <v>498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10</v>
      </c>
      <c r="Y315" s="544">
        <f>IFERROR(IF(X315="",0,CEILING((X315/$H315),1)*$H315),"")</f>
        <v>16.8</v>
      </c>
      <c r="Z315" s="36">
        <f>IFERROR(IF(Y315=0,"",ROUNDUP(Y315/H315,0)*0.01898),"")</f>
        <v>3.7960000000000001E-2</v>
      </c>
      <c r="AA315" s="56"/>
      <c r="AB315" s="57"/>
      <c r="AC315" s="363" t="s">
        <v>499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10.617857142857142</v>
      </c>
      <c r="BN315" s="64">
        <f>IFERROR(Y315*I315/H315,"0")</f>
        <v>17.838000000000001</v>
      </c>
      <c r="BO315" s="64">
        <f>IFERROR(1/J315*(X315/H315),"0")</f>
        <v>1.8601190476190476E-2</v>
      </c>
      <c r="BP315" s="64">
        <f>IFERROR(1/J315*(Y315/H315),"0")</f>
        <v>3.125E-2</v>
      </c>
    </row>
    <row r="316" spans="1:68" ht="27" customHeight="1" x14ac:dyDescent="0.25">
      <c r="A316" s="54" t="s">
        <v>500</v>
      </c>
      <c r="B316" s="54" t="s">
        <v>501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450</v>
      </c>
      <c r="Y316" s="544">
        <f>IFERROR(IF(X316="",0,CEILING((X316/$H316),1)*$H316),"")</f>
        <v>452.4</v>
      </c>
      <c r="Z316" s="36">
        <f>IFERROR(IF(Y316=0,"",ROUNDUP(Y316/H316,0)*0.01898),"")</f>
        <v>1.10084</v>
      </c>
      <c r="AA316" s="56"/>
      <c r="AB316" s="57"/>
      <c r="AC316" s="365" t="s">
        <v>502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479.94230769230774</v>
      </c>
      <c r="BN316" s="64">
        <f>IFERROR(Y316*I316/H316,"0")</f>
        <v>482.50200000000001</v>
      </c>
      <c r="BO316" s="64">
        <f>IFERROR(1/J316*(X316/H316),"0")</f>
        <v>0.90144230769230771</v>
      </c>
      <c r="BP316" s="64">
        <f>IFERROR(1/J316*(Y316/H316),"0")</f>
        <v>0.90625</v>
      </c>
    </row>
    <row r="317" spans="1:68" ht="16.5" customHeight="1" x14ac:dyDescent="0.25">
      <c r="A317" s="54" t="s">
        <v>503</v>
      </c>
      <c r="B317" s="54" t="s">
        <v>504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250</v>
      </c>
      <c r="Y317" s="544">
        <f>IFERROR(IF(X317="",0,CEILING((X317/$H317),1)*$H317),"")</f>
        <v>252</v>
      </c>
      <c r="Z317" s="36">
        <f>IFERROR(IF(Y317=0,"",ROUNDUP(Y317/H317,0)*0.01898),"")</f>
        <v>0.56940000000000002</v>
      </c>
      <c r="AA317" s="56"/>
      <c r="AB317" s="57"/>
      <c r="AC317" s="367" t="s">
        <v>505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265.44642857142856</v>
      </c>
      <c r="BN317" s="64">
        <f>IFERROR(Y317*I317/H317,"0")</f>
        <v>267.57</v>
      </c>
      <c r="BO317" s="64">
        <f>IFERROR(1/J317*(X317/H317),"0")</f>
        <v>0.46502976190476186</v>
      </c>
      <c r="BP317" s="64">
        <f>IFERROR(1/J317*(Y317/H317),"0")</f>
        <v>0.46875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88.644688644688642</v>
      </c>
      <c r="Y318" s="545">
        <f>IFERROR(Y315/H315,"0")+IFERROR(Y316/H316,"0")+IFERROR(Y317/H317,"0")</f>
        <v>90</v>
      </c>
      <c r="Z318" s="545">
        <f>IFERROR(IF(Z315="",0,Z315),"0")+IFERROR(IF(Z316="",0,Z316),"0")+IFERROR(IF(Z317="",0,Z317),"0")</f>
        <v>1.7082000000000002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710</v>
      </c>
      <c r="Y319" s="545">
        <f>IFERROR(SUM(Y315:Y317),"0")</f>
        <v>721.2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506</v>
      </c>
      <c r="B321" s="54" t="s">
        <v>507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511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514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216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508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56" t="s">
        <v>517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518</v>
      </c>
      <c r="B328" s="54" t="s">
        <v>519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216</v>
      </c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520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216</v>
      </c>
      <c r="M330" s="33" t="s">
        <v>520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50</v>
      </c>
      <c r="Y330" s="544">
        <f>IFERROR(IF(X330="",0,CEILING((X330/$H330),1)*$H330),"")</f>
        <v>50</v>
      </c>
      <c r="Z330" s="36">
        <f>IFERROR(IF(Y330=0,"",ROUNDUP(Y330/H330,0)*0.00474),"")</f>
        <v>0.11850000000000001</v>
      </c>
      <c r="AA330" s="56"/>
      <c r="AB330" s="57"/>
      <c r="AC330" s="381" t="s">
        <v>521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56.000000000000007</v>
      </c>
      <c r="BN330" s="64">
        <f>IFERROR(Y330*I330/H330,"0")</f>
        <v>56.000000000000007</v>
      </c>
      <c r="BO330" s="64">
        <f>IFERROR(1/J330*(X330/H330),"0")</f>
        <v>0.10504201680672269</v>
      </c>
      <c r="BP330" s="64">
        <f>IFERROR(1/J330*(Y330/H330),"0")</f>
        <v>0.10504201680672269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25</v>
      </c>
      <c r="Y331" s="545">
        <f>IFERROR(Y328/H328,"0")+IFERROR(Y329/H329,"0")+IFERROR(Y330/H330,"0")</f>
        <v>25</v>
      </c>
      <c r="Z331" s="545">
        <f>IFERROR(IF(Z328="",0,Z328),"0")+IFERROR(IF(Z329="",0,Z329),"0")+IFERROR(IF(Z330="",0,Z330),"0")</f>
        <v>0.11850000000000001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50</v>
      </c>
      <c r="Y332" s="545">
        <f>IFERROR(SUM(Y328:Y330),"0")</f>
        <v>50</v>
      </c>
      <c r="Z332" s="37"/>
      <c r="AA332" s="546"/>
      <c r="AB332" s="546"/>
      <c r="AC332" s="546"/>
    </row>
    <row r="333" spans="1:68" ht="16.5" customHeight="1" x14ac:dyDescent="0.25">
      <c r="A333" s="563" t="s">
        <v>526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527</v>
      </c>
      <c r="B335" s="54" t="s">
        <v>528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529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530</v>
      </c>
      <c r="B336" s="54" t="s">
        <v>531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216</v>
      </c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1050</v>
      </c>
      <c r="Y336" s="544">
        <f>IFERROR(IF(X336="",0,CEILING((X336/$H336),1)*$H336),"")</f>
        <v>1050</v>
      </c>
      <c r="Z336" s="36">
        <f>IFERROR(IF(Y336=0,"",ROUNDUP(Y336/H336,0)*0.00651),"")</f>
        <v>3.2549999999999999</v>
      </c>
      <c r="AA336" s="56"/>
      <c r="AB336" s="57"/>
      <c r="AC336" s="385" t="s">
        <v>532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1176</v>
      </c>
      <c r="BN336" s="64">
        <f>IFERROR(Y336*I336/H336,"0")</f>
        <v>1176</v>
      </c>
      <c r="BO336" s="64">
        <f>IFERROR(1/J336*(X336/H336),"0")</f>
        <v>2.7472527472527473</v>
      </c>
      <c r="BP336" s="64">
        <f>IFERROR(1/J336*(Y336/H336),"0")</f>
        <v>2.7472527472527473</v>
      </c>
    </row>
    <row r="337" spans="1:68" ht="27" customHeight="1" x14ac:dyDescent="0.25">
      <c r="A337" s="54" t="s">
        <v>533</v>
      </c>
      <c r="B337" s="54" t="s">
        <v>534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216</v>
      </c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489.99999999999989</v>
      </c>
      <c r="Y337" s="544">
        <f>IFERROR(IF(X337="",0,CEILING((X337/$H337),1)*$H337),"")</f>
        <v>491.40000000000003</v>
      </c>
      <c r="Z337" s="36">
        <f>IFERROR(IF(Y337=0,"",ROUNDUP(Y337/H337,0)*0.00651),"")</f>
        <v>1.5233400000000001</v>
      </c>
      <c r="AA337" s="56"/>
      <c r="AB337" s="57"/>
      <c r="AC337" s="387" t="s">
        <v>535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545.99999999999977</v>
      </c>
      <c r="BN337" s="64">
        <f>IFERROR(Y337*I337/H337,"0")</f>
        <v>547.55999999999995</v>
      </c>
      <c r="BO337" s="64">
        <f>IFERROR(1/J337*(X337/H337),"0")</f>
        <v>1.2820512820512817</v>
      </c>
      <c r="BP337" s="64">
        <f>IFERROR(1/J337*(Y337/H337),"0")</f>
        <v>1.2857142857142858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733.33333333333326</v>
      </c>
      <c r="Y338" s="545">
        <f>IFERROR(Y335/H335,"0")+IFERROR(Y336/H336,"0")+IFERROR(Y337/H337,"0")</f>
        <v>734</v>
      </c>
      <c r="Z338" s="545">
        <f>IFERROR(IF(Z335="",0,Z335),"0")+IFERROR(IF(Z336="",0,Z336),"0")+IFERROR(IF(Z337="",0,Z337),"0")</f>
        <v>4.77834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1540</v>
      </c>
      <c r="Y339" s="545">
        <f>IFERROR(SUM(Y335:Y337),"0")</f>
        <v>1541.4</v>
      </c>
      <c r="Z339" s="37"/>
      <c r="AA339" s="546"/>
      <c r="AB339" s="546"/>
      <c r="AC339" s="546"/>
    </row>
    <row r="340" spans="1:68" ht="27.75" customHeight="1" x14ac:dyDescent="0.2">
      <c r="A340" s="605" t="s">
        <v>536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537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538</v>
      </c>
      <c r="B343" s="54" t="s">
        <v>539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1700</v>
      </c>
      <c r="Y343" s="544">
        <f t="shared" ref="Y343:Y349" si="32">IFERROR(IF(X343="",0,CEILING((X343/$H343),1)*$H343),"")</f>
        <v>1710</v>
      </c>
      <c r="Z343" s="36">
        <f>IFERROR(IF(Y343=0,"",ROUNDUP(Y343/H343,0)*0.02175),"")</f>
        <v>2.4794999999999998</v>
      </c>
      <c r="AA343" s="56"/>
      <c r="AB343" s="57"/>
      <c r="AC343" s="389" t="s">
        <v>540</v>
      </c>
      <c r="AG343" s="64"/>
      <c r="AJ343" s="68" t="s">
        <v>106</v>
      </c>
      <c r="AK343" s="68">
        <v>15</v>
      </c>
      <c r="BB343" s="390" t="s">
        <v>1</v>
      </c>
      <c r="BM343" s="64">
        <f t="shared" ref="BM343:BM349" si="33">IFERROR(X343*I343/H343,"0")</f>
        <v>1754.4</v>
      </c>
      <c r="BN343" s="64">
        <f t="shared" ref="BN343:BN349" si="34">IFERROR(Y343*I343/H343,"0")</f>
        <v>1764.72</v>
      </c>
      <c r="BO343" s="64">
        <f t="shared" ref="BO343:BO349" si="35">IFERROR(1/J343*(X343/H343),"0")</f>
        <v>2.3611111111111107</v>
      </c>
      <c r="BP343" s="64">
        <f t="shared" ref="BP343:BP349" si="36">IFERROR(1/J343*(Y343/H343),"0")</f>
        <v>2.375</v>
      </c>
    </row>
    <row r="344" spans="1:68" ht="27" customHeight="1" x14ac:dyDescent="0.25">
      <c r="A344" s="54" t="s">
        <v>541</v>
      </c>
      <c r="B344" s="54" t="s">
        <v>542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1000</v>
      </c>
      <c r="Y344" s="544">
        <f t="shared" si="32"/>
        <v>1005</v>
      </c>
      <c r="Z344" s="36">
        <f>IFERROR(IF(Y344=0,"",ROUNDUP(Y344/H344,0)*0.02175),"")</f>
        <v>1.4572499999999999</v>
      </c>
      <c r="AA344" s="56"/>
      <c r="AB344" s="57"/>
      <c r="AC344" s="391" t="s">
        <v>543</v>
      </c>
      <c r="AG344" s="64"/>
      <c r="AJ344" s="68" t="s">
        <v>106</v>
      </c>
      <c r="AK344" s="68">
        <v>15</v>
      </c>
      <c r="BB344" s="392" t="s">
        <v>1</v>
      </c>
      <c r="BM344" s="64">
        <f t="shared" si="33"/>
        <v>1032</v>
      </c>
      <c r="BN344" s="64">
        <f t="shared" si="34"/>
        <v>1037.1600000000001</v>
      </c>
      <c r="BO344" s="64">
        <f t="shared" si="35"/>
        <v>1.3888888888888888</v>
      </c>
      <c r="BP344" s="64">
        <f t="shared" si="36"/>
        <v>1.3958333333333333</v>
      </c>
    </row>
    <row r="345" spans="1:68" ht="27" customHeight="1" x14ac:dyDescent="0.25">
      <c r="A345" s="54" t="s">
        <v>544</v>
      </c>
      <c r="B345" s="54" t="s">
        <v>545</v>
      </c>
      <c r="C345" s="31">
        <v>4301011832</v>
      </c>
      <c r="D345" s="547">
        <v>4607091383997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400</v>
      </c>
      <c r="Y345" s="544">
        <f t="shared" si="32"/>
        <v>405</v>
      </c>
      <c r="Z345" s="36">
        <f>IFERROR(IF(Y345=0,"",ROUNDUP(Y345/H345,0)*0.02175),"")</f>
        <v>0.58724999999999994</v>
      </c>
      <c r="AA345" s="56"/>
      <c r="AB345" s="57"/>
      <c r="AC345" s="393" t="s">
        <v>546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412.8</v>
      </c>
      <c r="BN345" s="64">
        <f t="shared" si="34"/>
        <v>417.96000000000004</v>
      </c>
      <c r="BO345" s="64">
        <f t="shared" si="35"/>
        <v>0.55555555555555558</v>
      </c>
      <c r="BP345" s="64">
        <f t="shared" si="36"/>
        <v>0.5625</v>
      </c>
    </row>
    <row r="346" spans="1:68" ht="37.5" customHeight="1" x14ac:dyDescent="0.25">
      <c r="A346" s="54" t="s">
        <v>547</v>
      </c>
      <c r="B346" s="54" t="s">
        <v>548</v>
      </c>
      <c r="C346" s="31">
        <v>4301011867</v>
      </c>
      <c r="D346" s="547">
        <v>4680115884830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/>
      <c r="M346" s="33" t="s">
        <v>68</v>
      </c>
      <c r="N346" s="33"/>
      <c r="O346" s="32">
        <v>60</v>
      </c>
      <c r="P346" s="7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1600</v>
      </c>
      <c r="Y346" s="544">
        <f t="shared" si="32"/>
        <v>1605</v>
      </c>
      <c r="Z346" s="36">
        <f>IFERROR(IF(Y346=0,"",ROUNDUP(Y346/H346,0)*0.02175),"")</f>
        <v>2.3272499999999998</v>
      </c>
      <c r="AA346" s="56"/>
      <c r="AB346" s="57"/>
      <c r="AC346" s="395" t="s">
        <v>549</v>
      </c>
      <c r="AG346" s="64"/>
      <c r="AJ346" s="68" t="s">
        <v>106</v>
      </c>
      <c r="AK346" s="68">
        <v>15</v>
      </c>
      <c r="BB346" s="396" t="s">
        <v>1</v>
      </c>
      <c r="BM346" s="64">
        <f t="shared" si="33"/>
        <v>1651.2</v>
      </c>
      <c r="BN346" s="64">
        <f t="shared" si="34"/>
        <v>1656.3600000000001</v>
      </c>
      <c r="BO346" s="64">
        <f t="shared" si="35"/>
        <v>2.2222222222222223</v>
      </c>
      <c r="BP346" s="64">
        <f t="shared" si="36"/>
        <v>2.2291666666666665</v>
      </c>
    </row>
    <row r="347" spans="1:68" ht="27" customHeight="1" x14ac:dyDescent="0.25">
      <c r="A347" s="54" t="s">
        <v>550</v>
      </c>
      <c r="B347" s="54" t="s">
        <v>551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553</v>
      </c>
      <c r="B348" s="54" t="s">
        <v>554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543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555</v>
      </c>
      <c r="B349" s="54" t="s">
        <v>556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10</v>
      </c>
      <c r="Y349" s="544">
        <f t="shared" si="32"/>
        <v>10</v>
      </c>
      <c r="Z349" s="36">
        <f>IFERROR(IF(Y349=0,"",ROUNDUP(Y349/H349,0)*0.00902),"")</f>
        <v>1.804E-2</v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3"/>
        <v>10.42</v>
      </c>
      <c r="BN349" s="64">
        <f t="shared" si="34"/>
        <v>10.42</v>
      </c>
      <c r="BO349" s="64">
        <f t="shared" si="35"/>
        <v>1.5151515151515152E-2</v>
      </c>
      <c r="BP349" s="64">
        <f t="shared" si="36"/>
        <v>1.5151515151515152E-2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315.33333333333331</v>
      </c>
      <c r="Y350" s="545">
        <f>IFERROR(Y343/H343,"0")+IFERROR(Y344/H344,"0")+IFERROR(Y345/H345,"0")+IFERROR(Y346/H346,"0")+IFERROR(Y347/H347,"0")+IFERROR(Y348/H348,"0")+IFERROR(Y349/H349,"0")</f>
        <v>317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6.8692900000000003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4710</v>
      </c>
      <c r="Y351" s="545">
        <f>IFERROR(SUM(Y343:Y349),"0")</f>
        <v>4735</v>
      </c>
      <c r="Z351" s="37"/>
      <c r="AA351" s="546"/>
      <c r="AB351" s="546"/>
      <c r="AC351" s="546"/>
    </row>
    <row r="352" spans="1:68" ht="14.25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557</v>
      </c>
      <c r="B353" s="54" t="s">
        <v>558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/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1000</v>
      </c>
      <c r="Y353" s="544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559</v>
      </c>
      <c r="AG353" s="64"/>
      <c r="AJ353" s="68" t="s">
        <v>106</v>
      </c>
      <c r="AK353" s="68">
        <v>15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customHeight="1" x14ac:dyDescent="0.25">
      <c r="A354" s="54" t="s">
        <v>560</v>
      </c>
      <c r="B354" s="54" t="s">
        <v>561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8</v>
      </c>
      <c r="Y354" s="544">
        <f>IFERROR(IF(X354="",0,CEILING((X354/$H354),1)*$H354),"")</f>
        <v>8</v>
      </c>
      <c r="Z354" s="36">
        <f>IFERROR(IF(Y354=0,"",ROUNDUP(Y354/H354,0)*0.00902),"")</f>
        <v>1.804E-2</v>
      </c>
      <c r="AA354" s="56"/>
      <c r="AB354" s="57"/>
      <c r="AC354" s="405" t="s">
        <v>559</v>
      </c>
      <c r="AG354" s="64"/>
      <c r="AJ354" s="68"/>
      <c r="AK354" s="68">
        <v>0</v>
      </c>
      <c r="BB354" s="406" t="s">
        <v>1</v>
      </c>
      <c r="BM354" s="64">
        <f>IFERROR(X354*I354/H354,"0")</f>
        <v>8.42</v>
      </c>
      <c r="BN354" s="64">
        <f>IFERROR(Y354*I354/H354,"0")</f>
        <v>8.42</v>
      </c>
      <c r="BO354" s="64">
        <f>IFERROR(1/J354*(X354/H354),"0")</f>
        <v>1.5151515151515152E-2</v>
      </c>
      <c r="BP354" s="64">
        <f>IFERROR(1/J354*(Y354/H354),"0")</f>
        <v>1.5151515151515152E-2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68.666666666666671</v>
      </c>
      <c r="Y355" s="545">
        <f>IFERROR(Y353/H353,"0")+IFERROR(Y354/H354,"0")</f>
        <v>69</v>
      </c>
      <c r="Z355" s="545">
        <f>IFERROR(IF(Z353="",0,Z353),"0")+IFERROR(IF(Z354="",0,Z354),"0")</f>
        <v>1.47529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1008</v>
      </c>
      <c r="Y356" s="545">
        <f>IFERROR(SUM(Y353:Y354),"0")</f>
        <v>1013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562</v>
      </c>
      <c r="B358" s="54" t="s">
        <v>563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565</v>
      </c>
      <c r="B359" s="54" t="s">
        <v>566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20</v>
      </c>
      <c r="Y359" s="544">
        <f>IFERROR(IF(X359="",0,CEILING((X359/$H359),1)*$H359),"")</f>
        <v>27</v>
      </c>
      <c r="Z359" s="36">
        <f>IFERROR(IF(Y359=0,"",ROUNDUP(Y359/H359,0)*0.01898),"")</f>
        <v>5.6940000000000004E-2</v>
      </c>
      <c r="AA359" s="56"/>
      <c r="AB359" s="57"/>
      <c r="AC359" s="409" t="s">
        <v>567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21.153333333333332</v>
      </c>
      <c r="BN359" s="64">
        <f>IFERROR(Y359*I359/H359,"0")</f>
        <v>28.556999999999999</v>
      </c>
      <c r="BO359" s="64">
        <f>IFERROR(1/J359*(X359/H359),"0")</f>
        <v>3.4722222222222224E-2</v>
      </c>
      <c r="BP359" s="64">
        <f>IFERROR(1/J359*(Y359/H359),"0")</f>
        <v>4.6875E-2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2.2222222222222223</v>
      </c>
      <c r="Y360" s="545">
        <f>IFERROR(Y358/H358,"0")+IFERROR(Y359/H359,"0")</f>
        <v>3</v>
      </c>
      <c r="Z360" s="545">
        <f>IFERROR(IF(Z358="",0,Z358),"0")+IFERROR(IF(Z359="",0,Z359),"0")</f>
        <v>5.6940000000000004E-2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20</v>
      </c>
      <c r="Y361" s="545">
        <f>IFERROR(SUM(Y358:Y359),"0")</f>
        <v>27</v>
      </c>
      <c r="Z361" s="37"/>
      <c r="AA361" s="546"/>
      <c r="AB361" s="546"/>
      <c r="AC361" s="546"/>
    </row>
    <row r="362" spans="1:68" ht="14.25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568</v>
      </c>
      <c r="B363" s="54" t="s">
        <v>569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30</v>
      </c>
      <c r="Y363" s="544">
        <f>IFERROR(IF(X363="",0,CEILING((X363/$H363),1)*$H363),"")</f>
        <v>36</v>
      </c>
      <c r="Z363" s="36">
        <f>IFERROR(IF(Y363=0,"",ROUNDUP(Y363/H363,0)*0.01898),"")</f>
        <v>7.5920000000000001E-2</v>
      </c>
      <c r="AA363" s="56"/>
      <c r="AB363" s="57"/>
      <c r="AC363" s="411" t="s">
        <v>570</v>
      </c>
      <c r="AG363" s="64"/>
      <c r="AJ363" s="68"/>
      <c r="AK363" s="68">
        <v>0</v>
      </c>
      <c r="BB363" s="412" t="s">
        <v>1</v>
      </c>
      <c r="BM363" s="64">
        <f>IFERROR(X363*I363/H363,"0")</f>
        <v>31.73</v>
      </c>
      <c r="BN363" s="64">
        <f>IFERROR(Y363*I363/H363,"0")</f>
        <v>38.076000000000001</v>
      </c>
      <c r="BO363" s="64">
        <f>IFERROR(1/J363*(X363/H363),"0")</f>
        <v>5.2083333333333336E-2</v>
      </c>
      <c r="BP363" s="64">
        <f>IFERROR(1/J363*(Y363/H363),"0")</f>
        <v>6.25E-2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3.3333333333333335</v>
      </c>
      <c r="Y364" s="545">
        <f>IFERROR(Y363/H363,"0")</f>
        <v>4</v>
      </c>
      <c r="Z364" s="545">
        <f>IFERROR(IF(Z363="",0,Z363),"0")</f>
        <v>7.5920000000000001E-2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30</v>
      </c>
      <c r="Y365" s="545">
        <f>IFERROR(SUM(Y363:Y363),"0")</f>
        <v>36</v>
      </c>
      <c r="Z365" s="37"/>
      <c r="AA365" s="546"/>
      <c r="AB365" s="546"/>
      <c r="AC365" s="546"/>
    </row>
    <row r="366" spans="1:68" ht="16.5" customHeight="1" x14ac:dyDescent="0.25">
      <c r="A366" s="563" t="s">
        <v>571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572</v>
      </c>
      <c r="B368" s="54" t="s">
        <v>573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40</v>
      </c>
      <c r="Y368" s="544">
        <f>IFERROR(IF(X368="",0,CEILING((X368/$H368),1)*$H368),"")</f>
        <v>48</v>
      </c>
      <c r="Z368" s="36">
        <f>IFERROR(IF(Y368=0,"",ROUNDUP(Y368/H368,0)*0.01898),"")</f>
        <v>7.5920000000000001E-2</v>
      </c>
      <c r="AA368" s="56"/>
      <c r="AB368" s="57"/>
      <c r="AC368" s="413" t="s">
        <v>574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41.45</v>
      </c>
      <c r="BN368" s="64">
        <f>IFERROR(Y368*I368/H368,"0")</f>
        <v>49.74</v>
      </c>
      <c r="BO368" s="64">
        <f>IFERROR(1/J368*(X368/H368),"0")</f>
        <v>5.2083333333333336E-2</v>
      </c>
      <c r="BP368" s="64">
        <f>IFERROR(1/J368*(Y368/H368),"0")</f>
        <v>6.25E-2</v>
      </c>
    </row>
    <row r="369" spans="1:68" ht="37.5" customHeight="1" x14ac:dyDescent="0.25">
      <c r="A369" s="54" t="s">
        <v>575</v>
      </c>
      <c r="B369" s="54" t="s">
        <v>576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3.3333333333333335</v>
      </c>
      <c r="Y370" s="545">
        <f>IFERROR(Y368/H368,"0")+IFERROR(Y369/H369,"0")</f>
        <v>4</v>
      </c>
      <c r="Z370" s="545">
        <f>IFERROR(IF(Z368="",0,Z368),"0")+IFERROR(IF(Z369="",0,Z369),"0")</f>
        <v>7.5920000000000001E-2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40</v>
      </c>
      <c r="Y371" s="545">
        <f>IFERROR(SUM(Y368:Y369),"0")</f>
        <v>48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577</v>
      </c>
      <c r="B373" s="54" t="s">
        <v>578</v>
      </c>
      <c r="C373" s="31">
        <v>4301031457</v>
      </c>
      <c r="D373" s="547">
        <v>4607091384802</v>
      </c>
      <c r="E373" s="548"/>
      <c r="F373" s="542">
        <v>0.7</v>
      </c>
      <c r="G373" s="32">
        <v>6</v>
      </c>
      <c r="H373" s="542">
        <v>4.2</v>
      </c>
      <c r="I373" s="542">
        <v>4.47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50</v>
      </c>
      <c r="P373" s="86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579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577</v>
      </c>
      <c r="B374" s="54" t="s">
        <v>580</v>
      </c>
      <c r="C374" s="31">
        <v>4301031303</v>
      </c>
      <c r="D374" s="547">
        <v>4607091384802</v>
      </c>
      <c r="E374" s="54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579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20</v>
      </c>
      <c r="Y378" s="544">
        <f>IFERROR(IF(X378="",0,CEILING((X378/$H378),1)*$H378),"")</f>
        <v>27</v>
      </c>
      <c r="Z378" s="36">
        <f>IFERROR(IF(Y378=0,"",ROUNDUP(Y378/H378,0)*0.01898),"")</f>
        <v>5.6940000000000004E-2</v>
      </c>
      <c r="AA378" s="56"/>
      <c r="AB378" s="57"/>
      <c r="AC378" s="421" t="s">
        <v>583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21.153333333333332</v>
      </c>
      <c r="BN378" s="64">
        <f>IFERROR(Y378*I378/H378,"0")</f>
        <v>28.556999999999999</v>
      </c>
      <c r="BO378" s="64">
        <f>IFERROR(1/J378*(X378/H378),"0")</f>
        <v>3.4722222222222224E-2</v>
      </c>
      <c r="BP378" s="64">
        <f>IFERROR(1/J378*(Y378/H378),"0")</f>
        <v>4.6875E-2</v>
      </c>
    </row>
    <row r="379" spans="1:68" ht="27" customHeight="1" x14ac:dyDescent="0.25">
      <c r="A379" s="54" t="s">
        <v>584</v>
      </c>
      <c r="B379" s="54" t="s">
        <v>585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2.2222222222222223</v>
      </c>
      <c r="Y380" s="545">
        <f>IFERROR(Y378/H378,"0")+IFERROR(Y379/H379,"0")</f>
        <v>3</v>
      </c>
      <c r="Z380" s="545">
        <f>IFERROR(IF(Z378="",0,Z378),"0")+IFERROR(IF(Z379="",0,Z379),"0")</f>
        <v>5.6940000000000004E-2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20</v>
      </c>
      <c r="Y381" s="545">
        <f>IFERROR(SUM(Y378:Y379),"0")</f>
        <v>27</v>
      </c>
      <c r="Z381" s="37"/>
      <c r="AA381" s="546"/>
      <c r="AB381" s="546"/>
      <c r="AC381" s="546"/>
    </row>
    <row r="382" spans="1:68" ht="27.75" customHeight="1" x14ac:dyDescent="0.2">
      <c r="A382" s="605" t="s">
        <v>586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587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588</v>
      </c>
      <c r="B385" s="54" t="s">
        <v>589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10</v>
      </c>
      <c r="Y385" s="544">
        <f t="shared" ref="Y385:Y394" si="37">IFERROR(IF(X385="",0,CEILING((X385/$H385),1)*$H385),"")</f>
        <v>10.8</v>
      </c>
      <c r="Z385" s="36">
        <f>IFERROR(IF(Y385=0,"",ROUNDUP(Y385/H385,0)*0.00902),"")</f>
        <v>1.804E-2</v>
      </c>
      <c r="AA385" s="56"/>
      <c r="AB385" s="57"/>
      <c r="AC385" s="425" t="s">
        <v>590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10.388888888888889</v>
      </c>
      <c r="BN385" s="64">
        <f t="shared" ref="BN385:BN394" si="39">IFERROR(Y385*I385/H385,"0")</f>
        <v>11.22</v>
      </c>
      <c r="BO385" s="64">
        <f t="shared" ref="BO385:BO394" si="40">IFERROR(1/J385*(X385/H385),"0")</f>
        <v>1.4029180695847361E-2</v>
      </c>
      <c r="BP385" s="64">
        <f t="shared" ref="BP385:BP394" si="41">IFERROR(1/J385*(Y385/H385),"0")</f>
        <v>1.5151515151515152E-2</v>
      </c>
    </row>
    <row r="386" spans="1:68" ht="27" customHeight="1" x14ac:dyDescent="0.25">
      <c r="A386" s="54" t="s">
        <v>591</v>
      </c>
      <c r="B386" s="54" t="s">
        <v>592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593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591</v>
      </c>
      <c r="B387" s="54" t="s">
        <v>594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593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595</v>
      </c>
      <c r="B388" s="54" t="s">
        <v>596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597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598</v>
      </c>
      <c r="B389" s="54" t="s">
        <v>599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590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 t="s">
        <v>266</v>
      </c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52.5</v>
      </c>
      <c r="Y390" s="544">
        <f t="shared" si="37"/>
        <v>52.5</v>
      </c>
      <c r="Z390" s="36">
        <f t="shared" si="42"/>
        <v>0.1255</v>
      </c>
      <c r="AA390" s="56"/>
      <c r="AB390" s="57"/>
      <c r="AC390" s="435" t="s">
        <v>590</v>
      </c>
      <c r="AG390" s="64"/>
      <c r="AJ390" s="68" t="s">
        <v>106</v>
      </c>
      <c r="AK390" s="68">
        <v>37.799999999999997</v>
      </c>
      <c r="BB390" s="436" t="s">
        <v>1</v>
      </c>
      <c r="BM390" s="64">
        <f t="shared" si="38"/>
        <v>55.75</v>
      </c>
      <c r="BN390" s="64">
        <f t="shared" si="39"/>
        <v>55.75</v>
      </c>
      <c r="BO390" s="64">
        <f t="shared" si="40"/>
        <v>0.10683760683760685</v>
      </c>
      <c r="BP390" s="64">
        <f t="shared" si="41"/>
        <v>0.10683760683760685</v>
      </c>
    </row>
    <row r="391" spans="1:68" ht="37.5" customHeight="1" x14ac:dyDescent="0.25">
      <c r="A391" s="54" t="s">
        <v>602</v>
      </c>
      <c r="B391" s="54" t="s">
        <v>603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 t="s">
        <v>266</v>
      </c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35</v>
      </c>
      <c r="Y391" s="544">
        <f t="shared" si="37"/>
        <v>35.700000000000003</v>
      </c>
      <c r="Z391" s="36">
        <f t="shared" si="42"/>
        <v>8.5339999999999999E-2</v>
      </c>
      <c r="AA391" s="56"/>
      <c r="AB391" s="57"/>
      <c r="AC391" s="437" t="s">
        <v>604</v>
      </c>
      <c r="AG391" s="64"/>
      <c r="AJ391" s="68" t="s">
        <v>106</v>
      </c>
      <c r="AK391" s="68">
        <v>37.799999999999997</v>
      </c>
      <c r="BB391" s="438" t="s">
        <v>1</v>
      </c>
      <c r="BM391" s="64">
        <f t="shared" si="38"/>
        <v>37.166666666666664</v>
      </c>
      <c r="BN391" s="64">
        <f t="shared" si="39"/>
        <v>37.910000000000004</v>
      </c>
      <c r="BO391" s="64">
        <f t="shared" si="40"/>
        <v>7.1225071225071226E-2</v>
      </c>
      <c r="BP391" s="64">
        <f t="shared" si="41"/>
        <v>7.2649572649572655E-2</v>
      </c>
    </row>
    <row r="392" spans="1:68" ht="27" customHeight="1" x14ac:dyDescent="0.25">
      <c r="A392" s="54" t="s">
        <v>605</v>
      </c>
      <c r="B392" s="54" t="s">
        <v>606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607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608</v>
      </c>
      <c r="B393" s="54" t="s">
        <v>609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266</v>
      </c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35</v>
      </c>
      <c r="Y393" s="544">
        <f t="shared" si="37"/>
        <v>35.700000000000003</v>
      </c>
      <c r="Z393" s="36">
        <f t="shared" si="42"/>
        <v>8.5339999999999999E-2</v>
      </c>
      <c r="AA393" s="56"/>
      <c r="AB393" s="57"/>
      <c r="AC393" s="441" t="s">
        <v>610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37.166666666666664</v>
      </c>
      <c r="BN393" s="64">
        <f t="shared" si="39"/>
        <v>37.910000000000004</v>
      </c>
      <c r="BO393" s="64">
        <f t="shared" si="40"/>
        <v>7.1225071225071226E-2</v>
      </c>
      <c r="BP393" s="64">
        <f t="shared" si="41"/>
        <v>7.2649572649572655E-2</v>
      </c>
    </row>
    <row r="394" spans="1:68" ht="37.5" customHeight="1" x14ac:dyDescent="0.25">
      <c r="A394" s="54" t="s">
        <v>611</v>
      </c>
      <c r="B394" s="54" t="s">
        <v>612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607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60.185185185185183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61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0.31422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132.5</v>
      </c>
      <c r="Y396" s="545">
        <f>IFERROR(SUM(Y385:Y394),"0")</f>
        <v>134.69999999999999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613</v>
      </c>
      <c r="B398" s="54" t="s">
        <v>614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619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620</v>
      </c>
      <c r="B404" s="54" t="s">
        <v>621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622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623</v>
      </c>
      <c r="B408" s="54" t="s">
        <v>624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626</v>
      </c>
      <c r="B409" s="54" t="s">
        <v>627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629</v>
      </c>
      <c r="B410" s="54" t="s">
        <v>630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7</v>
      </c>
      <c r="Y411" s="544">
        <f>IFERROR(IF(X411="",0,CEILING((X411/$H411),1)*$H411),"")</f>
        <v>8.4</v>
      </c>
      <c r="Z411" s="36">
        <f>IFERROR(IF(Y411=0,"",ROUNDUP(Y411/H411,0)*0.00502),"")</f>
        <v>2.0080000000000001E-2</v>
      </c>
      <c r="AA411" s="56"/>
      <c r="AB411" s="57"/>
      <c r="AC411" s="457" t="s">
        <v>631</v>
      </c>
      <c r="AG411" s="64"/>
      <c r="AJ411" s="68"/>
      <c r="AK411" s="68">
        <v>0</v>
      </c>
      <c r="BB411" s="458" t="s">
        <v>1</v>
      </c>
      <c r="BM411" s="64">
        <f>IFERROR(X411*I411/H411,"0")</f>
        <v>7.4333333333333327</v>
      </c>
      <c r="BN411" s="64">
        <f>IFERROR(Y411*I411/H411,"0")</f>
        <v>8.92</v>
      </c>
      <c r="BO411" s="64">
        <f>IFERROR(1/J411*(X411/H411),"0")</f>
        <v>1.4245014245014245E-2</v>
      </c>
      <c r="BP411" s="64">
        <f>IFERROR(1/J411*(Y411/H411),"0")</f>
        <v>1.7094017094017096E-2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3.333333333333333</v>
      </c>
      <c r="Y412" s="545">
        <f>IFERROR(Y408/H408,"0")+IFERROR(Y409/H409,"0")+IFERROR(Y410/H410,"0")+IFERROR(Y411/H411,"0")</f>
        <v>4</v>
      </c>
      <c r="Z412" s="545">
        <f>IFERROR(IF(Z408="",0,Z408),"0")+IFERROR(IF(Z409="",0,Z409),"0")+IFERROR(IF(Z410="",0,Z410),"0")+IFERROR(IF(Z411="",0,Z411),"0")</f>
        <v>2.0080000000000001E-2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7</v>
      </c>
      <c r="Y413" s="545">
        <f>IFERROR(SUM(Y408:Y411),"0")</f>
        <v>8.4</v>
      </c>
      <c r="Z413" s="37"/>
      <c r="AA413" s="546"/>
      <c r="AB413" s="546"/>
      <c r="AC413" s="546"/>
    </row>
    <row r="414" spans="1:68" ht="16.5" customHeight="1" x14ac:dyDescent="0.25">
      <c r="A414" s="563" t="s">
        <v>634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635</v>
      </c>
      <c r="B416" s="54" t="s">
        <v>636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 t="s">
        <v>216</v>
      </c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20</v>
      </c>
      <c r="Y416" s="544">
        <f>IFERROR(IF(X416="",0,CEILING((X416/$H416),1)*$H416),"")</f>
        <v>20.399999999999999</v>
      </c>
      <c r="Z416" s="36">
        <f>IFERROR(IF(Y416=0,"",ROUNDUP(Y416/H416,0)*0.00651),"")</f>
        <v>0.11067</v>
      </c>
      <c r="AA416" s="56"/>
      <c r="AB416" s="57"/>
      <c r="AC416" s="459" t="s">
        <v>637</v>
      </c>
      <c r="AG416" s="64"/>
      <c r="AJ416" s="68" t="s">
        <v>106</v>
      </c>
      <c r="AK416" s="68">
        <v>16.8</v>
      </c>
      <c r="BB416" s="460" t="s">
        <v>1</v>
      </c>
      <c r="BM416" s="64">
        <f>IFERROR(X416*I416/H416,"0")</f>
        <v>35</v>
      </c>
      <c r="BN416" s="64">
        <f>IFERROR(Y416*I416/H416,"0")</f>
        <v>35.699999999999996</v>
      </c>
      <c r="BO416" s="64">
        <f>IFERROR(1/J416*(X416/H416),"0")</f>
        <v>9.1575091575091583E-2</v>
      </c>
      <c r="BP416" s="64">
        <f>IFERROR(1/J416*(Y416/H416),"0")</f>
        <v>9.3406593406593408E-2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16.666666666666668</v>
      </c>
      <c r="Y417" s="545">
        <f>IFERROR(Y416/H416,"0")</f>
        <v>17</v>
      </c>
      <c r="Z417" s="545">
        <f>IFERROR(IF(Z416="",0,Z416),"0")</f>
        <v>0.11067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20</v>
      </c>
      <c r="Y418" s="545">
        <f>IFERROR(SUM(Y416:Y416),"0")</f>
        <v>20.399999999999999</v>
      </c>
      <c r="Z418" s="37"/>
      <c r="AA418" s="546"/>
      <c r="AB418" s="546"/>
      <c r="AC418" s="546"/>
    </row>
    <row r="419" spans="1:68" ht="27.75" customHeight="1" x14ac:dyDescent="0.2">
      <c r="A419" s="605" t="s">
        <v>638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638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639</v>
      </c>
      <c r="B422" s="54" t="s">
        <v>640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50</v>
      </c>
      <c r="Y422" s="544">
        <f t="shared" ref="Y422:Y433" si="43">IFERROR(IF(X422="",0,CEILING((X422/$H422),1)*$H422),"")</f>
        <v>52.800000000000004</v>
      </c>
      <c r="Z422" s="36">
        <f t="shared" ref="Z422:Z428" si="44">IFERROR(IF(Y422=0,"",ROUNDUP(Y422/H422,0)*0.01196),"")</f>
        <v>0.1196</v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53.409090909090907</v>
      </c>
      <c r="BN422" s="64">
        <f t="shared" ref="BN422:BN433" si="46">IFERROR(Y422*I422/H422,"0")</f>
        <v>56.400000000000006</v>
      </c>
      <c r="BO422" s="64">
        <f t="shared" ref="BO422:BO433" si="47">IFERROR(1/J422*(X422/H422),"0")</f>
        <v>9.1054778554778545E-2</v>
      </c>
      <c r="BP422" s="64">
        <f t="shared" ref="BP422:BP433" si="48">IFERROR(1/J422*(Y422/H422),"0")</f>
        <v>9.6153846153846159E-2</v>
      </c>
    </row>
    <row r="423" spans="1:68" ht="27" customHeight="1" x14ac:dyDescent="0.25">
      <c r="A423" s="54" t="s">
        <v>641</v>
      </c>
      <c r="B423" s="54" t="s">
        <v>642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/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643</v>
      </c>
      <c r="AG423" s="64"/>
      <c r="AJ423" s="68"/>
      <c r="AK423" s="68">
        <v>0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644</v>
      </c>
      <c r="B424" s="54" t="s">
        <v>645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646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647</v>
      </c>
      <c r="B425" s="54" t="s">
        <v>648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50</v>
      </c>
      <c r="Y425" s="544">
        <f t="shared" si="43"/>
        <v>52.800000000000004</v>
      </c>
      <c r="Z425" s="36">
        <f t="shared" si="44"/>
        <v>0.1196</v>
      </c>
      <c r="AA425" s="56"/>
      <c r="AB425" s="57"/>
      <c r="AC425" s="467" t="s">
        <v>649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53.409090909090907</v>
      </c>
      <c r="BN425" s="64">
        <f t="shared" si="46"/>
        <v>56.400000000000006</v>
      </c>
      <c r="BO425" s="64">
        <f t="shared" si="47"/>
        <v>9.1054778554778545E-2</v>
      </c>
      <c r="BP425" s="64">
        <f t="shared" si="48"/>
        <v>9.6153846153846159E-2</v>
      </c>
    </row>
    <row r="426" spans="1:68" ht="16.5" customHeight="1" x14ac:dyDescent="0.25">
      <c r="A426" s="54" t="s">
        <v>650</v>
      </c>
      <c r="B426" s="54" t="s">
        <v>651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652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653</v>
      </c>
      <c r="B427" s="54" t="s">
        <v>654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130</v>
      </c>
      <c r="Y427" s="544">
        <f t="shared" si="43"/>
        <v>132</v>
      </c>
      <c r="Z427" s="36">
        <f t="shared" si="44"/>
        <v>0.29899999999999999</v>
      </c>
      <c r="AA427" s="56"/>
      <c r="AB427" s="57"/>
      <c r="AC427" s="471" t="s">
        <v>655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138.86363636363635</v>
      </c>
      <c r="BN427" s="64">
        <f t="shared" si="46"/>
        <v>140.99999999999997</v>
      </c>
      <c r="BO427" s="64">
        <f t="shared" si="47"/>
        <v>0.23674242424242425</v>
      </c>
      <c r="BP427" s="64">
        <f t="shared" si="48"/>
        <v>0.24038461538461539</v>
      </c>
    </row>
    <row r="428" spans="1:68" ht="16.5" customHeight="1" x14ac:dyDescent="0.25">
      <c r="A428" s="54" t="s">
        <v>656</v>
      </c>
      <c r="B428" s="54" t="s">
        <v>657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658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659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660</v>
      </c>
      <c r="B429" s="54" t="s">
        <v>661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120</v>
      </c>
      <c r="Y430" s="544">
        <f t="shared" si="43"/>
        <v>120</v>
      </c>
      <c r="Z430" s="36">
        <f>IFERROR(IF(Y430=0,"",ROUNDUP(Y430/H430,0)*0.00902),"")</f>
        <v>0.22550000000000001</v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173.25</v>
      </c>
      <c r="BN430" s="64">
        <f t="shared" si="46"/>
        <v>173.25</v>
      </c>
      <c r="BO430" s="64">
        <f t="shared" si="47"/>
        <v>0.18939393939393939</v>
      </c>
      <c r="BP430" s="64">
        <f t="shared" si="48"/>
        <v>0.18939393939393939</v>
      </c>
    </row>
    <row r="431" spans="1:68" ht="27" customHeight="1" x14ac:dyDescent="0.25">
      <c r="A431" s="54" t="s">
        <v>664</v>
      </c>
      <c r="B431" s="54" t="s">
        <v>665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643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666</v>
      </c>
      <c r="B432" s="54" t="s">
        <v>667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668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669</v>
      </c>
      <c r="B433" s="54" t="s">
        <v>670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150</v>
      </c>
      <c r="Y433" s="544">
        <f t="shared" si="43"/>
        <v>153.6</v>
      </c>
      <c r="Z433" s="36">
        <f>IFERROR(IF(Y433=0,"",ROUNDUP(Y433/H433,0)*0.00902),"")</f>
        <v>0.28864000000000001</v>
      </c>
      <c r="AA433" s="56"/>
      <c r="AB433" s="57"/>
      <c r="AC433" s="483" t="s">
        <v>655</v>
      </c>
      <c r="AG433" s="64"/>
      <c r="AJ433" s="68"/>
      <c r="AK433" s="68">
        <v>0</v>
      </c>
      <c r="BB433" s="484" t="s">
        <v>1</v>
      </c>
      <c r="BM433" s="64">
        <f t="shared" si="45"/>
        <v>216.5625</v>
      </c>
      <c r="BN433" s="64">
        <f t="shared" si="46"/>
        <v>221.76</v>
      </c>
      <c r="BO433" s="64">
        <f t="shared" si="47"/>
        <v>0.23674242424242425</v>
      </c>
      <c r="BP433" s="64">
        <f t="shared" si="48"/>
        <v>0.24242424242424243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99.810606060606062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102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1.0523400000000001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500</v>
      </c>
      <c r="Y435" s="545">
        <f>IFERROR(SUM(Y422:Y433),"0")</f>
        <v>511.20000000000005</v>
      </c>
      <c r="Z435" s="37"/>
      <c r="AA435" s="546"/>
      <c r="AB435" s="546"/>
      <c r="AC435" s="546"/>
    </row>
    <row r="436" spans="1:68" ht="14.25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671</v>
      </c>
      <c r="B437" s="54" t="s">
        <v>672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130</v>
      </c>
      <c r="Y437" s="544">
        <f>IFERROR(IF(X437="",0,CEILING((X437/$H437),1)*$H437),"")</f>
        <v>132</v>
      </c>
      <c r="Z437" s="36">
        <f>IFERROR(IF(Y437=0,"",ROUNDUP(Y437/H437,0)*0.01196),"")</f>
        <v>0.29899999999999999</v>
      </c>
      <c r="AA437" s="56"/>
      <c r="AB437" s="57"/>
      <c r="AC437" s="485" t="s">
        <v>673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138.86363636363635</v>
      </c>
      <c r="BN437" s="64">
        <f>IFERROR(Y437*I437/H437,"0")</f>
        <v>140.99999999999997</v>
      </c>
      <c r="BO437" s="64">
        <f>IFERROR(1/J437*(X437/H437),"0")</f>
        <v>0.23674242424242425</v>
      </c>
      <c r="BP437" s="64">
        <f>IFERROR(1/J437*(Y437/H437),"0")</f>
        <v>0.24038461538461539</v>
      </c>
    </row>
    <row r="438" spans="1:68" ht="16.5" customHeight="1" x14ac:dyDescent="0.25">
      <c r="A438" s="54" t="s">
        <v>674</v>
      </c>
      <c r="B438" s="54" t="s">
        <v>675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673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676</v>
      </c>
      <c r="B439" s="54" t="s">
        <v>677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/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673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24.621212121212121</v>
      </c>
      <c r="Y440" s="545">
        <f>IFERROR(Y437/H437,"0")+IFERROR(Y438/H438,"0")+IFERROR(Y439/H439,"0")</f>
        <v>25</v>
      </c>
      <c r="Z440" s="545">
        <f>IFERROR(IF(Z437="",0,Z437),"0")+IFERROR(IF(Z438="",0,Z438),"0")+IFERROR(IF(Z439="",0,Z439),"0")</f>
        <v>0.29899999999999999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130</v>
      </c>
      <c r="Y441" s="545">
        <f>IFERROR(SUM(Y437:Y439),"0")</f>
        <v>132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678</v>
      </c>
      <c r="B443" s="54" t="s">
        <v>679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30</v>
      </c>
      <c r="Y443" s="544">
        <f t="shared" ref="Y443:Y448" si="49">IFERROR(IF(X443="",0,CEILING((X443/$H443),1)*$H443),"")</f>
        <v>31.68</v>
      </c>
      <c r="Z443" s="36">
        <f>IFERROR(IF(Y443=0,"",ROUNDUP(Y443/H443,0)*0.01196),"")</f>
        <v>7.1760000000000004E-2</v>
      </c>
      <c r="AA443" s="56"/>
      <c r="AB443" s="57"/>
      <c r="AC443" s="491" t="s">
        <v>680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32.04545454545454</v>
      </c>
      <c r="BN443" s="64">
        <f t="shared" ref="BN443:BN448" si="51">IFERROR(Y443*I443/H443,"0")</f>
        <v>33.839999999999996</v>
      </c>
      <c r="BO443" s="64">
        <f t="shared" ref="BO443:BO448" si="52">IFERROR(1/J443*(X443/H443),"0")</f>
        <v>5.4632867132867136E-2</v>
      </c>
      <c r="BP443" s="64">
        <f t="shared" ref="BP443:BP448" si="53">IFERROR(1/J443*(Y443/H443),"0")</f>
        <v>5.7692307692307696E-2</v>
      </c>
    </row>
    <row r="444" spans="1:68" ht="27" customHeight="1" x14ac:dyDescent="0.25">
      <c r="A444" s="54" t="s">
        <v>681</v>
      </c>
      <c r="B444" s="54" t="s">
        <v>682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80</v>
      </c>
      <c r="Y444" s="544">
        <f t="shared" si="49"/>
        <v>84.48</v>
      </c>
      <c r="Z444" s="36">
        <f>IFERROR(IF(Y444=0,"",ROUNDUP(Y444/H444,0)*0.01196),"")</f>
        <v>0.19136</v>
      </c>
      <c r="AA444" s="56"/>
      <c r="AB444" s="57"/>
      <c r="AC444" s="493" t="s">
        <v>683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85.454545454545453</v>
      </c>
      <c r="BN444" s="64">
        <f t="shared" si="51"/>
        <v>90.24</v>
      </c>
      <c r="BO444" s="64">
        <f t="shared" si="52"/>
        <v>0.14568764568764569</v>
      </c>
      <c r="BP444" s="64">
        <f t="shared" si="53"/>
        <v>0.15384615384615385</v>
      </c>
    </row>
    <row r="445" spans="1:68" ht="27" customHeight="1" x14ac:dyDescent="0.25">
      <c r="A445" s="54" t="s">
        <v>684</v>
      </c>
      <c r="B445" s="54" t="s">
        <v>685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60</v>
      </c>
      <c r="Y445" s="544">
        <f t="shared" si="49"/>
        <v>63.36</v>
      </c>
      <c r="Z445" s="36">
        <f>IFERROR(IF(Y445=0,"",ROUNDUP(Y445/H445,0)*0.01196),"")</f>
        <v>0.14352000000000001</v>
      </c>
      <c r="AA445" s="56"/>
      <c r="AB445" s="57"/>
      <c r="AC445" s="495" t="s">
        <v>686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64.090909090909079</v>
      </c>
      <c r="BN445" s="64">
        <f t="shared" si="51"/>
        <v>67.679999999999993</v>
      </c>
      <c r="BO445" s="64">
        <f t="shared" si="52"/>
        <v>0.10926573426573427</v>
      </c>
      <c r="BP445" s="64">
        <f t="shared" si="53"/>
        <v>0.11538461538461539</v>
      </c>
    </row>
    <row r="446" spans="1:68" ht="27" customHeight="1" x14ac:dyDescent="0.25">
      <c r="A446" s="54" t="s">
        <v>687</v>
      </c>
      <c r="B446" s="54" t="s">
        <v>688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 t="s">
        <v>199</v>
      </c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60</v>
      </c>
      <c r="Y446" s="544">
        <f t="shared" si="49"/>
        <v>62.4</v>
      </c>
      <c r="Z446" s="36">
        <f>IFERROR(IF(Y446=0,"",ROUNDUP(Y446/H446,0)*0.00902),"")</f>
        <v>0.11726</v>
      </c>
      <c r="AA446" s="56"/>
      <c r="AB446" s="57"/>
      <c r="AC446" s="497" t="s">
        <v>680</v>
      </c>
      <c r="AG446" s="64"/>
      <c r="AJ446" s="68" t="s">
        <v>106</v>
      </c>
      <c r="AK446" s="68">
        <v>57.6</v>
      </c>
      <c r="BB446" s="498" t="s">
        <v>1</v>
      </c>
      <c r="BM446" s="64">
        <f t="shared" si="50"/>
        <v>86.625</v>
      </c>
      <c r="BN446" s="64">
        <f t="shared" si="51"/>
        <v>90.089999999999989</v>
      </c>
      <c r="BO446" s="64">
        <f t="shared" si="52"/>
        <v>9.4696969696969696E-2</v>
      </c>
      <c r="BP446" s="64">
        <f t="shared" si="53"/>
        <v>9.8484848484848481E-2</v>
      </c>
    </row>
    <row r="447" spans="1:68" ht="27" customHeight="1" x14ac:dyDescent="0.25">
      <c r="A447" s="54" t="s">
        <v>689</v>
      </c>
      <c r="B447" s="54" t="s">
        <v>690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 t="s">
        <v>199</v>
      </c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12</v>
      </c>
      <c r="Y447" s="544">
        <f t="shared" si="49"/>
        <v>14.399999999999999</v>
      </c>
      <c r="Z447" s="36">
        <f>IFERROR(IF(Y447=0,"",ROUNDUP(Y447/H447,0)*0.00902),"")</f>
        <v>2.7060000000000001E-2</v>
      </c>
      <c r="AA447" s="56"/>
      <c r="AB447" s="57"/>
      <c r="AC447" s="499" t="s">
        <v>683</v>
      </c>
      <c r="AG447" s="64"/>
      <c r="AJ447" s="68" t="s">
        <v>106</v>
      </c>
      <c r="AK447" s="68">
        <v>57.6</v>
      </c>
      <c r="BB447" s="500" t="s">
        <v>1</v>
      </c>
      <c r="BM447" s="64">
        <f t="shared" si="50"/>
        <v>16.725000000000001</v>
      </c>
      <c r="BN447" s="64">
        <f t="shared" si="51"/>
        <v>20.07</v>
      </c>
      <c r="BO447" s="64">
        <f t="shared" si="52"/>
        <v>1.893939393939394E-2</v>
      </c>
      <c r="BP447" s="64">
        <f t="shared" si="53"/>
        <v>2.2727272727272728E-2</v>
      </c>
    </row>
    <row r="448" spans="1:68" ht="27" customHeight="1" x14ac:dyDescent="0.25">
      <c r="A448" s="54" t="s">
        <v>691</v>
      </c>
      <c r="B448" s="54" t="s">
        <v>692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 t="s">
        <v>199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60</v>
      </c>
      <c r="Y448" s="544">
        <f t="shared" si="49"/>
        <v>62.4</v>
      </c>
      <c r="Z448" s="36">
        <f>IFERROR(IF(Y448=0,"",ROUNDUP(Y448/H448,0)*0.00902),"")</f>
        <v>0.11726</v>
      </c>
      <c r="AA448" s="56"/>
      <c r="AB448" s="57"/>
      <c r="AC448" s="501" t="s">
        <v>686</v>
      </c>
      <c r="AG448" s="64"/>
      <c r="AJ448" s="68" t="s">
        <v>106</v>
      </c>
      <c r="AK448" s="68">
        <v>57.6</v>
      </c>
      <c r="BB448" s="502" t="s">
        <v>1</v>
      </c>
      <c r="BM448" s="64">
        <f t="shared" si="50"/>
        <v>83.625000000000014</v>
      </c>
      <c r="BN448" s="64">
        <f t="shared" si="51"/>
        <v>86.970000000000013</v>
      </c>
      <c r="BO448" s="64">
        <f t="shared" si="52"/>
        <v>9.4696969696969696E-2</v>
      </c>
      <c r="BP448" s="64">
        <f t="shared" si="53"/>
        <v>9.8484848484848481E-2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59.696969696969695</v>
      </c>
      <c r="Y449" s="545">
        <f>IFERROR(Y443/H443,"0")+IFERROR(Y444/H444,"0")+IFERROR(Y445/H445,"0")+IFERROR(Y446/H446,"0")+IFERROR(Y447/H447,"0")+IFERROR(Y448/H448,"0")</f>
        <v>63</v>
      </c>
      <c r="Z449" s="545">
        <f>IFERROR(IF(Z443="",0,Z443),"0")+IFERROR(IF(Z444="",0,Z444),"0")+IFERROR(IF(Z445="",0,Z445),"0")+IFERROR(IF(Z446="",0,Z446),"0")+IFERROR(IF(Z447="",0,Z447),"0")+IFERROR(IF(Z448="",0,Z448),"0")</f>
        <v>0.66822000000000004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302</v>
      </c>
      <c r="Y450" s="545">
        <f>IFERROR(SUM(Y443:Y448),"0")</f>
        <v>318.71999999999997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693</v>
      </c>
      <c r="B452" s="54" t="s">
        <v>694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695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696</v>
      </c>
      <c r="B453" s="54" t="s">
        <v>697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698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701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702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703</v>
      </c>
      <c r="B460" s="54" t="s">
        <v>704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705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708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705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714</v>
      </c>
      <c r="B467" s="54" t="s">
        <v>715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717</v>
      </c>
      <c r="B468" s="54" t="s">
        <v>718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720</v>
      </c>
      <c r="B469" s="54" t="s">
        <v>721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722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723</v>
      </c>
      <c r="B473" s="54" t="s">
        <v>724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725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728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729</v>
      </c>
      <c r="B478" s="54" t="s">
        <v>730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1200</v>
      </c>
      <c r="Y478" s="544">
        <f>IFERROR(IF(X478="",0,CEILING((X478/$H478),1)*$H478),"")</f>
        <v>1206</v>
      </c>
      <c r="Z478" s="36">
        <f>IFERROR(IF(Y478=0,"",ROUNDUP(Y478/H478,0)*0.01898),"")</f>
        <v>2.54332</v>
      </c>
      <c r="AA478" s="56"/>
      <c r="AB478" s="57"/>
      <c r="AC478" s="527" t="s">
        <v>731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1269.1999999999998</v>
      </c>
      <c r="BN478" s="64">
        <f>IFERROR(Y478*I478/H478,"0")</f>
        <v>1275.546</v>
      </c>
      <c r="BO478" s="64">
        <f>IFERROR(1/J478*(X478/H478),"0")</f>
        <v>2.0833333333333335</v>
      </c>
      <c r="BP478" s="64">
        <f>IFERROR(1/J478*(Y478/H478),"0")</f>
        <v>2.09375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133.33333333333334</v>
      </c>
      <c r="Y479" s="545">
        <f>IFERROR(Y478/H478,"0")</f>
        <v>134</v>
      </c>
      <c r="Z479" s="545">
        <f>IFERROR(IF(Z478="",0,Z478),"0")</f>
        <v>2.54332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1200</v>
      </c>
      <c r="Y480" s="545">
        <f>IFERROR(SUM(Y478:Y478),"0")</f>
        <v>1206</v>
      </c>
      <c r="Z480" s="37"/>
      <c r="AA480" s="546"/>
      <c r="AB480" s="546"/>
      <c r="AC480" s="546"/>
    </row>
    <row r="481" spans="1:68" ht="14.25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732</v>
      </c>
      <c r="B482" s="54" t="s">
        <v>733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734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735</v>
      </c>
      <c r="B483" s="54" t="s">
        <v>736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737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738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739</v>
      </c>
      <c r="B488" s="54" t="s">
        <v>740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741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742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17498.75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17704.080000000002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743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18680.708256468944</v>
      </c>
      <c r="Y492" s="545">
        <f>IFERROR(SUM(BN22:BN488),"0")</f>
        <v>18901.264000000003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744</v>
      </c>
      <c r="Q493" s="666"/>
      <c r="R493" s="666"/>
      <c r="S493" s="666"/>
      <c r="T493" s="666"/>
      <c r="U493" s="666"/>
      <c r="V493" s="667"/>
      <c r="W493" s="37" t="s">
        <v>745</v>
      </c>
      <c r="X493" s="38">
        <f>ROUNDUP(SUM(BO22:BO488),0)</f>
        <v>31</v>
      </c>
      <c r="Y493" s="38">
        <f>ROUNDUP(SUM(BP22:BP488),0)</f>
        <v>32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746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19455.708256468944</v>
      </c>
      <c r="Y494" s="545">
        <f>GrossWeightTotalR+PalletQtyTotalR*25</f>
        <v>19701.264000000003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747</v>
      </c>
      <c r="Q495" s="666"/>
      <c r="R495" s="666"/>
      <c r="S495" s="666"/>
      <c r="T495" s="666"/>
      <c r="U495" s="666"/>
      <c r="V495" s="667"/>
      <c r="W495" s="37" t="s">
        <v>745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3583.7187922762632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3618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748</v>
      </c>
      <c r="Q496" s="666"/>
      <c r="R496" s="666"/>
      <c r="S496" s="666"/>
      <c r="T496" s="666"/>
      <c r="U496" s="666"/>
      <c r="V496" s="667"/>
      <c r="W496" s="39" t="s">
        <v>749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36.262050000000002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750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250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536</v>
      </c>
      <c r="U498" s="659"/>
      <c r="V498" s="586" t="s">
        <v>586</v>
      </c>
      <c r="W498" s="658"/>
      <c r="X498" s="659"/>
      <c r="Y498" s="540" t="s">
        <v>638</v>
      </c>
      <c r="Z498" s="586" t="s">
        <v>702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751</v>
      </c>
      <c r="B499" s="586" t="s">
        <v>63</v>
      </c>
      <c r="C499" s="586" t="s">
        <v>98</v>
      </c>
      <c r="D499" s="586" t="s">
        <v>116</v>
      </c>
      <c r="E499" s="586" t="s">
        <v>172</v>
      </c>
      <c r="F499" s="586" t="s">
        <v>191</v>
      </c>
      <c r="G499" s="586" t="s">
        <v>223</v>
      </c>
      <c r="H499" s="586" t="s">
        <v>97</v>
      </c>
      <c r="I499" s="586" t="s">
        <v>251</v>
      </c>
      <c r="J499" s="586" t="s">
        <v>292</v>
      </c>
      <c r="K499" s="586" t="s">
        <v>352</v>
      </c>
      <c r="L499" s="586" t="s">
        <v>395</v>
      </c>
      <c r="M499" s="586" t="s">
        <v>411</v>
      </c>
      <c r="N499" s="541"/>
      <c r="O499" s="586" t="s">
        <v>423</v>
      </c>
      <c r="P499" s="586" t="s">
        <v>433</v>
      </c>
      <c r="Q499" s="586" t="s">
        <v>443</v>
      </c>
      <c r="R499" s="586" t="s">
        <v>448</v>
      </c>
      <c r="S499" s="586" t="s">
        <v>526</v>
      </c>
      <c r="T499" s="586" t="s">
        <v>537</v>
      </c>
      <c r="U499" s="586" t="s">
        <v>571</v>
      </c>
      <c r="V499" s="586" t="s">
        <v>587</v>
      </c>
      <c r="W499" s="586" t="s">
        <v>619</v>
      </c>
      <c r="X499" s="586" t="s">
        <v>634</v>
      </c>
      <c r="Y499" s="586" t="s">
        <v>638</v>
      </c>
      <c r="Z499" s="586" t="s">
        <v>702</v>
      </c>
      <c r="AA499" s="586" t="s">
        <v>738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752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385.20000000000005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883.8</v>
      </c>
      <c r="E501" s="46">
        <f>IFERROR(Y86*1,"0")+IFERROR(Y87*1,"0")+IFERROR(Y88*1,"0")+IFERROR(Y92*1,"0")+IFERROR(Y93*1,"0")+IFERROR(Y94*1,"0")+IFERROR(Y95*1,"0")</f>
        <v>1352.7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1512.3600000000001</v>
      </c>
      <c r="G501" s="46">
        <f>IFERROR(Y125*1,"0")+IFERROR(Y126*1,"0")+IFERROR(Y130*1,"0")+IFERROR(Y131*1,"0")+IFERROR(Y135*1,"0")+IFERROR(Y136*1,"0")</f>
        <v>120.4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537.59999999999991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1820.9999999999998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136.79999999999998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220.79999999999998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974.6</v>
      </c>
      <c r="S501" s="46">
        <f>IFERROR(Y335*1,"0")+IFERROR(Y336*1,"0")+IFERROR(Y337*1,"0")</f>
        <v>1541.4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5811</v>
      </c>
      <c r="U501" s="46">
        <f>IFERROR(Y368*1,"0")+IFERROR(Y369*1,"0")+IFERROR(Y373*1,"0")+IFERROR(Y374*1,"0")+IFERROR(Y378*1,"0")+IFERROR(Y379*1,"0")</f>
        <v>75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134.69999999999999</v>
      </c>
      <c r="W501" s="46">
        <f>IFERROR(Y404*1,"0")+IFERROR(Y408*1,"0")+IFERROR(Y409*1,"0")+IFERROR(Y410*1,"0")+IFERROR(Y411*1,"0")</f>
        <v>8.4</v>
      </c>
      <c r="X501" s="46">
        <f>IFERROR(Y416*1,"0")</f>
        <v>20.399999999999999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961.92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1206</v>
      </c>
      <c r="AA501" s="46">
        <f>IFERROR(Y488*1,"0")</f>
        <v>0</v>
      </c>
      <c r="AB501" s="52"/>
      <c r="AC501" s="52"/>
      <c r="AF501" s="541"/>
    </row>
  </sheetData>
  <sheetProtection algorithmName="SHA-512" hashValue="/wEOUsBCBjmLHshgLqXcO++sWghLvNJNCm5zQ60ZDmuWEfCSRAnrO0ttwpWnsYZDQoqJb8WlzWonhI598Eq8Uw==" saltValue="Wnmvnk46NYaWx5wu+rBJv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 X225 X229 X268:X269 X300:X301 X303 X315:X317 X323:X324 X328 X330 X336:X337 X343:X346 X353 X359 X368 X378 X390:X391 X393 X416 X422 X425 X427 X437 X443:X448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8" spans="2:8" x14ac:dyDescent="0.2">
      <c r="B8" s="47" t="s">
        <v>19</v>
      </c>
      <c r="C8" s="47" t="s">
        <v>755</v>
      </c>
      <c r="D8" s="47"/>
      <c r="E8" s="47"/>
    </row>
    <row r="10" spans="2:8" x14ac:dyDescent="0.2">
      <c r="B10" s="47" t="s">
        <v>757</v>
      </c>
      <c r="C10" s="47"/>
      <c r="D10" s="47"/>
      <c r="E10" s="47"/>
    </row>
    <row r="11" spans="2:8" x14ac:dyDescent="0.2">
      <c r="B11" s="47" t="s">
        <v>758</v>
      </c>
      <c r="C11" s="47"/>
      <c r="D11" s="47"/>
      <c r="E11" s="47"/>
    </row>
    <row r="12" spans="2:8" x14ac:dyDescent="0.2">
      <c r="B12" s="47" t="s">
        <v>759</v>
      </c>
      <c r="C12" s="47"/>
      <c r="D12" s="47"/>
      <c r="E12" s="47"/>
    </row>
    <row r="13" spans="2:8" x14ac:dyDescent="0.2">
      <c r="B13" s="47" t="s">
        <v>760</v>
      </c>
      <c r="C13" s="47"/>
      <c r="D13" s="47"/>
      <c r="E13" s="47"/>
    </row>
    <row r="14" spans="2:8" x14ac:dyDescent="0.2">
      <c r="B14" s="47" t="s">
        <v>761</v>
      </c>
      <c r="C14" s="47"/>
      <c r="D14" s="47"/>
      <c r="E14" s="47"/>
    </row>
    <row r="15" spans="2:8" x14ac:dyDescent="0.2">
      <c r="B15" s="47" t="s">
        <v>762</v>
      </c>
      <c r="C15" s="47"/>
      <c r="D15" s="47"/>
      <c r="E15" s="47"/>
    </row>
    <row r="16" spans="2:8" x14ac:dyDescent="0.2">
      <c r="B16" s="47" t="s">
        <v>763</v>
      </c>
      <c r="C16" s="47"/>
      <c r="D16" s="47"/>
      <c r="E16" s="47"/>
    </row>
    <row r="17" spans="2:5" x14ac:dyDescent="0.2">
      <c r="B17" s="47" t="s">
        <v>764</v>
      </c>
      <c r="C17" s="47"/>
      <c r="D17" s="47"/>
      <c r="E17" s="47"/>
    </row>
    <row r="18" spans="2:5" x14ac:dyDescent="0.2">
      <c r="B18" s="47" t="s">
        <v>765</v>
      </c>
      <c r="C18" s="47"/>
      <c r="D18" s="47"/>
      <c r="E18" s="47"/>
    </row>
    <row r="19" spans="2:5" x14ac:dyDescent="0.2">
      <c r="B19" s="47" t="s">
        <v>766</v>
      </c>
      <c r="C19" s="47"/>
      <c r="D19" s="47"/>
      <c r="E19" s="47"/>
    </row>
    <row r="20" spans="2:5" x14ac:dyDescent="0.2">
      <c r="B20" s="47" t="s">
        <v>767</v>
      </c>
      <c r="C20" s="47"/>
      <c r="D20" s="47"/>
      <c r="E20" s="47"/>
    </row>
  </sheetData>
  <sheetProtection algorithmName="SHA-512" hashValue="azErrruThnKi9MBSP1tEWpekZtGpMy/TgHw83xJ2dsSj3JDjDDnrwQwI5V3TKpDP1wne8o44AkNHpWFLEX/p/w==" saltValue="qMjQXqD6wIBivtLjv3Le7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2025-10-29T09:17:14Z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