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8FDC256-2D6F-4EEB-9239-40DCF2C215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Z150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73" i="1" l="1"/>
  <c r="Z398" i="1"/>
  <c r="Z311" i="1"/>
  <c r="Z246" i="1"/>
  <c r="Z70" i="1"/>
  <c r="Z32" i="1"/>
  <c r="Y505" i="1"/>
  <c r="Y502" i="1"/>
  <c r="Z118" i="1"/>
  <c r="Z97" i="1"/>
  <c r="Y503" i="1"/>
  <c r="Z303" i="1"/>
  <c r="Z293" i="1"/>
  <c r="Z212" i="1"/>
  <c r="Z506" i="1" s="1"/>
  <c r="Y501" i="1"/>
  <c r="Y504" i="1" l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<sst xmlns="http://schemas.openxmlformats.org/spreadsheetml/2006/main" count="2208" uniqueCount="790">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</sst>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45914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Воскресенье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 t="s">
        <v>19</v>
      </c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20</v>
      </c>
      <c r="Q8" s="679">
        <v>0.375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0"/>
      <c r="R11" s="671"/>
      <c r="U11" s="24" t="s">
        <v>27</v>
      </c>
      <c r="V11" s="812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7" t="s">
        <v>38</v>
      </c>
      <c r="D17" s="597" t="s">
        <v>39</v>
      </c>
      <c r="E17" s="651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0"/>
      <c r="R17" s="650"/>
      <c r="S17" s="650"/>
      <c r="T17" s="651"/>
      <c r="U17" s="877" t="s">
        <v>51</v>
      </c>
      <c r="V17" s="595"/>
      <c r="W17" s="597" t="s">
        <v>52</v>
      </c>
      <c r="X17" s="597" t="s">
        <v>53</v>
      </c>
      <c r="Y17" s="875" t="s">
        <v>54</v>
      </c>
      <c r="Z17" s="787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40"/>
      <c r="AF17" s="841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63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101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69</v>
      </c>
      <c r="X43" s="549">
        <v>240</v>
      </c>
      <c r="Y43" s="550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69.259259259259267</v>
      </c>
      <c r="Y44" s="551">
        <f>IFERROR(Y41/H41,"0")+IFERROR(Y42/H42,"0")+IFERROR(Y43/H43,"0")</f>
        <v>70</v>
      </c>
      <c r="Z44" s="551">
        <f>IFERROR(IF(Z41="",0,Z41),"0")+IFERROR(IF(Z42="",0,Z42),"0")+IFERROR(IF(Z43="",0,Z43),"0")</f>
        <v>0.73099999999999998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340</v>
      </c>
      <c r="Y45" s="551">
        <f>IFERROR(SUM(Y41:Y43),"0")</f>
        <v>348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150</v>
      </c>
      <c r="Y53" s="55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585</v>
      </c>
      <c r="Y57" s="550">
        <f t="shared" si="6"/>
        <v>585</v>
      </c>
      <c r="Z57" s="36">
        <f>IFERROR(IF(Y57=0,"",ROUNDUP(Y57/H57,0)*0.00902),"")</f>
        <v>1.1726000000000001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612.29999999999995</v>
      </c>
      <c r="BN57" s="64">
        <f t="shared" si="8"/>
        <v>612.29999999999995</v>
      </c>
      <c r="BO57" s="64">
        <f t="shared" si="9"/>
        <v>0.98484848484848486</v>
      </c>
      <c r="BP57" s="64">
        <f t="shared" si="10"/>
        <v>0.98484848484848486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143.88888888888889</v>
      </c>
      <c r="Y58" s="551">
        <f>IFERROR(Y52/H52,"0")+IFERROR(Y53/H53,"0")+IFERROR(Y54/H54,"0")+IFERROR(Y55/H55,"0")+IFERROR(Y56/H56,"0")+IFERROR(Y57/H57,"0")</f>
        <v>144</v>
      </c>
      <c r="Z58" s="551">
        <f>IFERROR(IF(Z52="",0,Z52),"0")+IFERROR(IF(Z53="",0,Z53),"0")+IFERROR(IF(Z54="",0,Z54),"0")+IFERROR(IF(Z55="",0,Z55),"0")+IFERROR(IF(Z56="",0,Z56),"0")+IFERROR(IF(Z57="",0,Z57),"0")</f>
        <v>1.43832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735</v>
      </c>
      <c r="Y59" s="551">
        <f>IFERROR(SUM(Y52:Y57),"0")</f>
        <v>736.2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90</v>
      </c>
      <c r="Y63" s="550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1">
        <f>IFERROR(X61/H61,"0")+IFERROR(X62/H62,"0")+IFERROR(X63/H63,"0")</f>
        <v>37.962962962962962</v>
      </c>
      <c r="Y64" s="551">
        <f>IFERROR(Y61/H61,"0")+IFERROR(Y62/H62,"0")+IFERROR(Y63/H63,"0")</f>
        <v>39</v>
      </c>
      <c r="Z64" s="551">
        <f>IFERROR(IF(Z61="",0,Z61),"0")+IFERROR(IF(Z62="",0,Z62),"0")+IFERROR(IF(Z63="",0,Z63),"0")</f>
        <v>0.31624000000000002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1">
        <f>IFERROR(SUM(X61:X63),"0")</f>
        <v>140</v>
      </c>
      <c r="Y65" s="551">
        <f>IFERROR(SUM(Y61:Y63),"0")</f>
        <v>145.80000000000001</v>
      </c>
      <c r="Z65" s="37"/>
      <c r="AA65" s="552"/>
      <c r="AB65" s="552"/>
      <c r="AC65" s="552"/>
    </row>
    <row r="66" spans="1:68" ht="14.25" customHeight="1" x14ac:dyDescent="0.25">
      <c r="A66" s="562" t="s">
        <v>64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73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167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170</v>
      </c>
      <c r="Y81" s="550">
        <f>IFERROR(IF(X81="",0,CEILING((X81/$H81),1)*$H81),"")</f>
        <v>171.6</v>
      </c>
      <c r="Z81" s="36">
        <f>IFERROR(IF(Y81=0,"",ROUNDUP(Y81/H81,0)*0.01898),"")</f>
        <v>0.41755999999999999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179.4807692307692</v>
      </c>
      <c r="BN81" s="64">
        <f>IFERROR(Y81*I81/H81,"0")</f>
        <v>181.16999999999996</v>
      </c>
      <c r="BO81" s="64">
        <f>IFERROR(1/J81*(X81/H81),"0")</f>
        <v>0.34054487179487181</v>
      </c>
      <c r="BP81" s="64">
        <f>IFERROR(1/J81*(Y81/H81),"0")</f>
        <v>0.34375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1">
        <f>IFERROR(X81/H81,"0")+IFERROR(X82/H82,"0")</f>
        <v>21.794871794871796</v>
      </c>
      <c r="Y83" s="551">
        <f>IFERROR(Y81/H81,"0")+IFERROR(Y82/H82,"0")</f>
        <v>22</v>
      </c>
      <c r="Z83" s="551">
        <f>IFERROR(IF(Z81="",0,Z81),"0")+IFERROR(IF(Z82="",0,Z82),"0")</f>
        <v>0.41755999999999999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1">
        <f>IFERROR(SUM(X81:X82),"0")</f>
        <v>170</v>
      </c>
      <c r="Y84" s="551">
        <f>IFERROR(SUM(Y81:Y82),"0")</f>
        <v>171.6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103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450</v>
      </c>
      <c r="Y89" s="550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1">
        <f>IFERROR(X87/H87,"0")+IFERROR(X88/H88,"0")+IFERROR(X89/H89,"0")</f>
        <v>118.51851851851852</v>
      </c>
      <c r="Y90" s="551">
        <f>IFERROR(Y87/H87,"0")+IFERROR(Y88/H88,"0")+IFERROR(Y89/H89,"0")</f>
        <v>119</v>
      </c>
      <c r="Z90" s="551">
        <f>IFERROR(IF(Z87="",0,Z87),"0")+IFERROR(IF(Z88="",0,Z88),"0")+IFERROR(IF(Z89="",0,Z89),"0")</f>
        <v>1.2626200000000001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1">
        <f>IFERROR(SUM(X87:X89),"0")</f>
        <v>650</v>
      </c>
      <c r="Y91" s="551">
        <f>IFERROR(SUM(Y87:Y89),"0")</f>
        <v>655.20000000000005</v>
      </c>
      <c r="Z91" s="37"/>
      <c r="AA91" s="552"/>
      <c r="AB91" s="552"/>
      <c r="AC91" s="552"/>
    </row>
    <row r="92" spans="1:68" ht="14.25" customHeight="1" x14ac:dyDescent="0.25">
      <c r="A92" s="562" t="s">
        <v>73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9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200</v>
      </c>
      <c r="Y93" s="550">
        <f>IFERROR(IF(X93="",0,CEILING((X93/$H93),1)*$H93),"")</f>
        <v>202.5</v>
      </c>
      <c r="Z93" s="36">
        <f>IFERROR(IF(Y93=0,"",ROUNDUP(Y93/H93,0)*0.01898),"")</f>
        <v>0.47450000000000003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212.81481481481481</v>
      </c>
      <c r="BN93" s="64">
        <f>IFERROR(Y93*I93/H93,"0")</f>
        <v>215.47499999999999</v>
      </c>
      <c r="BO93" s="64">
        <f>IFERROR(1/J93*(X93/H93),"0")</f>
        <v>0.38580246913580246</v>
      </c>
      <c r="BP93" s="64">
        <f>IFERROR(1/J93*(Y93/H93),"0")</f>
        <v>0.390625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450</v>
      </c>
      <c r="Y95" s="550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customHeight="1" x14ac:dyDescent="0.25">
      <c r="A96" s="54" t="s">
        <v>191</v>
      </c>
      <c r="B96" s="54" t="s">
        <v>192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1">
        <f>IFERROR(X93/H93,"0")+IFERROR(X94/H94,"0")+IFERROR(X95/H95,"0")+IFERROR(X96/H96,"0")</f>
        <v>191.35802469135803</v>
      </c>
      <c r="Y97" s="551">
        <f>IFERROR(Y93/H93,"0")+IFERROR(Y94/H94,"0")+IFERROR(Y95/H95,"0")+IFERROR(Y96/H96,"0")</f>
        <v>192</v>
      </c>
      <c r="Z97" s="551">
        <f>IFERROR(IF(Z93="",0,Z93),"0")+IFERROR(IF(Z94="",0,Z94),"0")+IFERROR(IF(Z95="",0,Z95),"0")+IFERROR(IF(Z96="",0,Z96),"0")</f>
        <v>1.5616699999999999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1">
        <f>IFERROR(SUM(X93:X96),"0")</f>
        <v>650</v>
      </c>
      <c r="Y98" s="551">
        <f>IFERROR(SUM(Y93:Y96),"0")</f>
        <v>653.40000000000009</v>
      </c>
      <c r="Z98" s="37"/>
      <c r="AA98" s="552"/>
      <c r="AB98" s="552"/>
      <c r="AC98" s="552"/>
    </row>
    <row r="99" spans="1:68" ht="16.5" customHeight="1" x14ac:dyDescent="0.25">
      <c r="A99" s="577" t="s">
        <v>194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103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69</v>
      </c>
      <c r="X101" s="549">
        <v>50</v>
      </c>
      <c r="Y101" s="550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52.013888888888886</v>
      </c>
      <c r="BN101" s="64">
        <f>IFERROR(Y101*I101/H101,"0")</f>
        <v>56.17499999999999</v>
      </c>
      <c r="BO101" s="64">
        <f>IFERROR(1/J101*(X101/H101),"0")</f>
        <v>7.2337962962962965E-2</v>
      </c>
      <c r="BP101" s="64">
        <f>IFERROR(1/J101*(Y101/H101),"0")</f>
        <v>7.8125E-2</v>
      </c>
    </row>
    <row r="102" spans="1:68" ht="27" customHeight="1" x14ac:dyDescent="0.25">
      <c r="A102" s="54" t="s">
        <v>198</v>
      </c>
      <c r="B102" s="54" t="s">
        <v>199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405</v>
      </c>
      <c r="Y103" s="550">
        <f>IFERROR(IF(X103="",0,CEILING((X103/$H103),1)*$H103),"")</f>
        <v>405</v>
      </c>
      <c r="Z103" s="36">
        <f>IFERROR(IF(Y103=0,"",ROUNDUP(Y103/H103,0)*0.00902),"")</f>
        <v>0.81180000000000008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423.9</v>
      </c>
      <c r="BN103" s="64">
        <f>IFERROR(Y103*I103/H103,"0")</f>
        <v>423.9</v>
      </c>
      <c r="BO103" s="64">
        <f>IFERROR(1/J103*(X103/H103),"0")</f>
        <v>0.68181818181818188</v>
      </c>
      <c r="BP103" s="64">
        <f>IFERROR(1/J103*(Y103/H103),"0")</f>
        <v>0.68181818181818188</v>
      </c>
    </row>
    <row r="104" spans="1:68" ht="27" customHeight="1" x14ac:dyDescent="0.25">
      <c r="A104" s="54" t="s">
        <v>202</v>
      </c>
      <c r="B104" s="54" t="s">
        <v>203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1">
        <f>IFERROR(X101/H101,"0")+IFERROR(X102/H102,"0")+IFERROR(X103/H103,"0")+IFERROR(X104/H104,"0")</f>
        <v>94.629629629629633</v>
      </c>
      <c r="Y105" s="551">
        <f>IFERROR(Y101/H101,"0")+IFERROR(Y102/H102,"0")+IFERROR(Y103/H103,"0")+IFERROR(Y104/H104,"0")</f>
        <v>95</v>
      </c>
      <c r="Z105" s="551">
        <f>IFERROR(IF(Z101="",0,Z101),"0")+IFERROR(IF(Z102="",0,Z102),"0")+IFERROR(IF(Z103="",0,Z103),"0")+IFERROR(IF(Z104="",0,Z104),"0")</f>
        <v>0.90670000000000006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1">
        <f>IFERROR(SUM(X101:X104),"0")</f>
        <v>455</v>
      </c>
      <c r="Y106" s="551">
        <f>IFERROR(SUM(Y101:Y104),"0")</f>
        <v>459</v>
      </c>
      <c r="Z106" s="37"/>
      <c r="AA106" s="552"/>
      <c r="AB106" s="552"/>
      <c r="AC106" s="552"/>
    </row>
    <row r="107" spans="1:68" ht="14.25" customHeight="1" x14ac:dyDescent="0.25">
      <c r="A107" s="562" t="s">
        <v>137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204</v>
      </c>
      <c r="B108" s="54" t="s">
        <v>205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73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9">
        <v>700</v>
      </c>
      <c r="Y114" s="550">
        <f>IFERROR(IF(X114="",0,CEILING((X114/$H114),1)*$H114),"")</f>
        <v>704.69999999999993</v>
      </c>
      <c r="Z114" s="36">
        <f>IFERROR(IF(Y114=0,"",ROUNDUP(Y114/H114,0)*0.01898),"")</f>
        <v>1.65126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744.33333333333326</v>
      </c>
      <c r="BN114" s="64">
        <f>IFERROR(Y114*I114/H114,"0")</f>
        <v>749.33100000000002</v>
      </c>
      <c r="BO114" s="64">
        <f>IFERROR(1/J114*(X114/H114),"0")</f>
        <v>1.3503086419753088</v>
      </c>
      <c r="BP114" s="64">
        <f>IFERROR(1/J114*(Y114/H114),"0")</f>
        <v>1.359375</v>
      </c>
    </row>
    <row r="115" spans="1:68" ht="27" customHeight="1" x14ac:dyDescent="0.25">
      <c r="A115" s="54" t="s">
        <v>214</v>
      </c>
      <c r="B115" s="54" t="s">
        <v>215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48</v>
      </c>
      <c r="Y117" s="550">
        <f>IFERROR(IF(X117="",0,CEILING((X117/$H117),1)*$H117),"")</f>
        <v>48.6</v>
      </c>
      <c r="Z117" s="36">
        <f>IFERROR(IF(Y117=0,"",ROUNDUP(Y117/H117,0)*0.00651),"")</f>
        <v>0.17577000000000001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52.8</v>
      </c>
      <c r="BN117" s="64">
        <f>IFERROR(Y117*I117/H117,"0")</f>
        <v>53.46</v>
      </c>
      <c r="BO117" s="64">
        <f>IFERROR(1/J117*(X117/H117),"0")</f>
        <v>0.14652014652014653</v>
      </c>
      <c r="BP117" s="64">
        <f>IFERROR(1/J117*(Y117/H117),"0")</f>
        <v>0.14835164835164835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1">
        <f>IFERROR(X114/H114,"0")+IFERROR(X115/H115,"0")+IFERROR(X116/H116,"0")+IFERROR(X117/H117,"0")</f>
        <v>279.75308641975312</v>
      </c>
      <c r="Y118" s="551">
        <f>IFERROR(Y114/H114,"0")+IFERROR(Y115/H115,"0")+IFERROR(Y116/H116,"0")+IFERROR(Y117/H117,"0")</f>
        <v>281</v>
      </c>
      <c r="Z118" s="551">
        <f>IFERROR(IF(Z114="",0,Z114),"0")+IFERROR(IF(Z115="",0,Z115),"0")+IFERROR(IF(Z116="",0,Z116),"0")+IFERROR(IF(Z117="",0,Z117),"0")</f>
        <v>2.9142000000000001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1">
        <f>IFERROR(SUM(X114:X117),"0")</f>
        <v>1198</v>
      </c>
      <c r="Y119" s="551">
        <f>IFERROR(SUM(Y114:Y117),"0")</f>
        <v>1204.1999999999998</v>
      </c>
      <c r="Z119" s="37"/>
      <c r="AA119" s="552"/>
      <c r="AB119" s="552"/>
      <c r="AC119" s="552"/>
    </row>
    <row r="120" spans="1:68" ht="14.25" customHeight="1" x14ac:dyDescent="0.25">
      <c r="A120" s="562" t="s">
        <v>167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221</v>
      </c>
      <c r="B121" s="54" t="s">
        <v>222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29.7</v>
      </c>
      <c r="Y122" s="550">
        <f>IFERROR(IF(X122="",0,CEILING((X122/$H122),1)*$H122),"")</f>
        <v>29.7</v>
      </c>
      <c r="Z122" s="36">
        <f>IFERROR(IF(Y122=0,"",ROUNDUP(Y122/H122,0)*0.00651),"")</f>
        <v>9.7650000000000001E-2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33.57</v>
      </c>
      <c r="BN122" s="64">
        <f>IFERROR(Y122*I122/H122,"0")</f>
        <v>33.57</v>
      </c>
      <c r="BO122" s="64">
        <f>IFERROR(1/J122*(X122/H122),"0")</f>
        <v>8.241758241758243E-2</v>
      </c>
      <c r="BP122" s="64">
        <f>IFERROR(1/J122*(Y122/H122),"0")</f>
        <v>8.241758241758243E-2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1">
        <f>IFERROR(X121/H121,"0")+IFERROR(X122/H122,"0")</f>
        <v>15</v>
      </c>
      <c r="Y123" s="551">
        <f>IFERROR(Y121/H121,"0")+IFERROR(Y122/H122,"0")</f>
        <v>15</v>
      </c>
      <c r="Z123" s="551">
        <f>IFERROR(IF(Z121="",0,Z121),"0")+IFERROR(IF(Z122="",0,Z122),"0")</f>
        <v>9.7650000000000001E-2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1">
        <f>IFERROR(SUM(X121:X122),"0")</f>
        <v>29.7</v>
      </c>
      <c r="Y124" s="551">
        <f>IFERROR(SUM(Y121:Y122),"0")</f>
        <v>29.7</v>
      </c>
      <c r="Z124" s="37"/>
      <c r="AA124" s="552"/>
      <c r="AB124" s="552"/>
      <c r="AC124" s="552"/>
    </row>
    <row r="125" spans="1:68" ht="16.5" customHeight="1" x14ac:dyDescent="0.25">
      <c r="A125" s="577" t="s">
        <v>227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103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69</v>
      </c>
      <c r="X127" s="549">
        <v>64</v>
      </c>
      <c r="Y127" s="550">
        <f>IFERROR(IF(X127="",0,CEILING((X127/$H127),1)*$H127),"")</f>
        <v>64</v>
      </c>
      <c r="Z127" s="36">
        <f>IFERROR(IF(Y127=0,"",ROUNDUP(Y127/H127,0)*0.00651),"")</f>
        <v>0.13020000000000001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67.599999999999994</v>
      </c>
      <c r="BN127" s="64">
        <f>IFERROR(Y127*I127/H127,"0")</f>
        <v>67.599999999999994</v>
      </c>
      <c r="BO127" s="64">
        <f>IFERROR(1/J127*(X127/H127),"0")</f>
        <v>0.1098901098901099</v>
      </c>
      <c r="BP127" s="64">
        <f>IFERROR(1/J127*(Y127/H127),"0")</f>
        <v>0.1098901098901099</v>
      </c>
    </row>
    <row r="128" spans="1:68" ht="27" customHeight="1" x14ac:dyDescent="0.25">
      <c r="A128" s="54" t="s">
        <v>228</v>
      </c>
      <c r="B128" s="54" t="s">
        <v>231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1">
        <f>IFERROR(X127/H127,"0")+IFERROR(X128/H128,"0")</f>
        <v>20</v>
      </c>
      <c r="Y129" s="551">
        <f>IFERROR(Y127/H127,"0")+IFERROR(Y128/H128,"0")</f>
        <v>20</v>
      </c>
      <c r="Z129" s="551">
        <f>IFERROR(IF(Z127="",0,Z127),"0")+IFERROR(IF(Z128="",0,Z128),"0")</f>
        <v>0.13020000000000001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1">
        <f>IFERROR(SUM(X127:X128),"0")</f>
        <v>64</v>
      </c>
      <c r="Y130" s="551">
        <f>IFERROR(SUM(Y127:Y128),"0")</f>
        <v>64</v>
      </c>
      <c r="Z130" s="37"/>
      <c r="AA130" s="552"/>
      <c r="AB130" s="552"/>
      <c r="AC130" s="552"/>
    </row>
    <row r="131" spans="1:68" ht="14.25" customHeight="1" x14ac:dyDescent="0.25">
      <c r="A131" s="562" t="s">
        <v>64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232</v>
      </c>
      <c r="B132" s="54" t="s">
        <v>233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56</v>
      </c>
      <c r="Y133" s="550">
        <f>IFERROR(IF(X133="",0,CEILING((X133/$H133),1)*$H133),"")</f>
        <v>56</v>
      </c>
      <c r="Z133" s="36">
        <f>IFERROR(IF(Y133=0,"",ROUNDUP(Y133/H133,0)*0.00651),"")</f>
        <v>0.13020000000000001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61.36</v>
      </c>
      <c r="BN133" s="64">
        <f>IFERROR(Y133*I133/H133,"0")</f>
        <v>61.36</v>
      </c>
      <c r="BO133" s="64">
        <f>IFERROR(1/J133*(X133/H133),"0")</f>
        <v>0.1098901098901099</v>
      </c>
      <c r="BP133" s="64">
        <f>IFERROR(1/J133*(Y133/H133),"0")</f>
        <v>0.1098901098901099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1">
        <f>IFERROR(X132/H132,"0")+IFERROR(X133/H133,"0")</f>
        <v>20</v>
      </c>
      <c r="Y134" s="551">
        <f>IFERROR(Y132/H132,"0")+IFERROR(Y133/H133,"0")</f>
        <v>20</v>
      </c>
      <c r="Z134" s="551">
        <f>IFERROR(IF(Z132="",0,Z132),"0")+IFERROR(IF(Z133="",0,Z133),"0")</f>
        <v>0.13020000000000001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1">
        <f>IFERROR(SUM(X132:X133),"0")</f>
        <v>56</v>
      </c>
      <c r="Y135" s="551">
        <f>IFERROR(SUM(Y132:Y133),"0")</f>
        <v>56</v>
      </c>
      <c r="Z135" s="37"/>
      <c r="AA135" s="552"/>
      <c r="AB135" s="552"/>
      <c r="AC135" s="552"/>
    </row>
    <row r="136" spans="1:68" ht="14.25" customHeight="1" x14ac:dyDescent="0.25">
      <c r="A136" s="562" t="s">
        <v>73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236</v>
      </c>
      <c r="B137" s="54" t="s">
        <v>237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82.5</v>
      </c>
      <c r="Y138" s="550">
        <f>IFERROR(IF(X138="",0,CEILING((X138/$H138),1)*$H138),"")</f>
        <v>84.48</v>
      </c>
      <c r="Z138" s="36">
        <f>IFERROR(IF(Y138=0,"",ROUNDUP(Y138/H138,0)*0.00651),"")</f>
        <v>0.20832000000000001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90.875</v>
      </c>
      <c r="BN138" s="64">
        <f>IFERROR(Y138*I138/H138,"0")</f>
        <v>93.055999999999997</v>
      </c>
      <c r="BO138" s="64">
        <f>IFERROR(1/J138*(X138/H138),"0")</f>
        <v>0.1717032967032967</v>
      </c>
      <c r="BP138" s="64">
        <f>IFERROR(1/J138*(Y138/H138),"0")</f>
        <v>0.17582417582417584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1">
        <f>IFERROR(X137/H137,"0")+IFERROR(X138/H138,"0")</f>
        <v>31.25</v>
      </c>
      <c r="Y139" s="551">
        <f>IFERROR(Y137/H137,"0")+IFERROR(Y138/H138,"0")</f>
        <v>32</v>
      </c>
      <c r="Z139" s="551">
        <f>IFERROR(IF(Z137="",0,Z137),"0")+IFERROR(IF(Z138="",0,Z138),"0")</f>
        <v>0.20832000000000001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1">
        <f>IFERROR(SUM(X137:X138),"0")</f>
        <v>82.5</v>
      </c>
      <c r="Y140" s="551">
        <f>IFERROR(SUM(Y137:Y138),"0")</f>
        <v>84.48</v>
      </c>
      <c r="Z140" s="37"/>
      <c r="AA140" s="552"/>
      <c r="AB140" s="552"/>
      <c r="AC140" s="552"/>
    </row>
    <row r="141" spans="1:68" ht="16.5" customHeight="1" x14ac:dyDescent="0.25">
      <c r="A141" s="577" t="s">
        <v>101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103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239</v>
      </c>
      <c r="B143" s="54" t="s">
        <v>240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64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242</v>
      </c>
      <c r="B147" s="54" t="s">
        <v>243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245</v>
      </c>
      <c r="B148" s="54" t="s">
        <v>246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248</v>
      </c>
      <c r="B149" s="54" t="s">
        <v>249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251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252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137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253</v>
      </c>
      <c r="B155" s="54" t="s">
        <v>254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64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256</v>
      </c>
      <c r="B159" s="54" t="s">
        <v>257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69</v>
      </c>
      <c r="X159" s="549">
        <v>100</v>
      </c>
      <c r="Y159" s="550">
        <f t="shared" ref="Y159:Y167" si="11">IFERROR(IF(X159="",0,CEILING((X159/$H159),1)*$H159),"")</f>
        <v>100.80000000000001</v>
      </c>
      <c r="Z159" s="36">
        <f>IFERROR(IF(Y159=0,"",ROUNDUP(Y159/H159,0)*0.00902),"")</f>
        <v>0.21648000000000001</v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106.42857142857143</v>
      </c>
      <c r="BN159" s="64">
        <f t="shared" ref="BN159:BN167" si="13">IFERROR(Y159*I159/H159,"0")</f>
        <v>107.28</v>
      </c>
      <c r="BO159" s="64">
        <f t="shared" ref="BO159:BO167" si="14">IFERROR(1/J159*(X159/H159),"0")</f>
        <v>0.18037518037518038</v>
      </c>
      <c r="BP159" s="64">
        <f t="shared" ref="BP159:BP167" si="15">IFERROR(1/J159*(Y159/H159),"0")</f>
        <v>0.18181818181818182</v>
      </c>
    </row>
    <row r="160" spans="1:68" ht="27" customHeight="1" x14ac:dyDescent="0.25">
      <c r="A160" s="54" t="s">
        <v>259</v>
      </c>
      <c r="B160" s="54" t="s">
        <v>260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50</v>
      </c>
      <c r="Y160" s="550">
        <f t="shared" si="11"/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53.214285714285715</v>
      </c>
      <c r="BN160" s="64">
        <f t="shared" si="13"/>
        <v>53.64</v>
      </c>
      <c r="BO160" s="64">
        <f t="shared" si="14"/>
        <v>9.0187590187590191E-2</v>
      </c>
      <c r="BP160" s="64">
        <f t="shared" si="15"/>
        <v>9.0909090909090912E-2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170</v>
      </c>
      <c r="Y161" s="550">
        <f t="shared" si="11"/>
        <v>172.20000000000002</v>
      </c>
      <c r="Z161" s="36">
        <f>IFERROR(IF(Y161=0,"",ROUNDUP(Y161/H161,0)*0.00902),"")</f>
        <v>0.36982000000000004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178.5</v>
      </c>
      <c r="BN161" s="64">
        <f t="shared" si="13"/>
        <v>180.81</v>
      </c>
      <c r="BO161" s="64">
        <f t="shared" si="14"/>
        <v>0.30663780663780665</v>
      </c>
      <c r="BP161" s="64">
        <f t="shared" si="15"/>
        <v>0.31060606060606061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105</v>
      </c>
      <c r="Y162" s="550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245</v>
      </c>
      <c r="Y165" s="550">
        <f t="shared" si="11"/>
        <v>245.70000000000002</v>
      </c>
      <c r="Z165" s="36">
        <f>IFERROR(IF(Y165=0,"",ROUNDUP(Y165/H165,0)*0.00502),"")</f>
        <v>0.58733999999999997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256.66666666666663</v>
      </c>
      <c r="BN165" s="64">
        <f t="shared" si="13"/>
        <v>257.40000000000003</v>
      </c>
      <c r="BO165" s="64">
        <f t="shared" si="14"/>
        <v>0.4985754985754986</v>
      </c>
      <c r="BP165" s="64">
        <f t="shared" si="15"/>
        <v>0.5</v>
      </c>
    </row>
    <row r="166" spans="1:68" ht="27" customHeight="1" x14ac:dyDescent="0.25">
      <c r="A166" s="54" t="s">
        <v>274</v>
      </c>
      <c r="B166" s="54" t="s">
        <v>275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301.19047619047615</v>
      </c>
      <c r="Y168" s="551">
        <f>IFERROR(Y159/H159,"0")+IFERROR(Y160/H160,"0")+IFERROR(Y161/H161,"0")+IFERROR(Y162/H162,"0")+IFERROR(Y163/H163,"0")+IFERROR(Y164/H164,"0")+IFERROR(Y165/H165,"0")+IFERROR(Y166/H166,"0")+IFERROR(Y167/H167,"0")</f>
        <v>303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1.8290599999999999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1">
        <f>IFERROR(SUM(X159:X167),"0")</f>
        <v>792.5</v>
      </c>
      <c r="Y169" s="551">
        <f>IFERROR(SUM(Y159:Y167),"0")</f>
        <v>798.00000000000011</v>
      </c>
      <c r="Z169" s="37"/>
      <c r="AA169" s="552"/>
      <c r="AB169" s="552"/>
      <c r="AC169" s="552"/>
    </row>
    <row r="170" spans="1:68" ht="14.25" customHeight="1" x14ac:dyDescent="0.25">
      <c r="A170" s="562" t="s">
        <v>95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279</v>
      </c>
      <c r="B171" s="54" t="s">
        <v>280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7.0000000000000009</v>
      </c>
      <c r="Y173" s="550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1">
        <f>IFERROR(X171/H171,"0")+IFERROR(X172/H172,"0")+IFERROR(X173/H173,"0")</f>
        <v>5.5555555555555562</v>
      </c>
      <c r="Y174" s="551">
        <f>IFERROR(Y171/H171,"0")+IFERROR(Y172/H172,"0")+IFERROR(Y173/H173,"0")</f>
        <v>6</v>
      </c>
      <c r="Z174" s="551">
        <f>IFERROR(IF(Z171="",0,Z171),"0")+IFERROR(IF(Z172="",0,Z172),"0")+IFERROR(IF(Z173="",0,Z173),"0")</f>
        <v>3.5400000000000001E-2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1">
        <f>IFERROR(SUM(X171:X173),"0")</f>
        <v>7.0000000000000009</v>
      </c>
      <c r="Y175" s="551">
        <f>IFERROR(SUM(Y171:Y173),"0")</f>
        <v>7.5600000000000005</v>
      </c>
      <c r="Z175" s="37"/>
      <c r="AA175" s="552"/>
      <c r="AB175" s="552"/>
      <c r="AC175" s="552"/>
    </row>
    <row r="176" spans="1:68" ht="14.25" customHeight="1" x14ac:dyDescent="0.25">
      <c r="A176" s="562" t="s">
        <v>289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290</v>
      </c>
      <c r="B177" s="54" t="s">
        <v>291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292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103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293</v>
      </c>
      <c r="B182" s="54" t="s">
        <v>294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296</v>
      </c>
      <c r="B183" s="54" t="s">
        <v>297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137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298</v>
      </c>
      <c r="B187" s="54" t="s">
        <v>299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301</v>
      </c>
      <c r="B188" s="54" t="s">
        <v>302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64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9">
        <v>110</v>
      </c>
      <c r="Y192" s="550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60</v>
      </c>
      <c r="Y193" s="550">
        <f t="shared" si="16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62.333333333333336</v>
      </c>
      <c r="BN193" s="64">
        <f t="shared" si="18"/>
        <v>67.320000000000007</v>
      </c>
      <c r="BO193" s="64">
        <f t="shared" si="19"/>
        <v>8.4175084175084181E-2</v>
      </c>
      <c r="BP193" s="64">
        <f t="shared" si="20"/>
        <v>9.0909090909090925E-2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300</v>
      </c>
      <c r="Y194" s="550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40</v>
      </c>
      <c r="Y195" s="550">
        <f t="shared" si="16"/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41.555555555555557</v>
      </c>
      <c r="BN195" s="64">
        <f t="shared" si="18"/>
        <v>44.88</v>
      </c>
      <c r="BO195" s="64">
        <f t="shared" si="19"/>
        <v>5.6116722783389444E-2</v>
      </c>
      <c r="BP195" s="64">
        <f t="shared" si="20"/>
        <v>6.0606060606060608E-2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75</v>
      </c>
      <c r="Y196" s="550">
        <f t="shared" si="16"/>
        <v>75.600000000000009</v>
      </c>
      <c r="Z196" s="36">
        <f>IFERROR(IF(Y196=0,"",ROUNDUP(Y196/H196,0)*0.00502),"")</f>
        <v>0.21084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80.416666666666671</v>
      </c>
      <c r="BN196" s="64">
        <f t="shared" si="18"/>
        <v>81.06</v>
      </c>
      <c r="BO196" s="64">
        <f t="shared" si="19"/>
        <v>0.17806267806267806</v>
      </c>
      <c r="BP196" s="64">
        <f t="shared" si="20"/>
        <v>0.17948717948717954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48</v>
      </c>
      <c r="Y197" s="550">
        <f t="shared" si="16"/>
        <v>48.6</v>
      </c>
      <c r="Z197" s="36">
        <f>IFERROR(IF(Y197=0,"",ROUNDUP(Y197/H197,0)*0.00502),"")</f>
        <v>0.13553999999999999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50.666666666666657</v>
      </c>
      <c r="BN197" s="64">
        <f t="shared" si="18"/>
        <v>51.3</v>
      </c>
      <c r="BO197" s="64">
        <f t="shared" si="19"/>
        <v>0.11396011396011396</v>
      </c>
      <c r="BP197" s="64">
        <f t="shared" si="20"/>
        <v>0.11538461538461539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75</v>
      </c>
      <c r="Y198" s="550">
        <f t="shared" si="16"/>
        <v>75.600000000000009</v>
      </c>
      <c r="Z198" s="36">
        <f>IFERROR(IF(Y198=0,"",ROUNDUP(Y198/H198,0)*0.00502),"")</f>
        <v>0.21084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79.166666666666671</v>
      </c>
      <c r="BN198" s="64">
        <f t="shared" si="18"/>
        <v>79.800000000000011</v>
      </c>
      <c r="BO198" s="64">
        <f t="shared" si="19"/>
        <v>0.17806267806267806</v>
      </c>
      <c r="BP198" s="64">
        <f t="shared" si="20"/>
        <v>0.17948717948717954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36</v>
      </c>
      <c r="Y199" s="550">
        <f t="shared" si="16"/>
        <v>36</v>
      </c>
      <c r="Z199" s="36">
        <f>IFERROR(IF(Y199=0,"",ROUNDUP(Y199/H199,0)*0.00502),"")</f>
        <v>0.1004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37.999999999999993</v>
      </c>
      <c r="BN199" s="64">
        <f t="shared" si="18"/>
        <v>37.999999999999993</v>
      </c>
      <c r="BO199" s="64">
        <f t="shared" si="19"/>
        <v>8.5470085470085472E-2</v>
      </c>
      <c r="BP199" s="64">
        <f t="shared" si="20"/>
        <v>8.5470085470085472E-2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224.44444444444443</v>
      </c>
      <c r="Y200" s="551">
        <f>IFERROR(Y192/H192,"0")+IFERROR(Y193/H193,"0")+IFERROR(Y194/H194,"0")+IFERROR(Y195/H195,"0")+IFERROR(Y196/H196,"0")+IFERROR(Y197/H197,"0")+IFERROR(Y198/H198,"0")+IFERROR(Y199/H199,"0")</f>
        <v>228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1.5325599999999999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1">
        <f>IFERROR(SUM(X192:X199),"0")</f>
        <v>744</v>
      </c>
      <c r="Y201" s="551">
        <f>IFERROR(SUM(Y192:Y199),"0")</f>
        <v>759.60000000000014</v>
      </c>
      <c r="Z201" s="37"/>
      <c r="AA201" s="552"/>
      <c r="AB201" s="552"/>
      <c r="AC201" s="552"/>
    </row>
    <row r="202" spans="1:68" ht="14.25" customHeight="1" x14ac:dyDescent="0.25">
      <c r="A202" s="562" t="s">
        <v>73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323</v>
      </c>
      <c r="B203" s="54" t="s">
        <v>324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300</v>
      </c>
      <c r="Y205" s="550">
        <f t="shared" si="21"/>
        <v>304.5</v>
      </c>
      <c r="Z205" s="36">
        <f>IFERROR(IF(Y205=0,"",ROUNDUP(Y205/H205,0)*0.01898),"")</f>
        <v>0.6643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317.89655172413796</v>
      </c>
      <c r="BN205" s="64">
        <f t="shared" si="23"/>
        <v>322.66500000000002</v>
      </c>
      <c r="BO205" s="64">
        <f t="shared" si="24"/>
        <v>0.53879310344827591</v>
      </c>
      <c r="BP205" s="64">
        <f t="shared" si="25"/>
        <v>0.546875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320</v>
      </c>
      <c r="Y206" s="550">
        <f t="shared" si="21"/>
        <v>321.59999999999997</v>
      </c>
      <c r="Z206" s="36">
        <f t="shared" ref="Z206:Z211" si="26">IFERROR(IF(Y206=0,"",ROUNDUP(Y206/H206,0)*0.00651),"")</f>
        <v>0.87234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356</v>
      </c>
      <c r="BN206" s="64">
        <f t="shared" si="23"/>
        <v>357.78</v>
      </c>
      <c r="BO206" s="64">
        <f t="shared" si="24"/>
        <v>0.73260073260073266</v>
      </c>
      <c r="BP206" s="64">
        <f t="shared" si="25"/>
        <v>0.73626373626373631</v>
      </c>
    </row>
    <row r="207" spans="1:68" ht="27" customHeight="1" x14ac:dyDescent="0.25">
      <c r="A207" s="54" t="s">
        <v>334</v>
      </c>
      <c r="B207" s="54" t="s">
        <v>335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400</v>
      </c>
      <c r="Y208" s="550">
        <f t="shared" si="21"/>
        <v>400.8</v>
      </c>
      <c r="Z208" s="36">
        <f t="shared" si="26"/>
        <v>1.08717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442</v>
      </c>
      <c r="BN208" s="64">
        <f t="shared" si="23"/>
        <v>442.88400000000007</v>
      </c>
      <c r="BO208" s="64">
        <f t="shared" si="24"/>
        <v>0.91575091575091594</v>
      </c>
      <c r="BP208" s="64">
        <f t="shared" si="25"/>
        <v>0.91758241758241765</v>
      </c>
    </row>
    <row r="209" spans="1:68" ht="27" customHeight="1" x14ac:dyDescent="0.25">
      <c r="A209" s="54" t="s">
        <v>339</v>
      </c>
      <c r="B209" s="54" t="s">
        <v>340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140</v>
      </c>
      <c r="Y210" s="550">
        <f t="shared" si="21"/>
        <v>141.6</v>
      </c>
      <c r="Z210" s="36">
        <f t="shared" si="26"/>
        <v>0.38408999999999999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320</v>
      </c>
      <c r="Y211" s="550">
        <f t="shared" si="21"/>
        <v>321.59999999999997</v>
      </c>
      <c r="Z211" s="36">
        <f t="shared" si="26"/>
        <v>0.87234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354.4</v>
      </c>
      <c r="BN211" s="64">
        <f t="shared" si="23"/>
        <v>356.17199999999997</v>
      </c>
      <c r="BO211" s="64">
        <f t="shared" si="24"/>
        <v>0.73260073260073266</v>
      </c>
      <c r="BP211" s="64">
        <f t="shared" si="25"/>
        <v>0.73626373626373631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526.14942528735628</v>
      </c>
      <c r="Y212" s="551">
        <f>IFERROR(Y203/H203,"0")+IFERROR(Y204/H204,"0")+IFERROR(Y205/H205,"0")+IFERROR(Y206/H206,"0")+IFERROR(Y207/H207,"0")+IFERROR(Y208/H208,"0")+IFERROR(Y209/H209,"0")+IFERROR(Y210/H210,"0")+IFERROR(Y211/H211,"0")</f>
        <v>529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3.8802399999999997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1">
        <f>IFERROR(SUM(X203:X211),"0")</f>
        <v>1480</v>
      </c>
      <c r="Y213" s="551">
        <f>IFERROR(SUM(Y203:Y211),"0")</f>
        <v>1490.0999999999997</v>
      </c>
      <c r="Z213" s="37"/>
      <c r="AA213" s="552"/>
      <c r="AB213" s="552"/>
      <c r="AC213" s="552"/>
    </row>
    <row r="214" spans="1:68" ht="14.25" customHeight="1" x14ac:dyDescent="0.25">
      <c r="A214" s="562" t="s">
        <v>167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346</v>
      </c>
      <c r="B215" s="54" t="s">
        <v>347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9">
        <v>28</v>
      </c>
      <c r="Y215" s="550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ht="27" customHeight="1" x14ac:dyDescent="0.25">
      <c r="A216" s="54" t="s">
        <v>349</v>
      </c>
      <c r="B216" s="54" t="s">
        <v>350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56</v>
      </c>
      <c r="Y216" s="550">
        <f>IFERROR(IF(X216="",0,CEILING((X216/$H216),1)*$H216),"")</f>
        <v>57.599999999999994</v>
      </c>
      <c r="Z216" s="36">
        <f>IFERROR(IF(Y216=0,"",ROUNDUP(Y216/H216,0)*0.00651),"")</f>
        <v>0.15623999999999999</v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61.88</v>
      </c>
      <c r="BN216" s="64">
        <f>IFERROR(Y216*I216/H216,"0")</f>
        <v>63.648000000000003</v>
      </c>
      <c r="BO216" s="64">
        <f>IFERROR(1/J216*(X216/H216),"0")</f>
        <v>0.12820512820512822</v>
      </c>
      <c r="BP216" s="64">
        <f>IFERROR(1/J216*(Y216/H216),"0")</f>
        <v>0.13186813186813187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1">
        <f>IFERROR(X215/H215,"0")+IFERROR(X216/H216,"0")</f>
        <v>35</v>
      </c>
      <c r="Y217" s="551">
        <f>IFERROR(Y215/H215,"0")+IFERROR(Y216/H216,"0")</f>
        <v>36</v>
      </c>
      <c r="Z217" s="551">
        <f>IFERROR(IF(Z215="",0,Z215),"0")+IFERROR(IF(Z216="",0,Z216),"0")</f>
        <v>0.23435999999999998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1">
        <f>IFERROR(SUM(X215:X216),"0")</f>
        <v>84</v>
      </c>
      <c r="Y218" s="551">
        <f>IFERROR(SUM(Y215:Y216),"0")</f>
        <v>86.399999999999991</v>
      </c>
      <c r="Z218" s="37"/>
      <c r="AA218" s="552"/>
      <c r="AB218" s="552"/>
      <c r="AC218" s="552"/>
    </row>
    <row r="219" spans="1:68" ht="16.5" customHeight="1" x14ac:dyDescent="0.25">
      <c r="A219" s="577" t="s">
        <v>352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103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353</v>
      </c>
      <c r="B221" s="54" t="s">
        <v>354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9">
        <v>20</v>
      </c>
      <c r="Y221" s="550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customHeight="1" x14ac:dyDescent="0.25">
      <c r="A222" s="54" t="s">
        <v>356</v>
      </c>
      <c r="B222" s="54" t="s">
        <v>357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359</v>
      </c>
      <c r="B223" s="54" t="s">
        <v>360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90</v>
      </c>
      <c r="Y223" s="550">
        <f t="shared" si="27"/>
        <v>92.8</v>
      </c>
      <c r="Z223" s="36">
        <f>IFERROR(IF(Y223=0,"",ROUNDUP(Y223/H223,0)*0.01898),"")</f>
        <v>0.15184</v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93.375000000000014</v>
      </c>
      <c r="BN223" s="64">
        <f t="shared" si="29"/>
        <v>96.28</v>
      </c>
      <c r="BO223" s="64">
        <f t="shared" si="30"/>
        <v>0.12122844827586207</v>
      </c>
      <c r="BP223" s="64">
        <f t="shared" si="31"/>
        <v>0.125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12</v>
      </c>
      <c r="Y224" s="550">
        <f t="shared" si="27"/>
        <v>12</v>
      </c>
      <c r="Z224" s="36">
        <f t="shared" ref="Z224:Z229" si="32">IFERROR(IF(Y224=0,"",ROUNDUP(Y224/H224,0)*0.00902),"")</f>
        <v>2.7060000000000001E-2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12.629999999999999</v>
      </c>
      <c r="BN224" s="64">
        <f t="shared" si="29"/>
        <v>12.629999999999999</v>
      </c>
      <c r="BO224" s="64">
        <f t="shared" si="30"/>
        <v>2.2727272727272728E-2</v>
      </c>
      <c r="BP224" s="64">
        <f t="shared" si="31"/>
        <v>2.2727272727272728E-2</v>
      </c>
    </row>
    <row r="225" spans="1:68" ht="27" customHeight="1" x14ac:dyDescent="0.25">
      <c r="A225" s="54" t="s">
        <v>362</v>
      </c>
      <c r="B225" s="54" t="s">
        <v>364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1" t="s">
        <v>365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72</v>
      </c>
      <c r="Y228" s="550">
        <f t="shared" si="27"/>
        <v>72</v>
      </c>
      <c r="Z228" s="36">
        <f t="shared" si="32"/>
        <v>0.16236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75.78</v>
      </c>
      <c r="BN228" s="64">
        <f t="shared" si="29"/>
        <v>75.78</v>
      </c>
      <c r="BO228" s="64">
        <f t="shared" si="30"/>
        <v>0.13636363636363635</v>
      </c>
      <c r="BP228" s="64">
        <f t="shared" si="31"/>
        <v>0.13636363636363635</v>
      </c>
    </row>
    <row r="229" spans="1:68" ht="27" customHeight="1" x14ac:dyDescent="0.25">
      <c r="A229" s="54" t="s">
        <v>371</v>
      </c>
      <c r="B229" s="54" t="s">
        <v>374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">
        <v>375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30.482758620689655</v>
      </c>
      <c r="Y230" s="551">
        <f>IFERROR(Y221/H221,"0")+IFERROR(Y222/H222,"0")+IFERROR(Y223/H223,"0")+IFERROR(Y224/H224,"0")+IFERROR(Y225/H225,"0")+IFERROR(Y226/H226,"0")+IFERROR(Y227/H227,"0")+IFERROR(Y228/H228,"0")+IFERROR(Y229/H229,"0")</f>
        <v>31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0.37922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1">
        <f>IFERROR(SUM(X221:X229),"0")</f>
        <v>194</v>
      </c>
      <c r="Y231" s="551">
        <f>IFERROR(SUM(Y221:Y229),"0")</f>
        <v>200</v>
      </c>
      <c r="Z231" s="37"/>
      <c r="AA231" s="552"/>
      <c r="AB231" s="552"/>
      <c r="AC231" s="552"/>
    </row>
    <row r="232" spans="1:68" ht="14.25" customHeight="1" x14ac:dyDescent="0.25">
      <c r="A232" s="562" t="s">
        <v>137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379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1" t="s">
        <v>382</v>
      </c>
      <c r="Q237" s="554"/>
      <c r="R237" s="554"/>
      <c r="S237" s="554"/>
      <c r="T237" s="555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384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385</v>
      </c>
      <c r="B241" s="54" t="s">
        <v>386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">
        <v>390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7.0000000000000009</v>
      </c>
      <c r="Y242" s="550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5.5</v>
      </c>
      <c r="Y243" s="550">
        <f>IFERROR(IF(X243="",0,CEILING((X243/$H243),1)*$H243),"")</f>
        <v>6.3</v>
      </c>
      <c r="Z243" s="36">
        <f>IFERROR(IF(Y243=0,"",ROUNDUP(Y243/H243,0)*0.0059),"")</f>
        <v>4.1299999999999996E-2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6.6611111111111114</v>
      </c>
      <c r="BN243" s="64">
        <f>IFERROR(Y243*I243/H243,"0")</f>
        <v>7.63</v>
      </c>
      <c r="BO243" s="64">
        <f>IFERROR(1/J243*(X243/H243),"0")</f>
        <v>2.8292181069958844E-2</v>
      </c>
      <c r="BP243" s="64">
        <f>IFERROR(1/J243*(Y243/H243),"0")</f>
        <v>3.2407407407407406E-2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395</v>
      </c>
      <c r="V244" s="34"/>
      <c r="W244" s="35" t="s">
        <v>69</v>
      </c>
      <c r="X244" s="549">
        <v>5.5</v>
      </c>
      <c r="Y244" s="550">
        <f>IFERROR(IF(X244="",0,CEILING((X244/$H244),1)*$H244),"")</f>
        <v>5.9399999999999995</v>
      </c>
      <c r="Z244" s="36">
        <f>IFERROR(IF(Y244=0,"",ROUNDUP(Y244/H244,0)*0.0059),"")</f>
        <v>3.5400000000000001E-2</v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6.5555555555555554</v>
      </c>
      <c r="BN244" s="64">
        <f>IFERROR(Y244*I244/H244,"0")</f>
        <v>7.0799999999999992</v>
      </c>
      <c r="BO244" s="64">
        <f>IFERROR(1/J244*(X244/H244),"0")</f>
        <v>2.5720164609053495E-2</v>
      </c>
      <c r="BP244" s="64">
        <f>IFERROR(1/J244*(Y244/H244),"0")</f>
        <v>2.7777777777777773E-2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IFERROR(X241/H241,"0")+IFERROR(X242/H242,"0")+IFERROR(X243/H243,"0")+IFERROR(X244/H244,"0")+IFERROR(X245/H245,"0")</f>
        <v>15.555555555555555</v>
      </c>
      <c r="Y246" s="551">
        <f>IFERROR(Y241/H241,"0")+IFERROR(Y242/H242,"0")+IFERROR(Y243/H243,"0")+IFERROR(Y244/H244,"0")+IFERROR(Y245/H245,"0")</f>
        <v>17</v>
      </c>
      <c r="Z246" s="551">
        <f>IFERROR(IF(Z241="",0,Z241),"0")+IFERROR(IF(Z242="",0,Z242),"0")+IFERROR(IF(Z243="",0,Z243),"0")+IFERROR(IF(Z244="",0,Z244),"0")+IFERROR(IF(Z245="",0,Z245),"0")</f>
        <v>0.1003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IFERROR(SUM(X241:X245),"0")</f>
        <v>18</v>
      </c>
      <c r="Y247" s="551">
        <f>IFERROR(SUM(Y241:Y245),"0")</f>
        <v>19.439999999999998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9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100</v>
      </c>
      <c r="Y268" s="550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240</v>
      </c>
      <c r="Y269" s="550">
        <f>IFERROR(IF(X269="",0,CEILING((X269/$H269),1)*$H269),"")</f>
        <v>240</v>
      </c>
      <c r="Z269" s="36">
        <f>IFERROR(IF(Y269=0,"",ROUNDUP(Y269/H269,0)*0.00651),"")</f>
        <v>0.65100000000000002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258.00000000000006</v>
      </c>
      <c r="BN269" s="64">
        <f>IFERROR(Y269*I269/H269,"0")</f>
        <v>258.00000000000006</v>
      </c>
      <c r="BO269" s="64">
        <f>IFERROR(1/J269*(X269/H269),"0")</f>
        <v>0.5494505494505495</v>
      </c>
      <c r="BP269" s="64">
        <f>IFERROR(1/J269*(Y269/H269),"0")</f>
        <v>0.5494505494505495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141.66666666666669</v>
      </c>
      <c r="Y270" s="551">
        <f>IFERROR(Y267/H267,"0")+IFERROR(Y268/H268,"0")+IFERROR(Y269/H269,"0")</f>
        <v>142</v>
      </c>
      <c r="Z270" s="551">
        <f>IFERROR(IF(Z267="",0,Z267),"0")+IFERROR(IF(Z268="",0,Z268),"0")+IFERROR(IF(Z269="",0,Z269),"0")</f>
        <v>0.92442000000000002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340</v>
      </c>
      <c r="Y271" s="551">
        <f>IFERROR(SUM(Y267:Y269),"0")</f>
        <v>340.8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33</v>
      </c>
      <c r="Y302" s="550">
        <f t="shared" si="33"/>
        <v>34.200000000000003</v>
      </c>
      <c r="Z302" s="36">
        <f>IFERROR(IF(Y302=0,"",ROUNDUP(Y302/H302,0)*0.00651),"")</f>
        <v>0.12369000000000001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37.18</v>
      </c>
      <c r="BN302" s="64">
        <f t="shared" si="35"/>
        <v>38.532000000000004</v>
      </c>
      <c r="BO302" s="64">
        <f t="shared" si="36"/>
        <v>0.10073260073260074</v>
      </c>
      <c r="BP302" s="64">
        <f t="shared" si="37"/>
        <v>0.1043956043956044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51.666666666666657</v>
      </c>
      <c r="Y303" s="551">
        <f>IFERROR(Y296/H296,"0")+IFERROR(Y297/H297,"0")+IFERROR(Y298/H298,"0")+IFERROR(Y299/H299,"0")+IFERROR(Y300/H300,"0")+IFERROR(Y301/H301,"0")+IFERROR(Y302/H302,"0")</f>
        <v>53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0.29437000000000002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103</v>
      </c>
      <c r="Y304" s="551">
        <f>IFERROR(SUM(Y296:Y302),"0")</f>
        <v>105.60000000000001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167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58.424908424908423</v>
      </c>
      <c r="Y317" s="551">
        <f>IFERROR(Y314/H314,"0")+IFERROR(Y315/H315,"0")+IFERROR(Y316/H316,"0")</f>
        <v>60</v>
      </c>
      <c r="Z317" s="551">
        <f>IFERROR(IF(Z314="",0,Z314),"0")+IFERROR(IF(Z315="",0,Z315),"0")+IFERROR(IF(Z316="",0,Z316),"0")</f>
        <v>1.1388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460</v>
      </c>
      <c r="Y318" s="551">
        <f>IFERROR(SUM(Y314:Y316),"0")</f>
        <v>472.8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5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9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15</v>
      </c>
      <c r="Y329" s="550">
        <f>IFERROR(IF(X329="",0,CEILING((X329/$H329),1)*$H329),"")</f>
        <v>16</v>
      </c>
      <c r="Z329" s="36">
        <f>IFERROR(IF(Y329=0,"",ROUNDUP(Y329/H329,0)*0.00474),"")</f>
        <v>3.7920000000000002E-2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16.8</v>
      </c>
      <c r="BN329" s="64">
        <f>IFERROR(Y329*I329/H329,"0")</f>
        <v>17.920000000000002</v>
      </c>
      <c r="BO329" s="64">
        <f>IFERROR(1/J329*(X329/H329),"0")</f>
        <v>3.1512605042016806E-2</v>
      </c>
      <c r="BP329" s="64">
        <f>IFERROR(1/J329*(Y329/H329),"0")</f>
        <v>3.3613445378151259E-2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7.5</v>
      </c>
      <c r="Y330" s="551">
        <f>IFERROR(Y327/H327,"0")+IFERROR(Y328/H328,"0")+IFERROR(Y329/H329,"0")</f>
        <v>8</v>
      </c>
      <c r="Z330" s="551">
        <f>IFERROR(IF(Z327="",0,Z327),"0")+IFERROR(IF(Z328="",0,Z328),"0")+IFERROR(IF(Z329="",0,Z329),"0")</f>
        <v>3.7920000000000002E-2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15</v>
      </c>
      <c r="Y331" s="551">
        <f>IFERROR(SUM(Y327:Y329),"0")</f>
        <v>16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979.99999999999989</v>
      </c>
      <c r="Y335" s="550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315</v>
      </c>
      <c r="Y336" s="550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616.66666666666652</v>
      </c>
      <c r="Y337" s="551">
        <f>IFERROR(Y334/H334,"0")+IFERROR(Y335/H335,"0")+IFERROR(Y336/H336,"0")</f>
        <v>617</v>
      </c>
      <c r="Z337" s="551">
        <f>IFERROR(IF(Z334="",0,Z334),"0")+IFERROR(IF(Z335="",0,Z335),"0")+IFERROR(IF(Z336="",0,Z336),"0")</f>
        <v>4.0166700000000004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1295</v>
      </c>
      <c r="Y338" s="551">
        <f>IFERROR(SUM(Y334:Y336),"0")</f>
        <v>1295.7</v>
      </c>
      <c r="Z338" s="37"/>
      <c r="AA338" s="552"/>
      <c r="AB338" s="552"/>
      <c r="AC338" s="552"/>
    </row>
    <row r="339" spans="1:68" ht="27.75" customHeight="1" x14ac:dyDescent="0.2">
      <c r="A339" s="607" t="s">
        <v>541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1500</v>
      </c>
      <c r="Y342" s="550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800</v>
      </c>
      <c r="Y343" s="550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57">
        <v>4607091383997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350</v>
      </c>
      <c r="Y344" s="550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57">
        <v>4680115884830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1200</v>
      </c>
      <c r="Y345" s="550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259.66666666666669</v>
      </c>
      <c r="Y349" s="551">
        <f>IFERROR(Y342/H342,"0")+IFERROR(Y343/H343,"0")+IFERROR(Y344/H344,"0")+IFERROR(Y345/H345,"0")+IFERROR(Y346/H346,"0")+IFERROR(Y347/H347,"0")+IFERROR(Y348/H348,"0")</f>
        <v>261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5.6385599999999991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3865</v>
      </c>
      <c r="Y350" s="551">
        <f>IFERROR(SUM(Y342:Y348),"0")</f>
        <v>3885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50</v>
      </c>
      <c r="Y358" s="550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5.5555555555555554</v>
      </c>
      <c r="Y359" s="551">
        <f>IFERROR(Y357/H357,"0")+IFERROR(Y358/H358,"0")</f>
        <v>6</v>
      </c>
      <c r="Z359" s="551">
        <f>IFERROR(IF(Z357="",0,Z357),"0")+IFERROR(IF(Z358="",0,Z358),"0")</f>
        <v>0.11388000000000001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50</v>
      </c>
      <c r="Y360" s="551">
        <f>IFERROR(SUM(Y357:Y358),"0")</f>
        <v>54</v>
      </c>
      <c r="Z360" s="37"/>
      <c r="AA360" s="552"/>
      <c r="AB360" s="552"/>
      <c r="AC360" s="552"/>
    </row>
    <row r="361" spans="1:68" ht="14.25" customHeight="1" x14ac:dyDescent="0.25">
      <c r="A361" s="562" t="s">
        <v>167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8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40</v>
      </c>
      <c r="Y368" s="550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41.45</v>
      </c>
      <c r="BN368" s="64">
        <f>IFERROR(Y368*I368/H368,"0")</f>
        <v>49.74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3.3333333333333335</v>
      </c>
      <c r="Y370" s="551">
        <f>IFERROR(Y367/H367,"0")+IFERROR(Y368/H368,"0")+IFERROR(Y369/H369,"0")</f>
        <v>4</v>
      </c>
      <c r="Z370" s="551">
        <f>IFERROR(IF(Z367="",0,Z367),"0")+IFERROR(IF(Z368="",0,Z368),"0")+IFERROR(IF(Z369="",0,Z369),"0")</f>
        <v>7.5920000000000001E-2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40</v>
      </c>
      <c r="Y371" s="551">
        <f>IFERROR(SUM(Y367:Y369),"0")</f>
        <v>48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20</v>
      </c>
      <c r="Y377" s="550">
        <f>IFERROR(IF(X377="",0,CEILING((X377/$H377),1)*$H377),"")</f>
        <v>27</v>
      </c>
      <c r="Z377" s="36">
        <f>IFERROR(IF(Y377=0,"",ROUNDUP(Y377/H377,0)*0.01898),"")</f>
        <v>5.6940000000000004E-2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21.153333333333332</v>
      </c>
      <c r="BN377" s="64">
        <f>IFERROR(Y377*I377/H377,"0")</f>
        <v>28.556999999999999</v>
      </c>
      <c r="BO377" s="64">
        <f>IFERROR(1/J377*(X377/H377),"0")</f>
        <v>3.4722222222222224E-2</v>
      </c>
      <c r="BP377" s="64">
        <f>IFERROR(1/J377*(Y377/H377),"0")</f>
        <v>4.6875E-2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2.2222222222222223</v>
      </c>
      <c r="Y379" s="551">
        <f>IFERROR(Y377/H377,"0")+IFERROR(Y378/H378,"0")</f>
        <v>3</v>
      </c>
      <c r="Z379" s="551">
        <f>IFERROR(IF(Z377="",0,Z377),"0")+IFERROR(IF(Z378="",0,Z378),"0")</f>
        <v>5.6940000000000004E-2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20</v>
      </c>
      <c r="Y380" s="551">
        <f>IFERROR(SUM(Y377:Y378),"0")</f>
        <v>27</v>
      </c>
      <c r="Z380" s="37"/>
      <c r="AA380" s="552"/>
      <c r="AB380" s="552"/>
      <c r="AC380" s="552"/>
    </row>
    <row r="381" spans="1:68" ht="14.25" customHeight="1" x14ac:dyDescent="0.25">
      <c r="A381" s="562" t="s">
        <v>167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597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35</v>
      </c>
      <c r="Y393" s="550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0.17068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70</v>
      </c>
      <c r="Y399" s="551">
        <f>IFERROR(SUM(Y388:Y397),"0")</f>
        <v>71.400000000000006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10.5</v>
      </c>
      <c r="Y414" s="550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5</v>
      </c>
      <c r="Y415" s="551">
        <f>IFERROR(Y411/H411,"0")+IFERROR(Y412/H412,"0")+IFERROR(Y413/H413,"0")+IFERROR(Y414/H414,"0")</f>
        <v>5</v>
      </c>
      <c r="Z415" s="551">
        <f>IFERROR(IF(Z411="",0,Z411),"0")+IFERROR(IF(Z412="",0,Z412),"0")+IFERROR(IF(Z413="",0,Z413),"0")+IFERROR(IF(Z414="",0,Z414),"0")</f>
        <v>2.5100000000000001E-2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10.5</v>
      </c>
      <c r="Y416" s="551">
        <f>IFERROR(SUM(Y411:Y414),"0")</f>
        <v>10.5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28</v>
      </c>
      <c r="Y419" s="550">
        <f>IFERROR(IF(X419="",0,CEILING((X419/$H419),1)*$H419),"")</f>
        <v>28.799999999999997</v>
      </c>
      <c r="Z419" s="36">
        <f>IFERROR(IF(Y419=0,"",ROUNDUP(Y419/H419,0)*0.00651),"")</f>
        <v>0.15623999999999999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49.000000000000007</v>
      </c>
      <c r="BN419" s="64">
        <f>IFERROR(Y419*I419/H419,"0")</f>
        <v>50.4</v>
      </c>
      <c r="BO419" s="64">
        <f>IFERROR(1/J419*(X419/H419),"0")</f>
        <v>0.12820512820512822</v>
      </c>
      <c r="BP419" s="64">
        <f>IFERROR(1/J419*(Y419/H419),"0")</f>
        <v>0.13186813186813187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23.333333333333336</v>
      </c>
      <c r="Y420" s="551">
        <f>IFERROR(Y419/H419,"0")</f>
        <v>24</v>
      </c>
      <c r="Z420" s="551">
        <f>IFERROR(IF(Z419="",0,Z419),"0")</f>
        <v>0.15623999999999999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28</v>
      </c>
      <c r="Y421" s="551">
        <f>IFERROR(SUM(Y419:Y419),"0")</f>
        <v>28.799999999999997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653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50</v>
      </c>
      <c r="Y430" s="550">
        <f t="shared" ref="Y430:Y442" si="49">IFERROR(IF(X430="",0,CEILING((X430/$H430),1)*$H430),"")</f>
        <v>52.800000000000004</v>
      </c>
      <c r="Z430" s="36">
        <f t="shared" ref="Z430:Z436" si="50">IFERROR(IF(Y430=0,"",ROUNDUP(Y430/H430,0)*0.01196),"")</f>
        <v>0.1196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53.409090909090907</v>
      </c>
      <c r="BN430" s="64">
        <f t="shared" ref="BN430:BN442" si="52">IFERROR(Y430*I430/H430,"0")</f>
        <v>56.400000000000006</v>
      </c>
      <c r="BO430" s="64">
        <f t="shared" ref="BO430:BO442" si="53">IFERROR(1/J430*(X430/H430),"0")</f>
        <v>9.1054778554778545E-2</v>
      </c>
      <c r="BP430" s="64">
        <f t="shared" ref="BP430:BP442" si="54">IFERROR(1/J430*(Y430/H430),"0")</f>
        <v>9.6153846153846159E-2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100</v>
      </c>
      <c r="Y432" s="550">
        <f t="shared" si="49"/>
        <v>100.32000000000001</v>
      </c>
      <c r="Z432" s="36">
        <f t="shared" si="50"/>
        <v>0.22724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130</v>
      </c>
      <c r="Y435" s="550">
        <f t="shared" si="49"/>
        <v>132</v>
      </c>
      <c r="Z435" s="36">
        <f t="shared" si="50"/>
        <v>0.29899999999999999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138.86363636363635</v>
      </c>
      <c r="BN435" s="64">
        <f t="shared" si="52"/>
        <v>140.99999999999997</v>
      </c>
      <c r="BO435" s="64">
        <f t="shared" si="53"/>
        <v>0.23674242424242425</v>
      </c>
      <c r="BP435" s="64">
        <f t="shared" si="54"/>
        <v>0.24038461538461539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108</v>
      </c>
      <c r="Y438" s="550">
        <f t="shared" si="49"/>
        <v>110.39999999999999</v>
      </c>
      <c r="Z438" s="36">
        <f>IFERROR(IF(Y438=0,"",ROUNDUP(Y438/H438,0)*0.00902),"")</f>
        <v>0.20746000000000001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155.92499999999998</v>
      </c>
      <c r="BN438" s="64">
        <f t="shared" si="52"/>
        <v>159.38999999999999</v>
      </c>
      <c r="BO438" s="64">
        <f t="shared" si="53"/>
        <v>0.17045454545454547</v>
      </c>
      <c r="BP438" s="64">
        <f t="shared" si="54"/>
        <v>0.17424242424242425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7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144</v>
      </c>
      <c r="Y442" s="550">
        <f t="shared" si="49"/>
        <v>144</v>
      </c>
      <c r="Z442" s="36">
        <f>IFERROR(IF(Y442=0,"",ROUNDUP(Y442/H442,0)*0.00937),"")</f>
        <v>0.28110000000000002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208.8</v>
      </c>
      <c r="BN442" s="64">
        <f t="shared" si="52"/>
        <v>208.8</v>
      </c>
      <c r="BO442" s="64">
        <f t="shared" si="53"/>
        <v>0.25</v>
      </c>
      <c r="BP442" s="64">
        <f t="shared" si="54"/>
        <v>0.25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105.53030303030303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107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1.1343999999999999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532</v>
      </c>
      <c r="Y444" s="551">
        <f>IFERROR(SUM(Y430:Y442),"0")</f>
        <v>539.52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150</v>
      </c>
      <c r="Y446" s="550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28.409090909090907</v>
      </c>
      <c r="Y449" s="551">
        <f>IFERROR(Y446/H446,"0")+IFERROR(Y447/H447,"0")+IFERROR(Y448/H448,"0")</f>
        <v>29</v>
      </c>
      <c r="Z449" s="551">
        <f>IFERROR(IF(Z446="",0,Z446),"0")+IFERROR(IF(Z447="",0,Z447),"0")+IFERROR(IF(Z448="",0,Z448),"0")</f>
        <v>0.34683999999999998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150</v>
      </c>
      <c r="Y450" s="551">
        <f>IFERROR(SUM(Y446:Y448),"0")</f>
        <v>153.12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50</v>
      </c>
      <c r="Y453" s="550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53.409090909090907</v>
      </c>
      <c r="BN453" s="64">
        <f t="shared" si="57"/>
        <v>56.400000000000006</v>
      </c>
      <c r="BO453" s="64">
        <f t="shared" si="58"/>
        <v>9.1054778554778545E-2</v>
      </c>
      <c r="BP453" s="64">
        <f t="shared" si="59"/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120</v>
      </c>
      <c r="Y454" s="550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128.18181818181816</v>
      </c>
      <c r="BN454" s="64">
        <f t="shared" si="57"/>
        <v>129.72</v>
      </c>
      <c r="BO454" s="64">
        <f t="shared" si="58"/>
        <v>0.21853146853146854</v>
      </c>
      <c r="BP454" s="64">
        <f t="shared" si="59"/>
        <v>0.22115384615384617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60</v>
      </c>
      <c r="Y455" s="550">
        <f t="shared" si="55"/>
        <v>62.4</v>
      </c>
      <c r="Z455" s="36">
        <f>IFERROR(IF(Y455=0,"",ROUNDUP(Y455/H455,0)*0.00902),"")</f>
        <v>0.11726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86.625</v>
      </c>
      <c r="BN455" s="64">
        <f t="shared" si="57"/>
        <v>90.089999999999989</v>
      </c>
      <c r="BO455" s="64">
        <f t="shared" si="58"/>
        <v>9.4696969696969696E-2</v>
      </c>
      <c r="BP455" s="64">
        <f t="shared" si="59"/>
        <v>9.8484848484848481E-2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12</v>
      </c>
      <c r="Y456" s="550">
        <f t="shared" si="55"/>
        <v>14.399999999999999</v>
      </c>
      <c r="Z456" s="36">
        <f>IFERROR(IF(Y456=0,"",ROUNDUP(Y456/H456,0)*0.00902),"")</f>
        <v>2.7060000000000001E-2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16.725000000000001</v>
      </c>
      <c r="BN456" s="64">
        <f t="shared" si="57"/>
        <v>20.07</v>
      </c>
      <c r="BO456" s="64">
        <f t="shared" si="58"/>
        <v>1.893939393939394E-2</v>
      </c>
      <c r="BP456" s="64">
        <f t="shared" si="59"/>
        <v>2.2727272727272728E-2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66</v>
      </c>
      <c r="Y457" s="550">
        <f t="shared" si="55"/>
        <v>67.2</v>
      </c>
      <c r="Z457" s="36">
        <f>IFERROR(IF(Y457=0,"",ROUNDUP(Y457/H457,0)*0.00902),"")</f>
        <v>0.12628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91.987500000000011</v>
      </c>
      <c r="BN457" s="64">
        <f t="shared" si="57"/>
        <v>93.660000000000011</v>
      </c>
      <c r="BO457" s="64">
        <f t="shared" si="58"/>
        <v>0.10416666666666667</v>
      </c>
      <c r="BP457" s="64">
        <f t="shared" si="59"/>
        <v>0.10606060606060608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70.416666666666657</v>
      </c>
      <c r="Y458" s="551">
        <f>IFERROR(Y452/H452,"0")+IFERROR(Y453/H453,"0")+IFERROR(Y454/H454,"0")+IFERROR(Y455/H455,"0")+IFERROR(Y456/H456,"0")+IFERROR(Y457/H457,"0")</f>
        <v>73</v>
      </c>
      <c r="Z458" s="551">
        <f>IFERROR(IF(Z452="",0,Z452),"0")+IFERROR(IF(Z453="",0,Z453),"0")+IFERROR(IF(Z454="",0,Z454),"0")+IFERROR(IF(Z455="",0,Z455),"0")+IFERROR(IF(Z456="",0,Z456),"0")+IFERROR(IF(Z457="",0,Z457),"0")</f>
        <v>0.78488000000000002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358</v>
      </c>
      <c r="Y459" s="551">
        <f>IFERROR(SUM(Y452:Y457),"0")</f>
        <v>371.03999999999996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720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1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1100</v>
      </c>
      <c r="Y487" s="550">
        <f>IFERROR(IF(X487="",0,CEILING((X487/$H487),1)*$H487),"")</f>
        <v>1107</v>
      </c>
      <c r="Z487" s="36">
        <f>IFERROR(IF(Y487=0,"",ROUNDUP(Y487/H487,0)*0.01898),"")</f>
        <v>2.3345400000000001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1163.4333333333334</v>
      </c>
      <c r="BN487" s="64">
        <f>IFERROR(Y487*I487/H487,"0")</f>
        <v>1170.837</v>
      </c>
      <c r="BO487" s="64">
        <f>IFERROR(1/J487*(X487/H487),"0")</f>
        <v>1.9097222222222223</v>
      </c>
      <c r="BP487" s="64">
        <f>IFERROR(1/J487*(Y487/H487),"0")</f>
        <v>1.921875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122.22222222222223</v>
      </c>
      <c r="Y489" s="551">
        <f>IFERROR(Y487/H487,"0")+IFERROR(Y488/H488,"0")</f>
        <v>123</v>
      </c>
      <c r="Z489" s="551">
        <f>IFERROR(IF(Z487="",0,Z487),"0")+IFERROR(IF(Z488="",0,Z488),"0")</f>
        <v>2.3345400000000001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1100</v>
      </c>
      <c r="Y490" s="551">
        <f>IFERROR(SUM(Y487:Y488),"0")</f>
        <v>1107</v>
      </c>
      <c r="Z490" s="37"/>
      <c r="AA490" s="552"/>
      <c r="AB490" s="552"/>
      <c r="AC490" s="552"/>
    </row>
    <row r="491" spans="1:68" ht="14.25" customHeight="1" x14ac:dyDescent="0.25">
      <c r="A491" s="562" t="s">
        <v>167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7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764</v>
      </c>
      <c r="Q501" s="594"/>
      <c r="R501" s="594"/>
      <c r="S501" s="594"/>
      <c r="T501" s="594"/>
      <c r="U501" s="594"/>
      <c r="V501" s="595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17366.2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17544.96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765</v>
      </c>
      <c r="Q502" s="594"/>
      <c r="R502" s="594"/>
      <c r="S502" s="594"/>
      <c r="T502" s="594"/>
      <c r="U502" s="594"/>
      <c r="V502" s="595"/>
      <c r="W502" s="37" t="s">
        <v>69</v>
      </c>
      <c r="X502" s="551">
        <f>IFERROR(SUM(BM22:BM498),"0")</f>
        <v>18584.223757758842</v>
      </c>
      <c r="Y502" s="551">
        <f>IFERROR(SUM(BN22:BN498),"0")</f>
        <v>18776.658999999996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766</v>
      </c>
      <c r="Q503" s="594"/>
      <c r="R503" s="594"/>
      <c r="S503" s="594"/>
      <c r="T503" s="594"/>
      <c r="U503" s="594"/>
      <c r="V503" s="595"/>
      <c r="W503" s="37" t="s">
        <v>767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768</v>
      </c>
      <c r="Q504" s="594"/>
      <c r="R504" s="594"/>
      <c r="S504" s="594"/>
      <c r="T504" s="594"/>
      <c r="U504" s="594"/>
      <c r="V504" s="595"/>
      <c r="W504" s="37" t="s">
        <v>69</v>
      </c>
      <c r="X504" s="551">
        <f>GrossWeightTotal+PalletQtyTotal*25</f>
        <v>19384.223757758842</v>
      </c>
      <c r="Y504" s="551">
        <f>GrossWeightTotalR+PalletQtyTotalR*25</f>
        <v>19576.658999999996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769</v>
      </c>
      <c r="Q505" s="594"/>
      <c r="R505" s="594"/>
      <c r="S505" s="594"/>
      <c r="T505" s="594"/>
      <c r="U505" s="594"/>
      <c r="V505" s="595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3787.8522046280668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3820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770</v>
      </c>
      <c r="Q506" s="594"/>
      <c r="R506" s="594"/>
      <c r="S506" s="594"/>
      <c r="T506" s="594"/>
      <c r="U506" s="594"/>
      <c r="V506" s="595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36.908129999999993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251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541</v>
      </c>
      <c r="U508" s="663"/>
      <c r="V508" s="579" t="s">
        <v>597</v>
      </c>
      <c r="W508" s="662"/>
      <c r="X508" s="662"/>
      <c r="Y508" s="663"/>
      <c r="Z508" s="546" t="s">
        <v>653</v>
      </c>
      <c r="AA508" s="579" t="s">
        <v>720</v>
      </c>
      <c r="AB508" s="663"/>
      <c r="AC508" s="52"/>
      <c r="AF508" s="547"/>
    </row>
    <row r="509" spans="1:68" ht="14.25" customHeight="1" thickTop="1" x14ac:dyDescent="0.2">
      <c r="A509" s="627" t="s">
        <v>773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194</v>
      </c>
      <c r="G509" s="579" t="s">
        <v>227</v>
      </c>
      <c r="H509" s="579" t="s">
        <v>101</v>
      </c>
      <c r="I509" s="579" t="s">
        <v>252</v>
      </c>
      <c r="J509" s="579" t="s">
        <v>292</v>
      </c>
      <c r="K509" s="579" t="s">
        <v>352</v>
      </c>
      <c r="L509" s="579" t="s">
        <v>398</v>
      </c>
      <c r="M509" s="579" t="s">
        <v>414</v>
      </c>
      <c r="N509" s="547"/>
      <c r="O509" s="579" t="s">
        <v>428</v>
      </c>
      <c r="P509" s="579" t="s">
        <v>438</v>
      </c>
      <c r="Q509" s="579" t="s">
        <v>445</v>
      </c>
      <c r="R509" s="579" t="s">
        <v>450</v>
      </c>
      <c r="S509" s="579" t="s">
        <v>531</v>
      </c>
      <c r="T509" s="579" t="s">
        <v>542</v>
      </c>
      <c r="U509" s="579" t="s">
        <v>577</v>
      </c>
      <c r="V509" s="579" t="s">
        <v>598</v>
      </c>
      <c r="W509" s="579" t="s">
        <v>630</v>
      </c>
      <c r="X509" s="579" t="s">
        <v>645</v>
      </c>
      <c r="Y509" s="579" t="s">
        <v>649</v>
      </c>
      <c r="Z509" s="579" t="s">
        <v>653</v>
      </c>
      <c r="AA509" s="579" t="s">
        <v>720</v>
      </c>
      <c r="AB509" s="579" t="s">
        <v>759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348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1053.5999999999999</v>
      </c>
      <c r="E511" s="46">
        <f>IFERROR(Y87*1,"0")+IFERROR(Y88*1,"0")+IFERROR(Y89*1,"0")+IFERROR(Y93*1,"0")+IFERROR(Y94*1,"0")+IFERROR(Y95*1,"0")+IFERROR(Y96*1,"0")</f>
        <v>1308.6000000000001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1692.8999999999999</v>
      </c>
      <c r="G511" s="46">
        <f>IFERROR(Y127*1,"0")+IFERROR(Y128*1,"0")+IFERROR(Y132*1,"0")+IFERROR(Y133*1,"0")+IFERROR(Y137*1,"0")+IFERROR(Y138*1,"0")</f>
        <v>204.48000000000002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805.56000000000006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2336.1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219.44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340.8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594.4</v>
      </c>
      <c r="S511" s="46">
        <f>IFERROR(Y334*1,"0")+IFERROR(Y335*1,"0")+IFERROR(Y336*1,"0")</f>
        <v>1295.7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4989</v>
      </c>
      <c r="U511" s="46">
        <f>IFERROR(Y367*1,"0")+IFERROR(Y368*1,"0")+IFERROR(Y369*1,"0")+IFERROR(Y373*1,"0")+IFERROR(Y377*1,"0")+IFERROR(Y378*1,"0")+IFERROR(Y382*1,"0")</f>
        <v>75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71.400000000000006</v>
      </c>
      <c r="W511" s="46">
        <f>IFERROR(Y407*1,"0")+IFERROR(Y411*1,"0")+IFERROR(Y412*1,"0")+IFERROR(Y413*1,"0")+IFERROR(Y414*1,"0")</f>
        <v>10.5</v>
      </c>
      <c r="X511" s="46">
        <f>IFERROR(Y419*1,"0")</f>
        <v>28.799999999999997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1063.6799999999998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1107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