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5E688B49-C874-4C6C-9707-A805E4E2F9A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заказа'!$B$295:$B$295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заказа'!$B$305:$B$305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заказа'!$B$313:$B$313</definedName>
    <definedName name="ProductId147">'Бланк заказа'!$B$314:$B$314</definedName>
    <definedName name="ProductId148">'Бланк заказа'!$B$315:$B$315</definedName>
    <definedName name="ProductId149">'Бланк заказа'!$B$319:$B$319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заказа'!$B$326:$B$326</definedName>
    <definedName name="ProductId154">'Бланк заказа'!$B$327:$B$327</definedName>
    <definedName name="ProductId155">'Бланк заказа'!$B$328:$B$328</definedName>
    <definedName name="ProductId156">'Бланк заказа'!$B$333:$B$333</definedName>
    <definedName name="ProductId157">'Бланк заказа'!$B$334:$B$334</definedName>
    <definedName name="ProductId158">'Бланк заказа'!$B$335:$B$335</definedName>
    <definedName name="ProductId159">'Бланк заказа'!$B$341:$B$341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заказа'!$B$56:$B$56</definedName>
    <definedName name="ProductId170">'Бланк заказа'!$B$361:$B$361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заказа'!$B$372:$B$372</definedName>
    <definedName name="ProductId175">'Бланк заказа'!$B$376:$B$376</definedName>
    <definedName name="ProductId176">'Бланк заказа'!$B$377:$B$377</definedName>
    <definedName name="ProductId177">'Бланк заказа'!$B$381:$B$381</definedName>
    <definedName name="ProductId178">'Бланк заказа'!$B$387:$B$387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заказа'!$X$295:$X$295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заказа'!$X$305:$X$305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заказа'!$X$313:$X$313</definedName>
    <definedName name="SalesQty147">'Бланк заказа'!$X$314:$X$314</definedName>
    <definedName name="SalesQty148">'Бланк заказа'!$X$315:$X$315</definedName>
    <definedName name="SalesQty149">'Бланк заказа'!$X$319:$X$319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заказа'!$X$326:$X$326</definedName>
    <definedName name="SalesQty154">'Бланк заказа'!$X$327:$X$327</definedName>
    <definedName name="SalesQty155">'Бланк заказа'!$X$328:$X$328</definedName>
    <definedName name="SalesQty156">'Бланк заказа'!$X$333:$X$333</definedName>
    <definedName name="SalesQty157">'Бланк заказа'!$X$334:$X$334</definedName>
    <definedName name="SalesQty158">'Бланк заказа'!$X$335:$X$335</definedName>
    <definedName name="SalesQty159">'Бланк заказа'!$X$341:$X$341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заказа'!$X$56:$X$56</definedName>
    <definedName name="SalesQty170">'Бланк заказа'!$X$361:$X$361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заказа'!$X$372:$X$372</definedName>
    <definedName name="SalesQty175">'Бланк заказа'!$X$376:$X$376</definedName>
    <definedName name="SalesQty176">'Бланк заказа'!$X$377:$X$377</definedName>
    <definedName name="SalesQty177">'Бланк заказа'!$X$381:$X$381</definedName>
    <definedName name="SalesQty178">'Бланк заказа'!$X$387:$X$387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заказа'!$Y$295:$Y$295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заказа'!$Y$305:$Y$305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заказа'!$Y$313:$Y$313</definedName>
    <definedName name="SalesRoundBox147">'Бланк заказа'!$Y$314:$Y$314</definedName>
    <definedName name="SalesRoundBox148">'Бланк заказа'!$Y$315:$Y$315</definedName>
    <definedName name="SalesRoundBox149">'Бланк заказа'!$Y$319:$Y$319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заказа'!$Y$326:$Y$326</definedName>
    <definedName name="SalesRoundBox154">'Бланк заказа'!$Y$327:$Y$327</definedName>
    <definedName name="SalesRoundBox155">'Бланк заказа'!$Y$328:$Y$328</definedName>
    <definedName name="SalesRoundBox156">'Бланк заказа'!$Y$333:$Y$333</definedName>
    <definedName name="SalesRoundBox157">'Бланк заказа'!$Y$334:$Y$334</definedName>
    <definedName name="SalesRoundBox158">'Бланк заказа'!$Y$335:$Y$335</definedName>
    <definedName name="SalesRoundBox159">'Бланк заказа'!$Y$341:$Y$341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заказа'!$Y$56:$Y$56</definedName>
    <definedName name="SalesRoundBox170">'Бланк заказа'!$Y$361:$Y$361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заказа'!$Y$372:$Y$372</definedName>
    <definedName name="SalesRoundBox175">'Бланк заказа'!$Y$376:$Y$376</definedName>
    <definedName name="SalesRoundBox176">'Бланк заказа'!$Y$377:$Y$377</definedName>
    <definedName name="SalesRoundBox177">'Бланк заказа'!$Y$381:$Y$381</definedName>
    <definedName name="SalesRoundBox178">'Бланк заказа'!$Y$387:$Y$387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заказа'!$W$295:$W$295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заказа'!$W$305:$W$305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заказа'!$W$313:$W$313</definedName>
    <definedName name="UnitOfMeasure147">'Бланк заказа'!$W$314:$W$314</definedName>
    <definedName name="UnitOfMeasure148">'Бланк заказа'!$W$315:$W$315</definedName>
    <definedName name="UnitOfMeasure149">'Бланк заказа'!$W$319:$W$319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заказа'!$W$326:$W$326</definedName>
    <definedName name="UnitOfMeasure154">'Бланк заказа'!$W$327:$W$327</definedName>
    <definedName name="UnitOfMeasure155">'Бланк заказа'!$W$328:$W$328</definedName>
    <definedName name="UnitOfMeasure156">'Бланк заказа'!$W$333:$W$333</definedName>
    <definedName name="UnitOfMeasure157">'Бланк заказа'!$W$334:$W$334</definedName>
    <definedName name="UnitOfMeasure158">'Бланк заказа'!$W$335:$W$335</definedName>
    <definedName name="UnitOfMeasure159">'Бланк заказа'!$W$341:$W$341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заказа'!$W$56:$W$56</definedName>
    <definedName name="UnitOfMeasure170">'Бланк заказа'!$W$361:$W$361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заказа'!$W$372:$W$372</definedName>
    <definedName name="UnitOfMeasure175">'Бланк заказа'!$W$376:$W$376</definedName>
    <definedName name="UnitOfMeasure176">'Бланк заказа'!$W$377:$W$377</definedName>
    <definedName name="UnitOfMeasure177">'Бланк заказа'!$W$381:$W$381</definedName>
    <definedName name="UnitOfMeasure178">'Бланк заказа'!$W$387:$W$387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Y491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Y482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X425" i="1"/>
  <c r="X424" i="1"/>
  <c r="BO423" i="1"/>
  <c r="BM423" i="1"/>
  <c r="Y423" i="1"/>
  <c r="P423" i="1"/>
  <c r="X420" i="1"/>
  <c r="X419" i="1"/>
  <c r="BO418" i="1"/>
  <c r="BM418" i="1"/>
  <c r="Y418" i="1"/>
  <c r="P418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Z407" i="1" s="1"/>
  <c r="Y406" i="1"/>
  <c r="Y408" i="1" s="1"/>
  <c r="P406" i="1"/>
  <c r="X403" i="1"/>
  <c r="Y402" i="1"/>
  <c r="X402" i="1"/>
  <c r="BP401" i="1"/>
  <c r="BO401" i="1"/>
  <c r="BN401" i="1"/>
  <c r="BM401" i="1"/>
  <c r="Z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X383" i="1"/>
  <c r="Y382" i="1"/>
  <c r="X382" i="1"/>
  <c r="BP381" i="1"/>
  <c r="BO381" i="1"/>
  <c r="BN381" i="1"/>
  <c r="BM381" i="1"/>
  <c r="Z381" i="1"/>
  <c r="Z382" i="1" s="1"/>
  <c r="Y381" i="1"/>
  <c r="Y383" i="1" s="1"/>
  <c r="P381" i="1"/>
  <c r="X379" i="1"/>
  <c r="X378" i="1"/>
  <c r="BP377" i="1"/>
  <c r="BO377" i="1"/>
  <c r="BN377" i="1"/>
  <c r="BM377" i="1"/>
  <c r="Z377" i="1"/>
  <c r="Y377" i="1"/>
  <c r="P377" i="1"/>
  <c r="BO376" i="1"/>
  <c r="BM376" i="1"/>
  <c r="Y376" i="1"/>
  <c r="P376" i="1"/>
  <c r="X374" i="1"/>
  <c r="X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3" i="1"/>
  <c r="X362" i="1"/>
  <c r="BO361" i="1"/>
  <c r="BM361" i="1"/>
  <c r="Y361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S508" i="1" s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X324" i="1"/>
  <c r="Y323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Y324" i="1" s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BO260" i="1"/>
  <c r="BM260" i="1"/>
  <c r="Y260" i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X234" i="1"/>
  <c r="Y233" i="1"/>
  <c r="X233" i="1"/>
  <c r="BP232" i="1"/>
  <c r="BO232" i="1"/>
  <c r="BN232" i="1"/>
  <c r="BM232" i="1"/>
  <c r="Z232" i="1"/>
  <c r="Z233" i="1" s="1"/>
  <c r="Y232" i="1"/>
  <c r="Y234" i="1" s="1"/>
  <c r="P232" i="1"/>
  <c r="X230" i="1"/>
  <c r="X229" i="1"/>
  <c r="BP228" i="1"/>
  <c r="BO228" i="1"/>
  <c r="BN228" i="1"/>
  <c r="BM228" i="1"/>
  <c r="Z228" i="1"/>
  <c r="Y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Y173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Y168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Y143" i="1"/>
  <c r="X143" i="1"/>
  <c r="BP142" i="1"/>
  <c r="BO142" i="1"/>
  <c r="BN142" i="1"/>
  <c r="BM142" i="1"/>
  <c r="Z142" i="1"/>
  <c r="Y142" i="1"/>
  <c r="BP141" i="1"/>
  <c r="BO141" i="1"/>
  <c r="BN141" i="1"/>
  <c r="BM141" i="1"/>
  <c r="Z141" i="1"/>
  <c r="Z143" i="1" s="1"/>
  <c r="Y141" i="1"/>
  <c r="P141" i="1"/>
  <c r="X138" i="1"/>
  <c r="Y137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Y132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Y96" i="1" s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D508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8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1" i="1" s="1"/>
  <c r="P26" i="1"/>
  <c r="X24" i="1"/>
  <c r="X23" i="1"/>
  <c r="X502" i="1" s="1"/>
  <c r="BO22" i="1"/>
  <c r="X500" i="1" s="1"/>
  <c r="BM22" i="1"/>
  <c r="X499" i="1" s="1"/>
  <c r="X501" i="1" s="1"/>
  <c r="Y22" i="1"/>
  <c r="B508" i="1" s="1"/>
  <c r="P22" i="1"/>
  <c r="H10" i="1"/>
  <c r="A9" i="1"/>
  <c r="F10" i="1" s="1"/>
  <c r="D7" i="1"/>
  <c r="Q6" i="1"/>
  <c r="P2" i="1"/>
  <c r="H9" i="1" l="1"/>
  <c r="A10" i="1"/>
  <c r="Y24" i="1"/>
  <c r="Y32" i="1"/>
  <c r="Y36" i="1"/>
  <c r="Y44" i="1"/>
  <c r="Y48" i="1"/>
  <c r="Y57" i="1"/>
  <c r="Y63" i="1"/>
  <c r="Y69" i="1"/>
  <c r="Y77" i="1"/>
  <c r="Y83" i="1"/>
  <c r="E508" i="1"/>
  <c r="Y89" i="1"/>
  <c r="BP86" i="1"/>
  <c r="BN86" i="1"/>
  <c r="Z86" i="1"/>
  <c r="BP95" i="1"/>
  <c r="BN95" i="1"/>
  <c r="Z95" i="1"/>
  <c r="Y97" i="1"/>
  <c r="Y105" i="1"/>
  <c r="BP100" i="1"/>
  <c r="BN100" i="1"/>
  <c r="Z100" i="1"/>
  <c r="Y104" i="1"/>
  <c r="Z110" i="1"/>
  <c r="BP108" i="1"/>
  <c r="BN108" i="1"/>
  <c r="Z108" i="1"/>
  <c r="BP116" i="1"/>
  <c r="BN116" i="1"/>
  <c r="Z116" i="1"/>
  <c r="Y118" i="1"/>
  <c r="Y121" i="1"/>
  <c r="BP120" i="1"/>
  <c r="BN120" i="1"/>
  <c r="Z120" i="1"/>
  <c r="Z121" i="1" s="1"/>
  <c r="Y122" i="1"/>
  <c r="G508" i="1"/>
  <c r="Y128" i="1"/>
  <c r="BP125" i="1"/>
  <c r="BN125" i="1"/>
  <c r="Z125" i="1"/>
  <c r="Z127" i="1" s="1"/>
  <c r="BP147" i="1"/>
  <c r="BN147" i="1"/>
  <c r="Z147" i="1"/>
  <c r="Z149" i="1" s="1"/>
  <c r="BP161" i="1"/>
  <c r="BN161" i="1"/>
  <c r="Z161" i="1"/>
  <c r="BP165" i="1"/>
  <c r="BN165" i="1"/>
  <c r="Z165" i="1"/>
  <c r="BP182" i="1"/>
  <c r="BN182" i="1"/>
  <c r="Z182" i="1"/>
  <c r="Z183" i="1" s="1"/>
  <c r="Y184" i="1"/>
  <c r="Y189" i="1"/>
  <c r="BP186" i="1"/>
  <c r="BN186" i="1"/>
  <c r="Z186" i="1"/>
  <c r="Z188" i="1" s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BP223" i="1"/>
  <c r="BN223" i="1"/>
  <c r="Z223" i="1"/>
  <c r="BP252" i="1"/>
  <c r="BN252" i="1"/>
  <c r="Z252" i="1"/>
  <c r="BP342" i="1"/>
  <c r="BN342" i="1"/>
  <c r="Z342" i="1"/>
  <c r="Z348" i="1" s="1"/>
  <c r="Y348" i="1"/>
  <c r="BP346" i="1"/>
  <c r="BN346" i="1"/>
  <c r="Z346" i="1"/>
  <c r="F508" i="1"/>
  <c r="F9" i="1"/>
  <c r="J9" i="1"/>
  <c r="Z22" i="1"/>
  <c r="Z23" i="1" s="1"/>
  <c r="BN22" i="1"/>
  <c r="BP22" i="1"/>
  <c r="Y23" i="1"/>
  <c r="X498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Z57" i="1" s="1"/>
  <c r="BN51" i="1"/>
  <c r="BP51" i="1"/>
  <c r="Z53" i="1"/>
  <c r="BN53" i="1"/>
  <c r="Z55" i="1"/>
  <c r="BN55" i="1"/>
  <c r="Y58" i="1"/>
  <c r="Z61" i="1"/>
  <c r="Z63" i="1" s="1"/>
  <c r="BN61" i="1"/>
  <c r="Z67" i="1"/>
  <c r="Z69" i="1" s="1"/>
  <c r="BN67" i="1"/>
  <c r="Z73" i="1"/>
  <c r="Z77" i="1" s="1"/>
  <c r="BN73" i="1"/>
  <c r="Z75" i="1"/>
  <c r="BN75" i="1"/>
  <c r="Y82" i="1"/>
  <c r="Z81" i="1"/>
  <c r="Z82" i="1" s="1"/>
  <c r="BN81" i="1"/>
  <c r="BP88" i="1"/>
  <c r="BN88" i="1"/>
  <c r="Z88" i="1"/>
  <c r="Y90" i="1"/>
  <c r="BP93" i="1"/>
  <c r="BN93" i="1"/>
  <c r="Z93" i="1"/>
  <c r="Z96" i="1" s="1"/>
  <c r="BP102" i="1"/>
  <c r="BN102" i="1"/>
  <c r="Z102" i="1"/>
  <c r="Y111" i="1"/>
  <c r="Y110" i="1"/>
  <c r="BP114" i="1"/>
  <c r="BN114" i="1"/>
  <c r="Z114" i="1"/>
  <c r="Z117" i="1" s="1"/>
  <c r="Y127" i="1"/>
  <c r="BP131" i="1"/>
  <c r="BN131" i="1"/>
  <c r="Z131" i="1"/>
  <c r="Z132" i="1" s="1"/>
  <c r="Y133" i="1"/>
  <c r="Y138" i="1"/>
  <c r="BP135" i="1"/>
  <c r="BN135" i="1"/>
  <c r="Z135" i="1"/>
  <c r="Z137" i="1" s="1"/>
  <c r="Y150" i="1"/>
  <c r="Y149" i="1"/>
  <c r="BP159" i="1"/>
  <c r="BN159" i="1"/>
  <c r="Z159" i="1"/>
  <c r="Z167" i="1" s="1"/>
  <c r="BP163" i="1"/>
  <c r="BN163" i="1"/>
  <c r="Z163" i="1"/>
  <c r="Y167" i="1"/>
  <c r="BP171" i="1"/>
  <c r="BN171" i="1"/>
  <c r="Z171" i="1"/>
  <c r="Z173" i="1" s="1"/>
  <c r="Y188" i="1"/>
  <c r="BP192" i="1"/>
  <c r="BN192" i="1"/>
  <c r="Z192" i="1"/>
  <c r="Z199" i="1" s="1"/>
  <c r="BP196" i="1"/>
  <c r="BN196" i="1"/>
  <c r="Z196" i="1"/>
  <c r="BP204" i="1"/>
  <c r="BN204" i="1"/>
  <c r="Z204" i="1"/>
  <c r="BP208" i="1"/>
  <c r="BN208" i="1"/>
  <c r="Z208" i="1"/>
  <c r="Y216" i="1"/>
  <c r="BP221" i="1"/>
  <c r="BN221" i="1"/>
  <c r="Z221" i="1"/>
  <c r="Z229" i="1" s="1"/>
  <c r="BP224" i="1"/>
  <c r="BN224" i="1"/>
  <c r="Z224" i="1"/>
  <c r="Y229" i="1"/>
  <c r="Y237" i="1"/>
  <c r="BP236" i="1"/>
  <c r="BN236" i="1"/>
  <c r="Z236" i="1"/>
  <c r="Z237" i="1" s="1"/>
  <c r="Y238" i="1"/>
  <c r="Y246" i="1"/>
  <c r="BP240" i="1"/>
  <c r="BN240" i="1"/>
  <c r="Z240" i="1"/>
  <c r="Y245" i="1"/>
  <c r="BP243" i="1"/>
  <c r="BN243" i="1"/>
  <c r="Z243" i="1"/>
  <c r="BP261" i="1"/>
  <c r="BN261" i="1"/>
  <c r="Z261" i="1"/>
  <c r="Y263" i="1"/>
  <c r="Y269" i="1"/>
  <c r="BP266" i="1"/>
  <c r="BN266" i="1"/>
  <c r="Z266" i="1"/>
  <c r="O508" i="1"/>
  <c r="Y270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BP327" i="1"/>
  <c r="BN327" i="1"/>
  <c r="Z327" i="1"/>
  <c r="Z329" i="1" s="1"/>
  <c r="Y329" i="1"/>
  <c r="Y362" i="1"/>
  <c r="BP361" i="1"/>
  <c r="BN361" i="1"/>
  <c r="Z361" i="1"/>
  <c r="Z362" i="1" s="1"/>
  <c r="Y363" i="1"/>
  <c r="U508" i="1"/>
  <c r="Y369" i="1"/>
  <c r="BP366" i="1"/>
  <c r="BN366" i="1"/>
  <c r="Z366" i="1"/>
  <c r="Y370" i="1"/>
  <c r="BP390" i="1"/>
  <c r="BN390" i="1"/>
  <c r="Z390" i="1"/>
  <c r="BP394" i="1"/>
  <c r="BN394" i="1"/>
  <c r="Z394" i="1"/>
  <c r="BP411" i="1"/>
  <c r="BN411" i="1"/>
  <c r="Z411" i="1"/>
  <c r="Z414" i="1" s="1"/>
  <c r="Y415" i="1"/>
  <c r="BP431" i="1"/>
  <c r="BN431" i="1"/>
  <c r="Z431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W508" i="1"/>
  <c r="H508" i="1"/>
  <c r="Y144" i="1"/>
  <c r="I508" i="1"/>
  <c r="Y156" i="1"/>
  <c r="J508" i="1"/>
  <c r="Y183" i="1"/>
  <c r="K508" i="1"/>
  <c r="Y230" i="1"/>
  <c r="BP226" i="1"/>
  <c r="BN226" i="1"/>
  <c r="Z226" i="1"/>
  <c r="BP241" i="1"/>
  <c r="BN241" i="1"/>
  <c r="Z241" i="1"/>
  <c r="Z254" i="1"/>
  <c r="BP250" i="1"/>
  <c r="BN250" i="1"/>
  <c r="Z250" i="1"/>
  <c r="Y254" i="1"/>
  <c r="BP260" i="1"/>
  <c r="BN260" i="1"/>
  <c r="Z260" i="1"/>
  <c r="Z262" i="1" s="1"/>
  <c r="BP268" i="1"/>
  <c r="BN268" i="1"/>
  <c r="Z268" i="1"/>
  <c r="P508" i="1"/>
  <c r="Y274" i="1"/>
  <c r="BP273" i="1"/>
  <c r="BN273" i="1"/>
  <c r="Z273" i="1"/>
  <c r="Z274" i="1" s="1"/>
  <c r="Y275" i="1"/>
  <c r="Y278" i="1"/>
  <c r="BP277" i="1"/>
  <c r="BN277" i="1"/>
  <c r="Z277" i="1"/>
  <c r="Z278" i="1" s="1"/>
  <c r="Y279" i="1"/>
  <c r="Q508" i="1"/>
  <c r="Y283" i="1"/>
  <c r="BP282" i="1"/>
  <c r="BN282" i="1"/>
  <c r="Z282" i="1"/>
  <c r="Z283" i="1" s="1"/>
  <c r="Y284" i="1"/>
  <c r="R508" i="1"/>
  <c r="Y292" i="1"/>
  <c r="BP287" i="1"/>
  <c r="BN287" i="1"/>
  <c r="Z287" i="1"/>
  <c r="Z292" i="1" s="1"/>
  <c r="BP291" i="1"/>
  <c r="BN291" i="1"/>
  <c r="Z291" i="1"/>
  <c r="Y293" i="1"/>
  <c r="Y302" i="1"/>
  <c r="BP295" i="1"/>
  <c r="BN295" i="1"/>
  <c r="Z295" i="1"/>
  <c r="Z302" i="1" s="1"/>
  <c r="BP299" i="1"/>
  <c r="BN299" i="1"/>
  <c r="Z299" i="1"/>
  <c r="BP307" i="1"/>
  <c r="BN307" i="1"/>
  <c r="Z307" i="1"/>
  <c r="BP315" i="1"/>
  <c r="BN315" i="1"/>
  <c r="Z315" i="1"/>
  <c r="Z323" i="1"/>
  <c r="BP321" i="1"/>
  <c r="BN321" i="1"/>
  <c r="Z321" i="1"/>
  <c r="Y330" i="1"/>
  <c r="BP334" i="1"/>
  <c r="BN334" i="1"/>
  <c r="Z334" i="1"/>
  <c r="Z336" i="1" s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Z358" i="1" s="1"/>
  <c r="BP368" i="1"/>
  <c r="BN368" i="1"/>
  <c r="Z368" i="1"/>
  <c r="Y373" i="1"/>
  <c r="BP372" i="1"/>
  <c r="BN372" i="1"/>
  <c r="Z372" i="1"/>
  <c r="Z373" i="1" s="1"/>
  <c r="Y374" i="1"/>
  <c r="Y379" i="1"/>
  <c r="BP376" i="1"/>
  <c r="BN376" i="1"/>
  <c r="Z376" i="1"/>
  <c r="Z378" i="1" s="1"/>
  <c r="Y378" i="1"/>
  <c r="L508" i="1"/>
  <c r="Y255" i="1"/>
  <c r="M508" i="1"/>
  <c r="Y262" i="1"/>
  <c r="Y337" i="1"/>
  <c r="T508" i="1"/>
  <c r="Y349" i="1"/>
  <c r="BP388" i="1"/>
  <c r="BN388" i="1"/>
  <c r="Z388" i="1"/>
  <c r="Z397" i="1" s="1"/>
  <c r="BP392" i="1"/>
  <c r="BN392" i="1"/>
  <c r="Z392" i="1"/>
  <c r="BP396" i="1"/>
  <c r="BN396" i="1"/>
  <c r="Z396" i="1"/>
  <c r="Y398" i="1"/>
  <c r="Y403" i="1"/>
  <c r="BP400" i="1"/>
  <c r="BN400" i="1"/>
  <c r="Z400" i="1"/>
  <c r="Z402" i="1" s="1"/>
  <c r="Y414" i="1"/>
  <c r="BP413" i="1"/>
  <c r="BN413" i="1"/>
  <c r="Z413" i="1"/>
  <c r="X508" i="1"/>
  <c r="Y419" i="1"/>
  <c r="BP418" i="1"/>
  <c r="BN418" i="1"/>
  <c r="Z418" i="1"/>
  <c r="Z419" i="1" s="1"/>
  <c r="Y420" i="1"/>
  <c r="Y508" i="1"/>
  <c r="Y424" i="1"/>
  <c r="BP423" i="1"/>
  <c r="BN423" i="1"/>
  <c r="Z423" i="1"/>
  <c r="Z424" i="1" s="1"/>
  <c r="Y425" i="1"/>
  <c r="Z508" i="1"/>
  <c r="Y441" i="1"/>
  <c r="Y442" i="1"/>
  <c r="BP429" i="1"/>
  <c r="BN429" i="1"/>
  <c r="Z429" i="1"/>
  <c r="BP432" i="1"/>
  <c r="BN432" i="1"/>
  <c r="Z432" i="1"/>
  <c r="BP468" i="1"/>
  <c r="BN468" i="1"/>
  <c r="Z468" i="1"/>
  <c r="Y472" i="1"/>
  <c r="BP475" i="1"/>
  <c r="BN475" i="1"/>
  <c r="Z475" i="1"/>
  <c r="AA508" i="1"/>
  <c r="V508" i="1"/>
  <c r="Y397" i="1"/>
  <c r="BP436" i="1"/>
  <c r="BN436" i="1"/>
  <c r="Z436" i="1"/>
  <c r="BP440" i="1"/>
  <c r="BN440" i="1"/>
  <c r="Z440" i="1"/>
  <c r="Y447" i="1"/>
  <c r="BP444" i="1"/>
  <c r="BN444" i="1"/>
  <c r="Z444" i="1"/>
  <c r="Z447" i="1" s="1"/>
  <c r="BP452" i="1"/>
  <c r="BN452" i="1"/>
  <c r="Z452" i="1"/>
  <c r="BP460" i="1"/>
  <c r="BN460" i="1"/>
  <c r="Z460" i="1"/>
  <c r="Z462" i="1" s="1"/>
  <c r="Y471" i="1"/>
  <c r="BP470" i="1"/>
  <c r="BN470" i="1"/>
  <c r="Z470" i="1"/>
  <c r="Z471" i="1" s="1"/>
  <c r="Y478" i="1"/>
  <c r="BP474" i="1"/>
  <c r="BN474" i="1"/>
  <c r="Z474" i="1"/>
  <c r="Z477" i="1" s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369" i="1" l="1"/>
  <c r="Z316" i="1"/>
  <c r="Z310" i="1"/>
  <c r="Z269" i="1"/>
  <c r="Z245" i="1"/>
  <c r="Z43" i="1"/>
  <c r="Z31" i="1"/>
  <c r="Y502" i="1"/>
  <c r="Y499" i="1"/>
  <c r="Z441" i="1"/>
  <c r="Z456" i="1"/>
  <c r="Y500" i="1"/>
  <c r="Z211" i="1"/>
  <c r="Z104" i="1"/>
  <c r="Z89" i="1"/>
  <c r="Z503" i="1" s="1"/>
  <c r="Y498" i="1"/>
  <c r="Y501" i="1" l="1"/>
</calcChain>
</file>

<file path=xl/sharedStrings.xml><?xml version="1.0" encoding="utf-8"?>
<sst xmlns="http://schemas.openxmlformats.org/spreadsheetml/2006/main" count="2168" uniqueCount="779">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</sst>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4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2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4" t="s">
        <v>0</v>
      </c>
      <c r="E1" s="577"/>
      <c r="F1" s="577"/>
      <c r="G1" s="12" t="s">
        <v>1</v>
      </c>
      <c r="H1" s="624" t="s">
        <v>2</v>
      </c>
      <c r="I1" s="577"/>
      <c r="J1" s="577"/>
      <c r="K1" s="577"/>
      <c r="L1" s="577"/>
      <c r="M1" s="577"/>
      <c r="N1" s="577"/>
      <c r="O1" s="577"/>
      <c r="P1" s="577"/>
      <c r="Q1" s="577"/>
      <c r="R1" s="576" t="s">
        <v>3</v>
      </c>
      <c r="S1" s="577"/>
      <c r="T1" s="5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2" t="s">
        <v>8</v>
      </c>
      <c r="B5" s="604"/>
      <c r="C5" s="605"/>
      <c r="D5" s="632"/>
      <c r="E5" s="633"/>
      <c r="F5" s="833" t="s">
        <v>9</v>
      </c>
      <c r="G5" s="605"/>
      <c r="H5" s="632"/>
      <c r="I5" s="779"/>
      <c r="J5" s="779"/>
      <c r="K5" s="779"/>
      <c r="L5" s="779"/>
      <c r="M5" s="633"/>
      <c r="N5" s="58"/>
      <c r="P5" s="24" t="s">
        <v>10</v>
      </c>
      <c r="Q5" s="848">
        <v>45942</v>
      </c>
      <c r="R5" s="669"/>
      <c r="T5" s="707" t="s">
        <v>11</v>
      </c>
      <c r="U5" s="708"/>
      <c r="V5" s="710" t="s">
        <v>12</v>
      </c>
      <c r="W5" s="669"/>
      <c r="AB5" s="51"/>
      <c r="AC5" s="51"/>
      <c r="AD5" s="51"/>
      <c r="AE5" s="51"/>
    </row>
    <row r="6" spans="1:32" s="537" customFormat="1" ht="24" customHeight="1" x14ac:dyDescent="0.2">
      <c r="A6" s="672" t="s">
        <v>13</v>
      </c>
      <c r="B6" s="604"/>
      <c r="C6" s="605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69"/>
      <c r="N6" s="59"/>
      <c r="P6" s="24" t="s">
        <v>15</v>
      </c>
      <c r="Q6" s="856" t="str">
        <f>IF(Q5=0," ",CHOOSE(WEEKDAY(Q5,2),"Понедельник","Вторник","Среда","Четверг","Пятница","Суббота","Воскресенье"))</f>
        <v>Воскресенье</v>
      </c>
      <c r="R6" s="548"/>
      <c r="T6" s="715" t="s">
        <v>16</v>
      </c>
      <c r="U6" s="708"/>
      <c r="V6" s="763" t="s">
        <v>17</v>
      </c>
      <c r="W6" s="594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8" t="str">
        <f>IFERROR(VLOOKUP(DeliveryAddress,Table,3,0),1)</f>
        <v>1</v>
      </c>
      <c r="E7" s="609"/>
      <c r="F7" s="609"/>
      <c r="G7" s="609"/>
      <c r="H7" s="609"/>
      <c r="I7" s="609"/>
      <c r="J7" s="609"/>
      <c r="K7" s="609"/>
      <c r="L7" s="609"/>
      <c r="M7" s="610"/>
      <c r="N7" s="60"/>
      <c r="P7" s="24"/>
      <c r="Q7" s="42"/>
      <c r="R7" s="42"/>
      <c r="T7" s="556"/>
      <c r="U7" s="708"/>
      <c r="V7" s="764"/>
      <c r="W7" s="765"/>
      <c r="AB7" s="51"/>
      <c r="AC7" s="51"/>
      <c r="AD7" s="51"/>
      <c r="AE7" s="51"/>
    </row>
    <row r="8" spans="1:32" s="537" customFormat="1" ht="25.5" customHeight="1" x14ac:dyDescent="0.2">
      <c r="A8" s="866" t="s">
        <v>18</v>
      </c>
      <c r="B8" s="558"/>
      <c r="C8" s="559"/>
      <c r="D8" s="618"/>
      <c r="E8" s="619"/>
      <c r="F8" s="619"/>
      <c r="G8" s="619"/>
      <c r="H8" s="619"/>
      <c r="I8" s="619"/>
      <c r="J8" s="619"/>
      <c r="K8" s="619"/>
      <c r="L8" s="619"/>
      <c r="M8" s="620"/>
      <c r="N8" s="61"/>
      <c r="P8" s="24" t="s">
        <v>19</v>
      </c>
      <c r="Q8" s="677">
        <v>0.375</v>
      </c>
      <c r="R8" s="610"/>
      <c r="T8" s="556"/>
      <c r="U8" s="708"/>
      <c r="V8" s="764"/>
      <c r="W8" s="765"/>
      <c r="AB8" s="51"/>
      <c r="AC8" s="51"/>
      <c r="AD8" s="51"/>
      <c r="AE8" s="51"/>
    </row>
    <row r="9" spans="1:32" s="537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87"/>
      <c r="E9" s="561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60" t="str">
        <f>IF(AND($A$9="Тип доверенности/получателя при получении в адресе перегруза:",$D$9="Разовая доверенность"),"Введите ФИО","")</f>
        <v/>
      </c>
      <c r="I9" s="561"/>
      <c r="J9" s="5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1"/>
      <c r="L9" s="561"/>
      <c r="M9" s="561"/>
      <c r="N9" s="535"/>
      <c r="P9" s="26" t="s">
        <v>20</v>
      </c>
      <c r="Q9" s="666"/>
      <c r="R9" s="667"/>
      <c r="T9" s="556"/>
      <c r="U9" s="708"/>
      <c r="V9" s="766"/>
      <c r="W9" s="767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87"/>
      <c r="E10" s="561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58" t="str">
        <f>IFERROR(VLOOKUP($D$10,Proxy,2,FALSE),"")</f>
        <v/>
      </c>
      <c r="I10" s="556"/>
      <c r="J10" s="556"/>
      <c r="K10" s="556"/>
      <c r="L10" s="556"/>
      <c r="M10" s="556"/>
      <c r="N10" s="536"/>
      <c r="P10" s="26" t="s">
        <v>21</v>
      </c>
      <c r="Q10" s="716"/>
      <c r="R10" s="717"/>
      <c r="U10" s="24" t="s">
        <v>22</v>
      </c>
      <c r="V10" s="593" t="s">
        <v>23</v>
      </c>
      <c r="W10" s="594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8"/>
      <c r="R11" s="669"/>
      <c r="U11" s="24" t="s">
        <v>26</v>
      </c>
      <c r="V11" s="802" t="s">
        <v>27</v>
      </c>
      <c r="W11" s="667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3" t="s">
        <v>28</v>
      </c>
      <c r="B12" s="604"/>
      <c r="C12" s="604"/>
      <c r="D12" s="604"/>
      <c r="E12" s="604"/>
      <c r="F12" s="604"/>
      <c r="G12" s="604"/>
      <c r="H12" s="604"/>
      <c r="I12" s="604"/>
      <c r="J12" s="604"/>
      <c r="K12" s="604"/>
      <c r="L12" s="604"/>
      <c r="M12" s="605"/>
      <c r="N12" s="62"/>
      <c r="P12" s="24" t="s">
        <v>29</v>
      </c>
      <c r="Q12" s="677"/>
      <c r="R12" s="610"/>
      <c r="S12" s="23"/>
      <c r="U12" s="24"/>
      <c r="V12" s="577"/>
      <c r="W12" s="556"/>
      <c r="AB12" s="51"/>
      <c r="AC12" s="51"/>
      <c r="AD12" s="51"/>
      <c r="AE12" s="51"/>
    </row>
    <row r="13" spans="1:32" s="537" customFormat="1" ht="23.25" customHeight="1" x14ac:dyDescent="0.2">
      <c r="A13" s="703" t="s">
        <v>30</v>
      </c>
      <c r="B13" s="604"/>
      <c r="C13" s="604"/>
      <c r="D13" s="604"/>
      <c r="E13" s="604"/>
      <c r="F13" s="604"/>
      <c r="G13" s="604"/>
      <c r="H13" s="604"/>
      <c r="I13" s="604"/>
      <c r="J13" s="604"/>
      <c r="K13" s="604"/>
      <c r="L13" s="604"/>
      <c r="M13" s="605"/>
      <c r="N13" s="62"/>
      <c r="O13" s="26"/>
      <c r="P13" s="26" t="s">
        <v>31</v>
      </c>
      <c r="Q13" s="802"/>
      <c r="R13" s="66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3" t="s">
        <v>32</v>
      </c>
      <c r="B14" s="604"/>
      <c r="C14" s="604"/>
      <c r="D14" s="604"/>
      <c r="E14" s="604"/>
      <c r="F14" s="604"/>
      <c r="G14" s="604"/>
      <c r="H14" s="604"/>
      <c r="I14" s="604"/>
      <c r="J14" s="604"/>
      <c r="K14" s="604"/>
      <c r="L14" s="604"/>
      <c r="M14" s="60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2" t="s">
        <v>33</v>
      </c>
      <c r="B15" s="604"/>
      <c r="C15" s="604"/>
      <c r="D15" s="604"/>
      <c r="E15" s="604"/>
      <c r="F15" s="604"/>
      <c r="G15" s="604"/>
      <c r="H15" s="604"/>
      <c r="I15" s="604"/>
      <c r="J15" s="604"/>
      <c r="K15" s="604"/>
      <c r="L15" s="604"/>
      <c r="M15" s="605"/>
      <c r="N15" s="63"/>
      <c r="P15" s="698" t="s">
        <v>34</v>
      </c>
      <c r="Q15" s="577"/>
      <c r="R15" s="577"/>
      <c r="S15" s="577"/>
      <c r="T15" s="5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9"/>
      <c r="Q16" s="699"/>
      <c r="R16" s="699"/>
      <c r="S16" s="699"/>
      <c r="T16" s="6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35</v>
      </c>
      <c r="B17" s="588" t="s">
        <v>36</v>
      </c>
      <c r="C17" s="684" t="s">
        <v>37</v>
      </c>
      <c r="D17" s="588" t="s">
        <v>38</v>
      </c>
      <c r="E17" s="650"/>
      <c r="F17" s="588" t="s">
        <v>39</v>
      </c>
      <c r="G17" s="588" t="s">
        <v>40</v>
      </c>
      <c r="H17" s="588" t="s">
        <v>41</v>
      </c>
      <c r="I17" s="588" t="s">
        <v>42</v>
      </c>
      <c r="J17" s="588" t="s">
        <v>43</v>
      </c>
      <c r="K17" s="588" t="s">
        <v>44</v>
      </c>
      <c r="L17" s="588" t="s">
        <v>45</v>
      </c>
      <c r="M17" s="588" t="s">
        <v>46</v>
      </c>
      <c r="N17" s="588" t="s">
        <v>47</v>
      </c>
      <c r="O17" s="588" t="s">
        <v>48</v>
      </c>
      <c r="P17" s="588" t="s">
        <v>49</v>
      </c>
      <c r="Q17" s="649"/>
      <c r="R17" s="649"/>
      <c r="S17" s="649"/>
      <c r="T17" s="650"/>
      <c r="U17" s="862" t="s">
        <v>50</v>
      </c>
      <c r="V17" s="605"/>
      <c r="W17" s="588" t="s">
        <v>51</v>
      </c>
      <c r="X17" s="588" t="s">
        <v>52</v>
      </c>
      <c r="Y17" s="864" t="s">
        <v>53</v>
      </c>
      <c r="Z17" s="777" t="s">
        <v>54</v>
      </c>
      <c r="AA17" s="756" t="s">
        <v>55</v>
      </c>
      <c r="AB17" s="756" t="s">
        <v>56</v>
      </c>
      <c r="AC17" s="756" t="s">
        <v>57</v>
      </c>
      <c r="AD17" s="756" t="s">
        <v>58</v>
      </c>
      <c r="AE17" s="828"/>
      <c r="AF17" s="829"/>
      <c r="AG17" s="66"/>
      <c r="BD17" s="65" t="s">
        <v>59</v>
      </c>
    </row>
    <row r="18" spans="1:68" ht="14.25" customHeight="1" x14ac:dyDescent="0.2">
      <c r="A18" s="589"/>
      <c r="B18" s="589"/>
      <c r="C18" s="589"/>
      <c r="D18" s="651"/>
      <c r="E18" s="653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51"/>
      <c r="Q18" s="652"/>
      <c r="R18" s="652"/>
      <c r="S18" s="652"/>
      <c r="T18" s="653"/>
      <c r="U18" s="67" t="s">
        <v>60</v>
      </c>
      <c r="V18" s="67" t="s">
        <v>61</v>
      </c>
      <c r="W18" s="589"/>
      <c r="X18" s="589"/>
      <c r="Y18" s="865"/>
      <c r="Z18" s="778"/>
      <c r="AA18" s="757"/>
      <c r="AB18" s="757"/>
      <c r="AC18" s="757"/>
      <c r="AD18" s="830"/>
      <c r="AE18" s="831"/>
      <c r="AF18" s="832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62" t="s">
        <v>62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38"/>
      <c r="AB20" s="538"/>
      <c r="AC20" s="538"/>
    </row>
    <row r="21" spans="1:68" ht="14.25" customHeight="1" x14ac:dyDescent="0.25">
      <c r="A21" s="555" t="s">
        <v>63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9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70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70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5" t="s">
        <v>72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68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68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78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68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68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5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68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9"/>
      <c r="B31" s="556"/>
      <c r="C31" s="556"/>
      <c r="D31" s="556"/>
      <c r="E31" s="556"/>
      <c r="F31" s="556"/>
      <c r="G31" s="556"/>
      <c r="H31" s="556"/>
      <c r="I31" s="556"/>
      <c r="J31" s="556"/>
      <c r="K31" s="556"/>
      <c r="L31" s="556"/>
      <c r="M31" s="556"/>
      <c r="N31" s="556"/>
      <c r="O31" s="570"/>
      <c r="P31" s="557" t="s">
        <v>70</v>
      </c>
      <c r="Q31" s="558"/>
      <c r="R31" s="558"/>
      <c r="S31" s="558"/>
      <c r="T31" s="558"/>
      <c r="U31" s="558"/>
      <c r="V31" s="559"/>
      <c r="W31" s="37" t="s">
        <v>71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x14ac:dyDescent="0.2">
      <c r="A32" s="556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70"/>
      <c r="P32" s="557" t="s">
        <v>70</v>
      </c>
      <c r="Q32" s="558"/>
      <c r="R32" s="558"/>
      <c r="S32" s="558"/>
      <c r="T32" s="558"/>
      <c r="U32" s="558"/>
      <c r="V32" s="559"/>
      <c r="W32" s="37" t="s">
        <v>68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customHeight="1" x14ac:dyDescent="0.25">
      <c r="A33" s="555" t="s">
        <v>90</v>
      </c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6"/>
      <c r="P33" s="556"/>
      <c r="Q33" s="556"/>
      <c r="R33" s="556"/>
      <c r="S33" s="556"/>
      <c r="T33" s="556"/>
      <c r="U33" s="556"/>
      <c r="V33" s="556"/>
      <c r="W33" s="556"/>
      <c r="X33" s="556"/>
      <c r="Y33" s="556"/>
      <c r="Z33" s="556"/>
      <c r="AA33" s="539"/>
      <c r="AB33" s="539"/>
      <c r="AC33" s="539"/>
    </row>
    <row r="34" spans="1:68" ht="27" customHeight="1" x14ac:dyDescent="0.25">
      <c r="A34" s="54" t="s">
        <v>91</v>
      </c>
      <c r="B34" s="54" t="s">
        <v>92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68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9"/>
      <c r="B35" s="556"/>
      <c r="C35" s="556"/>
      <c r="D35" s="556"/>
      <c r="E35" s="556"/>
      <c r="F35" s="556"/>
      <c r="G35" s="556"/>
      <c r="H35" s="556"/>
      <c r="I35" s="556"/>
      <c r="J35" s="556"/>
      <c r="K35" s="556"/>
      <c r="L35" s="556"/>
      <c r="M35" s="556"/>
      <c r="N35" s="556"/>
      <c r="O35" s="570"/>
      <c r="P35" s="557" t="s">
        <v>70</v>
      </c>
      <c r="Q35" s="558"/>
      <c r="R35" s="558"/>
      <c r="S35" s="558"/>
      <c r="T35" s="558"/>
      <c r="U35" s="558"/>
      <c r="V35" s="559"/>
      <c r="W35" s="37" t="s">
        <v>71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x14ac:dyDescent="0.2">
      <c r="A36" s="556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70"/>
      <c r="P36" s="557" t="s">
        <v>70</v>
      </c>
      <c r="Q36" s="558"/>
      <c r="R36" s="558"/>
      <c r="S36" s="558"/>
      <c r="T36" s="558"/>
      <c r="U36" s="558"/>
      <c r="V36" s="559"/>
      <c r="W36" s="37" t="s">
        <v>68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customHeight="1" x14ac:dyDescent="0.2">
      <c r="A37" s="606" t="s">
        <v>96</v>
      </c>
      <c r="B37" s="607"/>
      <c r="C37" s="607"/>
      <c r="D37" s="607"/>
      <c r="E37" s="607"/>
      <c r="F37" s="607"/>
      <c r="G37" s="607"/>
      <c r="H37" s="607"/>
      <c r="I37" s="607"/>
      <c r="J37" s="607"/>
      <c r="K37" s="607"/>
      <c r="L37" s="607"/>
      <c r="M37" s="607"/>
      <c r="N37" s="607"/>
      <c r="O37" s="607"/>
      <c r="P37" s="607"/>
      <c r="Q37" s="607"/>
      <c r="R37" s="607"/>
      <c r="S37" s="607"/>
      <c r="T37" s="607"/>
      <c r="U37" s="607"/>
      <c r="V37" s="607"/>
      <c r="W37" s="607"/>
      <c r="X37" s="607"/>
      <c r="Y37" s="607"/>
      <c r="Z37" s="607"/>
      <c r="AA37" s="48"/>
      <c r="AB37" s="48"/>
      <c r="AC37" s="48"/>
    </row>
    <row r="38" spans="1:68" ht="16.5" customHeight="1" x14ac:dyDescent="0.25">
      <c r="A38" s="562" t="s">
        <v>97</v>
      </c>
      <c r="B38" s="556"/>
      <c r="C38" s="556"/>
      <c r="D38" s="556"/>
      <c r="E38" s="556"/>
      <c r="F38" s="556"/>
      <c r="G38" s="556"/>
      <c r="H38" s="556"/>
      <c r="I38" s="556"/>
      <c r="J38" s="556"/>
      <c r="K38" s="556"/>
      <c r="L38" s="556"/>
      <c r="M38" s="556"/>
      <c r="N38" s="556"/>
      <c r="O38" s="556"/>
      <c r="P38" s="556"/>
      <c r="Q38" s="556"/>
      <c r="R38" s="556"/>
      <c r="S38" s="556"/>
      <c r="T38" s="556"/>
      <c r="U38" s="556"/>
      <c r="V38" s="556"/>
      <c r="W38" s="556"/>
      <c r="X38" s="556"/>
      <c r="Y38" s="556"/>
      <c r="Z38" s="556"/>
      <c r="AA38" s="538"/>
      <c r="AB38" s="538"/>
      <c r="AC38" s="538"/>
    </row>
    <row r="39" spans="1:68" ht="14.25" customHeight="1" x14ac:dyDescent="0.25">
      <c r="A39" s="555" t="s">
        <v>98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39"/>
      <c r="AB39" s="539"/>
      <c r="AC39" s="539"/>
    </row>
    <row r="40" spans="1:68" ht="16.5" customHeight="1" x14ac:dyDescent="0.25">
      <c r="A40" s="54" t="s">
        <v>99</v>
      </c>
      <c r="B40" s="54" t="s">
        <v>100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7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68</v>
      </c>
      <c r="X40" s="543">
        <v>100</v>
      </c>
      <c r="Y40" s="544">
        <f>IFERROR(IF(X40="",0,CEILING((X40/$H40),1)*$H40),"")</f>
        <v>108</v>
      </c>
      <c r="Z40" s="36">
        <f>IFERROR(IF(Y40=0,"",ROUNDUP(Y40/H40,0)*0.01898),"")</f>
        <v>0.1898</v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104.02777777777777</v>
      </c>
      <c r="BN40" s="64">
        <f>IFERROR(Y40*I40/H40,"0")</f>
        <v>112.34999999999998</v>
      </c>
      <c r="BO40" s="64">
        <f>IFERROR(1/J40*(X40/H40),"0")</f>
        <v>0.14467592592592593</v>
      </c>
      <c r="BP40" s="64">
        <f>IFERROR(1/J40*(Y40/H40),"0")</f>
        <v>0.15625</v>
      </c>
    </row>
    <row r="41" spans="1:68" ht="27" customHeight="1" x14ac:dyDescent="0.25">
      <c r="A41" s="54" t="s">
        <v>104</v>
      </c>
      <c r="B41" s="54" t="s">
        <v>105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8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68</v>
      </c>
      <c r="X41" s="543">
        <v>200</v>
      </c>
      <c r="Y41" s="544">
        <f>IFERROR(IF(X41="",0,CEILING((X41/$H41),1)*$H41),"")</f>
        <v>200</v>
      </c>
      <c r="Z41" s="36">
        <f>IFERROR(IF(Y41=0,"",ROUNDUP(Y41/H41,0)*0.00902),"")</f>
        <v>0.45100000000000001</v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210.5</v>
      </c>
      <c r="BN41" s="64">
        <f>IFERROR(Y41*I41/H41,"0")</f>
        <v>210.5</v>
      </c>
      <c r="BO41" s="64">
        <f>IFERROR(1/J41*(X41/H41),"0")</f>
        <v>0.37878787878787878</v>
      </c>
      <c r="BP41" s="64">
        <f>IFERROR(1/J41*(Y41/H41),"0")</f>
        <v>0.37878787878787878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3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9"/>
      <c r="B43" s="556"/>
      <c r="C43" s="556"/>
      <c r="D43" s="556"/>
      <c r="E43" s="556"/>
      <c r="F43" s="556"/>
      <c r="G43" s="556"/>
      <c r="H43" s="556"/>
      <c r="I43" s="556"/>
      <c r="J43" s="556"/>
      <c r="K43" s="556"/>
      <c r="L43" s="556"/>
      <c r="M43" s="556"/>
      <c r="N43" s="556"/>
      <c r="O43" s="570"/>
      <c r="P43" s="557" t="s">
        <v>70</v>
      </c>
      <c r="Q43" s="558"/>
      <c r="R43" s="558"/>
      <c r="S43" s="558"/>
      <c r="T43" s="558"/>
      <c r="U43" s="558"/>
      <c r="V43" s="559"/>
      <c r="W43" s="37" t="s">
        <v>71</v>
      </c>
      <c r="X43" s="545">
        <f>IFERROR(X40/H40,"0")+IFERROR(X41/H41,"0")+IFERROR(X42/H42,"0")</f>
        <v>59.25925925925926</v>
      </c>
      <c r="Y43" s="545">
        <f>IFERROR(Y40/H40,"0")+IFERROR(Y41/H41,"0")+IFERROR(Y42/H42,"0")</f>
        <v>60</v>
      </c>
      <c r="Z43" s="545">
        <f>IFERROR(IF(Z40="",0,Z40),"0")+IFERROR(IF(Z41="",0,Z41),"0")+IFERROR(IF(Z42="",0,Z42),"0")</f>
        <v>0.64080000000000004</v>
      </c>
      <c r="AA43" s="546"/>
      <c r="AB43" s="546"/>
      <c r="AC43" s="546"/>
    </row>
    <row r="44" spans="1:68" x14ac:dyDescent="0.2">
      <c r="A44" s="556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70"/>
      <c r="P44" s="557" t="s">
        <v>70</v>
      </c>
      <c r="Q44" s="558"/>
      <c r="R44" s="558"/>
      <c r="S44" s="558"/>
      <c r="T44" s="558"/>
      <c r="U44" s="558"/>
      <c r="V44" s="559"/>
      <c r="W44" s="37" t="s">
        <v>68</v>
      </c>
      <c r="X44" s="545">
        <f>IFERROR(SUM(X40:X42),"0")</f>
        <v>300</v>
      </c>
      <c r="Y44" s="545">
        <f>IFERROR(SUM(Y40:Y42),"0")</f>
        <v>308</v>
      </c>
      <c r="Z44" s="37"/>
      <c r="AA44" s="546"/>
      <c r="AB44" s="546"/>
      <c r="AC44" s="546"/>
    </row>
    <row r="45" spans="1:68" ht="14.25" customHeight="1" x14ac:dyDescent="0.25">
      <c r="A45" s="555" t="s">
        <v>72</v>
      </c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56"/>
      <c r="P45" s="556"/>
      <c r="Q45" s="556"/>
      <c r="R45" s="556"/>
      <c r="S45" s="556"/>
      <c r="T45" s="556"/>
      <c r="U45" s="556"/>
      <c r="V45" s="556"/>
      <c r="W45" s="556"/>
      <c r="X45" s="556"/>
      <c r="Y45" s="556"/>
      <c r="Z45" s="556"/>
      <c r="AA45" s="539"/>
      <c r="AB45" s="539"/>
      <c r="AC45" s="539"/>
    </row>
    <row r="46" spans="1:68" ht="16.5" customHeight="1" x14ac:dyDescent="0.25">
      <c r="A46" s="54" t="s">
        <v>109</v>
      </c>
      <c r="B46" s="54" t="s">
        <v>110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7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68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9"/>
      <c r="B47" s="556"/>
      <c r="C47" s="556"/>
      <c r="D47" s="556"/>
      <c r="E47" s="556"/>
      <c r="F47" s="556"/>
      <c r="G47" s="556"/>
      <c r="H47" s="556"/>
      <c r="I47" s="556"/>
      <c r="J47" s="556"/>
      <c r="K47" s="556"/>
      <c r="L47" s="556"/>
      <c r="M47" s="556"/>
      <c r="N47" s="556"/>
      <c r="O47" s="570"/>
      <c r="P47" s="557" t="s">
        <v>70</v>
      </c>
      <c r="Q47" s="558"/>
      <c r="R47" s="558"/>
      <c r="S47" s="558"/>
      <c r="T47" s="558"/>
      <c r="U47" s="558"/>
      <c r="V47" s="559"/>
      <c r="W47" s="37" t="s">
        <v>71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x14ac:dyDescent="0.2">
      <c r="A48" s="556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70"/>
      <c r="P48" s="557" t="s">
        <v>70</v>
      </c>
      <c r="Q48" s="558"/>
      <c r="R48" s="558"/>
      <c r="S48" s="558"/>
      <c r="T48" s="558"/>
      <c r="U48" s="558"/>
      <c r="V48" s="559"/>
      <c r="W48" s="37" t="s">
        <v>68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customHeight="1" x14ac:dyDescent="0.25">
      <c r="A49" s="562" t="s">
        <v>112</v>
      </c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56"/>
      <c r="P49" s="556"/>
      <c r="Q49" s="556"/>
      <c r="R49" s="556"/>
      <c r="S49" s="556"/>
      <c r="T49" s="556"/>
      <c r="U49" s="556"/>
      <c r="V49" s="556"/>
      <c r="W49" s="556"/>
      <c r="X49" s="556"/>
      <c r="Y49" s="556"/>
      <c r="Z49" s="556"/>
      <c r="AA49" s="538"/>
      <c r="AB49" s="538"/>
      <c r="AC49" s="538"/>
    </row>
    <row r="50" spans="1:68" ht="14.25" customHeight="1" x14ac:dyDescent="0.25">
      <c r="A50" s="555" t="s">
        <v>98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39"/>
      <c r="AB50" s="539"/>
      <c r="AC50" s="539"/>
    </row>
    <row r="51" spans="1:68" ht="27" customHeight="1" x14ac:dyDescent="0.25">
      <c r="A51" s="54" t="s">
        <v>113</v>
      </c>
      <c r="B51" s="54" t="s">
        <v>114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72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68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116</v>
      </c>
      <c r="B52" s="54" t="s">
        <v>117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66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68</v>
      </c>
      <c r="X52" s="543">
        <v>300</v>
      </c>
      <c r="Y52" s="544">
        <f t="shared" si="0"/>
        <v>302.40000000000003</v>
      </c>
      <c r="Z52" s="36">
        <f>IFERROR(IF(Y52=0,"",ROUNDUP(Y52/H52,0)*0.01898),"")</f>
        <v>0.53144000000000002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312.08333333333331</v>
      </c>
      <c r="BN52" s="64">
        <f t="shared" si="2"/>
        <v>314.58000000000004</v>
      </c>
      <c r="BO52" s="64">
        <f t="shared" si="3"/>
        <v>0.43402777777777773</v>
      </c>
      <c r="BP52" s="64">
        <f t="shared" si="4"/>
        <v>0.4375</v>
      </c>
    </row>
    <row r="53" spans="1:68" ht="27" customHeight="1" x14ac:dyDescent="0.25">
      <c r="A53" s="54" t="s">
        <v>119</v>
      </c>
      <c r="B53" s="54" t="s">
        <v>120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68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122</v>
      </c>
      <c r="B54" s="54" t="s">
        <v>123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68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124</v>
      </c>
      <c r="B55" s="54" t="s">
        <v>125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68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68</v>
      </c>
      <c r="X56" s="543">
        <v>270</v>
      </c>
      <c r="Y56" s="544">
        <f t="shared" si="0"/>
        <v>270</v>
      </c>
      <c r="Z56" s="36">
        <f>IFERROR(IF(Y56=0,"",ROUNDUP(Y56/H56,0)*0.00902),"")</f>
        <v>0.54120000000000001</v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282.60000000000002</v>
      </c>
      <c r="BN56" s="64">
        <f t="shared" si="2"/>
        <v>282.60000000000002</v>
      </c>
      <c r="BO56" s="64">
        <f t="shared" si="3"/>
        <v>0.45454545454545459</v>
      </c>
      <c r="BP56" s="64">
        <f t="shared" si="4"/>
        <v>0.45454545454545459</v>
      </c>
    </row>
    <row r="57" spans="1:68" x14ac:dyDescent="0.2">
      <c r="A57" s="569"/>
      <c r="B57" s="556"/>
      <c r="C57" s="556"/>
      <c r="D57" s="556"/>
      <c r="E57" s="556"/>
      <c r="F57" s="556"/>
      <c r="G57" s="556"/>
      <c r="H57" s="556"/>
      <c r="I57" s="556"/>
      <c r="J57" s="556"/>
      <c r="K57" s="556"/>
      <c r="L57" s="556"/>
      <c r="M57" s="556"/>
      <c r="N57" s="556"/>
      <c r="O57" s="570"/>
      <c r="P57" s="557" t="s">
        <v>70</v>
      </c>
      <c r="Q57" s="558"/>
      <c r="R57" s="558"/>
      <c r="S57" s="558"/>
      <c r="T57" s="558"/>
      <c r="U57" s="558"/>
      <c r="V57" s="559"/>
      <c r="W57" s="37" t="s">
        <v>71</v>
      </c>
      <c r="X57" s="545">
        <f>IFERROR(X51/H51,"0")+IFERROR(X52/H52,"0")+IFERROR(X53/H53,"0")+IFERROR(X54/H54,"0")+IFERROR(X55/H55,"0")+IFERROR(X56/H56,"0")</f>
        <v>87.777777777777771</v>
      </c>
      <c r="Y57" s="545">
        <f>IFERROR(Y51/H51,"0")+IFERROR(Y52/H52,"0")+IFERROR(Y53/H53,"0")+IFERROR(Y54/H54,"0")+IFERROR(Y55/H55,"0")+IFERROR(Y56/H56,"0")</f>
        <v>88</v>
      </c>
      <c r="Z57" s="545">
        <f>IFERROR(IF(Z51="",0,Z51),"0")+IFERROR(IF(Z52="",0,Z52),"0")+IFERROR(IF(Z53="",0,Z53),"0")+IFERROR(IF(Z54="",0,Z54),"0")+IFERROR(IF(Z55="",0,Z55),"0")+IFERROR(IF(Z56="",0,Z56),"0")</f>
        <v>1.07264</v>
      </c>
      <c r="AA57" s="546"/>
      <c r="AB57" s="546"/>
      <c r="AC57" s="546"/>
    </row>
    <row r="58" spans="1:68" x14ac:dyDescent="0.2">
      <c r="A58" s="556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70"/>
      <c r="P58" s="557" t="s">
        <v>70</v>
      </c>
      <c r="Q58" s="558"/>
      <c r="R58" s="558"/>
      <c r="S58" s="558"/>
      <c r="T58" s="558"/>
      <c r="U58" s="558"/>
      <c r="V58" s="559"/>
      <c r="W58" s="37" t="s">
        <v>68</v>
      </c>
      <c r="X58" s="545">
        <f>IFERROR(SUM(X51:X56),"0")</f>
        <v>570</v>
      </c>
      <c r="Y58" s="545">
        <f>IFERROR(SUM(Y51:Y56),"0")</f>
        <v>572.40000000000009</v>
      </c>
      <c r="Z58" s="37"/>
      <c r="AA58" s="546"/>
      <c r="AB58" s="546"/>
      <c r="AC58" s="546"/>
    </row>
    <row r="59" spans="1:68" ht="14.25" customHeight="1" x14ac:dyDescent="0.25">
      <c r="A59" s="555" t="s">
        <v>130</v>
      </c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56"/>
      <c r="P59" s="556"/>
      <c r="Q59" s="556"/>
      <c r="R59" s="556"/>
      <c r="S59" s="556"/>
      <c r="T59" s="556"/>
      <c r="U59" s="556"/>
      <c r="V59" s="556"/>
      <c r="W59" s="556"/>
      <c r="X59" s="556"/>
      <c r="Y59" s="556"/>
      <c r="Z59" s="556"/>
      <c r="AA59" s="539"/>
      <c r="AB59" s="539"/>
      <c r="AC59" s="539"/>
    </row>
    <row r="60" spans="1:68" ht="16.5" customHeight="1" x14ac:dyDescent="0.25">
      <c r="A60" s="54" t="s">
        <v>131</v>
      </c>
      <c r="B60" s="54" t="s">
        <v>132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6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68</v>
      </c>
      <c r="X60" s="543">
        <v>100</v>
      </c>
      <c r="Y60" s="544">
        <f>IFERROR(IF(X60="",0,CEILING((X60/$H60),1)*$H60),"")</f>
        <v>108</v>
      </c>
      <c r="Z60" s="36">
        <f>IFERROR(IF(Y60=0,"",ROUNDUP(Y60/H60,0)*0.01898),"")</f>
        <v>0.1898</v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104.02777777777777</v>
      </c>
      <c r="BN60" s="64">
        <f>IFERROR(Y60*I60/H60,"0")</f>
        <v>112.34999999999998</v>
      </c>
      <c r="BO60" s="64">
        <f>IFERROR(1/J60*(X60/H60),"0")</f>
        <v>0.14467592592592593</v>
      </c>
      <c r="BP60" s="64">
        <f>IFERROR(1/J60*(Y60/H60),"0")</f>
        <v>0.15625</v>
      </c>
    </row>
    <row r="61" spans="1:68" ht="16.5" customHeight="1" x14ac:dyDescent="0.25">
      <c r="A61" s="54" t="s">
        <v>134</v>
      </c>
      <c r="B61" s="54" t="s">
        <v>135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79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136</v>
      </c>
      <c r="B62" s="54" t="s">
        <v>137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68</v>
      </c>
      <c r="X62" s="543">
        <v>180</v>
      </c>
      <c r="Y62" s="544">
        <f>IFERROR(IF(X62="",0,CEILING((X62/$H62),1)*$H62),"")</f>
        <v>180.9</v>
      </c>
      <c r="Z62" s="36">
        <f>IFERROR(IF(Y62=0,"",ROUNDUP(Y62/H62,0)*0.00651),"")</f>
        <v>0.43617</v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191.99999999999997</v>
      </c>
      <c r="BN62" s="64">
        <f>IFERROR(Y62*I62/H62,"0")</f>
        <v>192.95999999999998</v>
      </c>
      <c r="BO62" s="64">
        <f>IFERROR(1/J62*(X62/H62),"0")</f>
        <v>0.36630036630036628</v>
      </c>
      <c r="BP62" s="64">
        <f>IFERROR(1/J62*(Y62/H62),"0")</f>
        <v>0.36813186813186816</v>
      </c>
    </row>
    <row r="63" spans="1:68" x14ac:dyDescent="0.2">
      <c r="A63" s="569"/>
      <c r="B63" s="556"/>
      <c r="C63" s="556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70"/>
      <c r="P63" s="557" t="s">
        <v>70</v>
      </c>
      <c r="Q63" s="558"/>
      <c r="R63" s="558"/>
      <c r="S63" s="558"/>
      <c r="T63" s="558"/>
      <c r="U63" s="558"/>
      <c r="V63" s="559"/>
      <c r="W63" s="37" t="s">
        <v>71</v>
      </c>
      <c r="X63" s="545">
        <f>IFERROR(X60/H60,"0")+IFERROR(X61/H61,"0")+IFERROR(X62/H62,"0")</f>
        <v>75.925925925925924</v>
      </c>
      <c r="Y63" s="545">
        <f>IFERROR(Y60/H60,"0")+IFERROR(Y61/H61,"0")+IFERROR(Y62/H62,"0")</f>
        <v>77</v>
      </c>
      <c r="Z63" s="545">
        <f>IFERROR(IF(Z60="",0,Z60),"0")+IFERROR(IF(Z61="",0,Z61),"0")+IFERROR(IF(Z62="",0,Z62),"0")</f>
        <v>0.62597000000000003</v>
      </c>
      <c r="AA63" s="546"/>
      <c r="AB63" s="546"/>
      <c r="AC63" s="546"/>
    </row>
    <row r="64" spans="1:68" x14ac:dyDescent="0.2">
      <c r="A64" s="556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70"/>
      <c r="P64" s="557" t="s">
        <v>70</v>
      </c>
      <c r="Q64" s="558"/>
      <c r="R64" s="558"/>
      <c r="S64" s="558"/>
      <c r="T64" s="558"/>
      <c r="U64" s="558"/>
      <c r="V64" s="559"/>
      <c r="W64" s="37" t="s">
        <v>68</v>
      </c>
      <c r="X64" s="545">
        <f>IFERROR(SUM(X60:X62),"0")</f>
        <v>280</v>
      </c>
      <c r="Y64" s="545">
        <f>IFERROR(SUM(Y60:Y62),"0")</f>
        <v>288.89999999999998</v>
      </c>
      <c r="Z64" s="37"/>
      <c r="AA64" s="546"/>
      <c r="AB64" s="546"/>
      <c r="AC64" s="546"/>
    </row>
    <row r="65" spans="1:68" ht="14.25" customHeight="1" x14ac:dyDescent="0.25">
      <c r="A65" s="555" t="s">
        <v>63</v>
      </c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56"/>
      <c r="P65" s="556"/>
      <c r="Q65" s="556"/>
      <c r="R65" s="556"/>
      <c r="S65" s="556"/>
      <c r="T65" s="556"/>
      <c r="U65" s="556"/>
      <c r="V65" s="556"/>
      <c r="W65" s="556"/>
      <c r="X65" s="556"/>
      <c r="Y65" s="556"/>
      <c r="Z65" s="556"/>
      <c r="AA65" s="539"/>
      <c r="AB65" s="539"/>
      <c r="AC65" s="539"/>
    </row>
    <row r="66" spans="1:68" ht="27" customHeight="1" x14ac:dyDescent="0.25">
      <c r="A66" s="54" t="s">
        <v>138</v>
      </c>
      <c r="B66" s="54" t="s">
        <v>139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68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141</v>
      </c>
      <c r="B67" s="54" t="s">
        <v>142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144</v>
      </c>
      <c r="B68" s="54" t="s">
        <v>145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9"/>
      <c r="B69" s="556"/>
      <c r="C69" s="556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70"/>
      <c r="P69" s="557" t="s">
        <v>70</v>
      </c>
      <c r="Q69" s="558"/>
      <c r="R69" s="558"/>
      <c r="S69" s="558"/>
      <c r="T69" s="558"/>
      <c r="U69" s="558"/>
      <c r="V69" s="559"/>
      <c r="W69" s="37" t="s">
        <v>71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x14ac:dyDescent="0.2">
      <c r="A70" s="556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70"/>
      <c r="P70" s="557" t="s">
        <v>70</v>
      </c>
      <c r="Q70" s="558"/>
      <c r="R70" s="558"/>
      <c r="S70" s="558"/>
      <c r="T70" s="558"/>
      <c r="U70" s="558"/>
      <c r="V70" s="559"/>
      <c r="W70" s="37" t="s">
        <v>68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customHeight="1" x14ac:dyDescent="0.25">
      <c r="A71" s="555" t="s">
        <v>72</v>
      </c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6"/>
      <c r="P71" s="556"/>
      <c r="Q71" s="556"/>
      <c r="R71" s="556"/>
      <c r="S71" s="556"/>
      <c r="T71" s="556"/>
      <c r="U71" s="556"/>
      <c r="V71" s="556"/>
      <c r="W71" s="556"/>
      <c r="X71" s="556"/>
      <c r="Y71" s="556"/>
      <c r="Z71" s="556"/>
      <c r="AA71" s="539"/>
      <c r="AB71" s="539"/>
      <c r="AC71" s="539"/>
    </row>
    <row r="72" spans="1:68" ht="16.5" customHeight="1" x14ac:dyDescent="0.25">
      <c r="A72" s="54" t="s">
        <v>147</v>
      </c>
      <c r="B72" s="54" t="s">
        <v>148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4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68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150</v>
      </c>
      <c r="B73" s="54" t="s">
        <v>151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153</v>
      </c>
      <c r="B74" s="54" t="s">
        <v>154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7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155</v>
      </c>
      <c r="B75" s="54" t="s">
        <v>156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157</v>
      </c>
      <c r="B76" s="54" t="s">
        <v>158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9"/>
      <c r="B77" s="556"/>
      <c r="C77" s="556"/>
      <c r="D77" s="556"/>
      <c r="E77" s="556"/>
      <c r="F77" s="556"/>
      <c r="G77" s="556"/>
      <c r="H77" s="556"/>
      <c r="I77" s="556"/>
      <c r="J77" s="556"/>
      <c r="K77" s="556"/>
      <c r="L77" s="556"/>
      <c r="M77" s="556"/>
      <c r="N77" s="556"/>
      <c r="O77" s="570"/>
      <c r="P77" s="557" t="s">
        <v>70</v>
      </c>
      <c r="Q77" s="558"/>
      <c r="R77" s="558"/>
      <c r="S77" s="558"/>
      <c r="T77" s="558"/>
      <c r="U77" s="558"/>
      <c r="V77" s="559"/>
      <c r="W77" s="37" t="s">
        <v>71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x14ac:dyDescent="0.2">
      <c r="A78" s="556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70"/>
      <c r="P78" s="557" t="s">
        <v>70</v>
      </c>
      <c r="Q78" s="558"/>
      <c r="R78" s="558"/>
      <c r="S78" s="558"/>
      <c r="T78" s="558"/>
      <c r="U78" s="558"/>
      <c r="V78" s="559"/>
      <c r="W78" s="37" t="s">
        <v>68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customHeight="1" x14ac:dyDescent="0.25">
      <c r="A79" s="555" t="s">
        <v>160</v>
      </c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56"/>
      <c r="P79" s="556"/>
      <c r="Q79" s="556"/>
      <c r="R79" s="556"/>
      <c r="S79" s="556"/>
      <c r="T79" s="556"/>
      <c r="U79" s="556"/>
      <c r="V79" s="556"/>
      <c r="W79" s="556"/>
      <c r="X79" s="556"/>
      <c r="Y79" s="556"/>
      <c r="Z79" s="556"/>
      <c r="AA79" s="539"/>
      <c r="AB79" s="539"/>
      <c r="AC79" s="539"/>
    </row>
    <row r="80" spans="1:68" ht="27" customHeight="1" x14ac:dyDescent="0.25">
      <c r="A80" s="54" t="s">
        <v>161</v>
      </c>
      <c r="B80" s="54" t="s">
        <v>162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68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164</v>
      </c>
      <c r="B81" s="54" t="s">
        <v>165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9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9"/>
      <c r="B82" s="556"/>
      <c r="C82" s="556"/>
      <c r="D82" s="556"/>
      <c r="E82" s="556"/>
      <c r="F82" s="556"/>
      <c r="G82" s="556"/>
      <c r="H82" s="556"/>
      <c r="I82" s="556"/>
      <c r="J82" s="556"/>
      <c r="K82" s="556"/>
      <c r="L82" s="556"/>
      <c r="M82" s="556"/>
      <c r="N82" s="556"/>
      <c r="O82" s="570"/>
      <c r="P82" s="557" t="s">
        <v>70</v>
      </c>
      <c r="Q82" s="558"/>
      <c r="R82" s="558"/>
      <c r="S82" s="558"/>
      <c r="T82" s="558"/>
      <c r="U82" s="558"/>
      <c r="V82" s="559"/>
      <c r="W82" s="37" t="s">
        <v>71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x14ac:dyDescent="0.2">
      <c r="A83" s="556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70"/>
      <c r="P83" s="557" t="s">
        <v>70</v>
      </c>
      <c r="Q83" s="558"/>
      <c r="R83" s="558"/>
      <c r="S83" s="558"/>
      <c r="T83" s="558"/>
      <c r="U83" s="558"/>
      <c r="V83" s="559"/>
      <c r="W83" s="37" t="s">
        <v>68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customHeight="1" x14ac:dyDescent="0.25">
      <c r="A84" s="562" t="s">
        <v>167</v>
      </c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38"/>
      <c r="AB84" s="538"/>
      <c r="AC84" s="538"/>
    </row>
    <row r="85" spans="1:68" ht="14.25" customHeight="1" x14ac:dyDescent="0.25">
      <c r="A85" s="555" t="s">
        <v>98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39"/>
      <c r="AB85" s="539"/>
      <c r="AC85" s="539"/>
    </row>
    <row r="86" spans="1:68" ht="27" customHeight="1" x14ac:dyDescent="0.25">
      <c r="A86" s="54" t="s">
        <v>168</v>
      </c>
      <c r="B86" s="54" t="s">
        <v>169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68</v>
      </c>
      <c r="X86" s="543">
        <v>100</v>
      </c>
      <c r="Y86" s="544">
        <f>IFERROR(IF(X86="",0,CEILING((X86/$H86),1)*$H86),"")</f>
        <v>108</v>
      </c>
      <c r="Z86" s="36">
        <f>IFERROR(IF(Y86=0,"",ROUNDUP(Y86/H86,0)*0.01898),"")</f>
        <v>0.1898</v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104.02777777777777</v>
      </c>
      <c r="BN86" s="64">
        <f>IFERROR(Y86*I86/H86,"0")</f>
        <v>112.34999999999998</v>
      </c>
      <c r="BO86" s="64">
        <f>IFERROR(1/J86*(X86/H86),"0")</f>
        <v>0.14467592592592593</v>
      </c>
      <c r="BP86" s="64">
        <f>IFERROR(1/J86*(Y86/H86),"0")</f>
        <v>0.15625</v>
      </c>
    </row>
    <row r="87" spans="1:68" ht="27" customHeight="1" x14ac:dyDescent="0.25">
      <c r="A87" s="54" t="s">
        <v>171</v>
      </c>
      <c r="B87" s="54" t="s">
        <v>172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72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173</v>
      </c>
      <c r="B88" s="54" t="s">
        <v>174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72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68</v>
      </c>
      <c r="X88" s="543">
        <v>495</v>
      </c>
      <c r="Y88" s="544">
        <f>IFERROR(IF(X88="",0,CEILING((X88/$H88),1)*$H88),"")</f>
        <v>495</v>
      </c>
      <c r="Z88" s="36">
        <f>IFERROR(IF(Y88=0,"",ROUNDUP(Y88/H88,0)*0.00902),"")</f>
        <v>0.99219999999999997</v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518.09999999999991</v>
      </c>
      <c r="BN88" s="64">
        <f>IFERROR(Y88*I88/H88,"0")</f>
        <v>518.09999999999991</v>
      </c>
      <c r="BO88" s="64">
        <f>IFERROR(1/J88*(X88/H88),"0")</f>
        <v>0.83333333333333337</v>
      </c>
      <c r="BP88" s="64">
        <f>IFERROR(1/J88*(Y88/H88),"0")</f>
        <v>0.83333333333333337</v>
      </c>
    </row>
    <row r="89" spans="1:68" x14ac:dyDescent="0.2">
      <c r="A89" s="569"/>
      <c r="B89" s="556"/>
      <c r="C89" s="556"/>
      <c r="D89" s="556"/>
      <c r="E89" s="556"/>
      <c r="F89" s="556"/>
      <c r="G89" s="556"/>
      <c r="H89" s="556"/>
      <c r="I89" s="556"/>
      <c r="J89" s="556"/>
      <c r="K89" s="556"/>
      <c r="L89" s="556"/>
      <c r="M89" s="556"/>
      <c r="N89" s="556"/>
      <c r="O89" s="570"/>
      <c r="P89" s="557" t="s">
        <v>70</v>
      </c>
      <c r="Q89" s="558"/>
      <c r="R89" s="558"/>
      <c r="S89" s="558"/>
      <c r="T89" s="558"/>
      <c r="U89" s="558"/>
      <c r="V89" s="559"/>
      <c r="W89" s="37" t="s">
        <v>71</v>
      </c>
      <c r="X89" s="545">
        <f>IFERROR(X86/H86,"0")+IFERROR(X87/H87,"0")+IFERROR(X88/H88,"0")</f>
        <v>119.25925925925927</v>
      </c>
      <c r="Y89" s="545">
        <f>IFERROR(Y86/H86,"0")+IFERROR(Y87/H87,"0")+IFERROR(Y88/H88,"0")</f>
        <v>120</v>
      </c>
      <c r="Z89" s="545">
        <f>IFERROR(IF(Z86="",0,Z86),"0")+IFERROR(IF(Z87="",0,Z87),"0")+IFERROR(IF(Z88="",0,Z88),"0")</f>
        <v>1.1819999999999999</v>
      </c>
      <c r="AA89" s="546"/>
      <c r="AB89" s="546"/>
      <c r="AC89" s="546"/>
    </row>
    <row r="90" spans="1:68" x14ac:dyDescent="0.2">
      <c r="A90" s="556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70"/>
      <c r="P90" s="557" t="s">
        <v>70</v>
      </c>
      <c r="Q90" s="558"/>
      <c r="R90" s="558"/>
      <c r="S90" s="558"/>
      <c r="T90" s="558"/>
      <c r="U90" s="558"/>
      <c r="V90" s="559"/>
      <c r="W90" s="37" t="s">
        <v>68</v>
      </c>
      <c r="X90" s="545">
        <f>IFERROR(SUM(X86:X88),"0")</f>
        <v>595</v>
      </c>
      <c r="Y90" s="545">
        <f>IFERROR(SUM(Y86:Y88),"0")</f>
        <v>603</v>
      </c>
      <c r="Z90" s="37"/>
      <c r="AA90" s="546"/>
      <c r="AB90" s="546"/>
      <c r="AC90" s="546"/>
    </row>
    <row r="91" spans="1:68" ht="14.25" customHeight="1" x14ac:dyDescent="0.25">
      <c r="A91" s="555" t="s">
        <v>72</v>
      </c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56"/>
      <c r="P91" s="556"/>
      <c r="Q91" s="556"/>
      <c r="R91" s="556"/>
      <c r="S91" s="556"/>
      <c r="T91" s="556"/>
      <c r="U91" s="556"/>
      <c r="V91" s="556"/>
      <c r="W91" s="556"/>
      <c r="X91" s="556"/>
      <c r="Y91" s="556"/>
      <c r="Z91" s="556"/>
      <c r="AA91" s="539"/>
      <c r="AB91" s="539"/>
      <c r="AC91" s="539"/>
    </row>
    <row r="92" spans="1:68" ht="16.5" customHeight="1" x14ac:dyDescent="0.25">
      <c r="A92" s="54" t="s">
        <v>175</v>
      </c>
      <c r="B92" s="54" t="s">
        <v>176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13" t="s">
        <v>177</v>
      </c>
      <c r="Q92" s="550"/>
      <c r="R92" s="550"/>
      <c r="S92" s="550"/>
      <c r="T92" s="551"/>
      <c r="U92" s="34"/>
      <c r="V92" s="34"/>
      <c r="W92" s="35" t="s">
        <v>68</v>
      </c>
      <c r="X92" s="543">
        <v>100</v>
      </c>
      <c r="Y92" s="544">
        <f>IFERROR(IF(X92="",0,CEILING((X92/$H92),1)*$H92),"")</f>
        <v>105.3</v>
      </c>
      <c r="Z92" s="36">
        <f>IFERROR(IF(Y92=0,"",ROUNDUP(Y92/H92,0)*0.01898),"")</f>
        <v>0.24674000000000001</v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106.4074074074074</v>
      </c>
      <c r="BN92" s="64">
        <f>IFERROR(Y92*I92/H92,"0")</f>
        <v>112.047</v>
      </c>
      <c r="BO92" s="64">
        <f>IFERROR(1/J92*(X92/H92),"0")</f>
        <v>0.19290123456790123</v>
      </c>
      <c r="BP92" s="64">
        <f>IFERROR(1/J92*(Y92/H92),"0")</f>
        <v>0.203125</v>
      </c>
    </row>
    <row r="93" spans="1:68" ht="27" customHeight="1" x14ac:dyDescent="0.25">
      <c r="A93" s="54" t="s">
        <v>179</v>
      </c>
      <c r="B93" s="54" t="s">
        <v>180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9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182</v>
      </c>
      <c r="B94" s="54" t="s">
        <v>183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1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68</v>
      </c>
      <c r="X94" s="543">
        <v>630</v>
      </c>
      <c r="Y94" s="544">
        <f>IFERROR(IF(X94="",0,CEILING((X94/$H94),1)*$H94),"")</f>
        <v>631.80000000000007</v>
      </c>
      <c r="Z94" s="36">
        <f>IFERROR(IF(Y94=0,"",ROUNDUP(Y94/H94,0)*0.00651),"")</f>
        <v>1.5233400000000001</v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688.8</v>
      </c>
      <c r="BN94" s="64">
        <f>IFERROR(Y94*I94/H94,"0")</f>
        <v>690.76800000000003</v>
      </c>
      <c r="BO94" s="64">
        <f>IFERROR(1/J94*(X94/H94),"0")</f>
        <v>1.2820512820512819</v>
      </c>
      <c r="BP94" s="64">
        <f>IFERROR(1/J94*(Y94/H94),"0")</f>
        <v>1.2857142857142858</v>
      </c>
    </row>
    <row r="95" spans="1:68" ht="16.5" customHeight="1" x14ac:dyDescent="0.25">
      <c r="A95" s="54" t="s">
        <v>184</v>
      </c>
      <c r="B95" s="54" t="s">
        <v>185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9"/>
      <c r="B96" s="556"/>
      <c r="C96" s="556"/>
      <c r="D96" s="556"/>
      <c r="E96" s="556"/>
      <c r="F96" s="556"/>
      <c r="G96" s="556"/>
      <c r="H96" s="556"/>
      <c r="I96" s="556"/>
      <c r="J96" s="556"/>
      <c r="K96" s="556"/>
      <c r="L96" s="556"/>
      <c r="M96" s="556"/>
      <c r="N96" s="556"/>
      <c r="O96" s="570"/>
      <c r="P96" s="557" t="s">
        <v>70</v>
      </c>
      <c r="Q96" s="558"/>
      <c r="R96" s="558"/>
      <c r="S96" s="558"/>
      <c r="T96" s="558"/>
      <c r="U96" s="558"/>
      <c r="V96" s="559"/>
      <c r="W96" s="37" t="s">
        <v>71</v>
      </c>
      <c r="X96" s="545">
        <f>IFERROR(X92/H92,"0")+IFERROR(X93/H93,"0")+IFERROR(X94/H94,"0")+IFERROR(X95/H95,"0")</f>
        <v>245.67901234567898</v>
      </c>
      <c r="Y96" s="545">
        <f>IFERROR(Y92/H92,"0")+IFERROR(Y93/H93,"0")+IFERROR(Y94/H94,"0")+IFERROR(Y95/H95,"0")</f>
        <v>247</v>
      </c>
      <c r="Z96" s="545">
        <f>IFERROR(IF(Z92="",0,Z92),"0")+IFERROR(IF(Z93="",0,Z93),"0")+IFERROR(IF(Z94="",0,Z94),"0")+IFERROR(IF(Z95="",0,Z95),"0")</f>
        <v>1.7700800000000001</v>
      </c>
      <c r="AA96" s="546"/>
      <c r="AB96" s="546"/>
      <c r="AC96" s="546"/>
    </row>
    <row r="97" spans="1:68" x14ac:dyDescent="0.2">
      <c r="A97" s="556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70"/>
      <c r="P97" s="557" t="s">
        <v>70</v>
      </c>
      <c r="Q97" s="558"/>
      <c r="R97" s="558"/>
      <c r="S97" s="558"/>
      <c r="T97" s="558"/>
      <c r="U97" s="558"/>
      <c r="V97" s="559"/>
      <c r="W97" s="37" t="s">
        <v>68</v>
      </c>
      <c r="X97" s="545">
        <f>IFERROR(SUM(X92:X95),"0")</f>
        <v>730</v>
      </c>
      <c r="Y97" s="545">
        <f>IFERROR(SUM(Y92:Y95),"0")</f>
        <v>737.1</v>
      </c>
      <c r="Z97" s="37"/>
      <c r="AA97" s="546"/>
      <c r="AB97" s="546"/>
      <c r="AC97" s="546"/>
    </row>
    <row r="98" spans="1:68" ht="16.5" customHeight="1" x14ac:dyDescent="0.25">
      <c r="A98" s="562" t="s">
        <v>187</v>
      </c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56"/>
      <c r="P98" s="556"/>
      <c r="Q98" s="556"/>
      <c r="R98" s="556"/>
      <c r="S98" s="556"/>
      <c r="T98" s="556"/>
      <c r="U98" s="556"/>
      <c r="V98" s="556"/>
      <c r="W98" s="556"/>
      <c r="X98" s="556"/>
      <c r="Y98" s="556"/>
      <c r="Z98" s="556"/>
      <c r="AA98" s="538"/>
      <c r="AB98" s="538"/>
      <c r="AC98" s="538"/>
    </row>
    <row r="99" spans="1:68" ht="14.25" customHeight="1" x14ac:dyDescent="0.25">
      <c r="A99" s="555" t="s">
        <v>98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39"/>
      <c r="AB99" s="539"/>
      <c r="AC99" s="539"/>
    </row>
    <row r="100" spans="1:68" ht="27" customHeight="1" x14ac:dyDescent="0.25">
      <c r="A100" s="54" t="s">
        <v>188</v>
      </c>
      <c r="B100" s="54" t="s">
        <v>189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1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68</v>
      </c>
      <c r="X100" s="543">
        <v>200</v>
      </c>
      <c r="Y100" s="544">
        <f>IFERROR(IF(X100="",0,CEILING((X100/$H100),1)*$H100),"")</f>
        <v>205.20000000000002</v>
      </c>
      <c r="Z100" s="36">
        <f>IFERROR(IF(Y100=0,"",ROUNDUP(Y100/H100,0)*0.01898),"")</f>
        <v>0.36062</v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208.05555555555554</v>
      </c>
      <c r="BN100" s="64">
        <f>IFERROR(Y100*I100/H100,"0")</f>
        <v>213.46499999999997</v>
      </c>
      <c r="BO100" s="64">
        <f>IFERROR(1/J100*(X100/H100),"0")</f>
        <v>0.28935185185185186</v>
      </c>
      <c r="BP100" s="64">
        <f>IFERROR(1/J100*(Y100/H100),"0")</f>
        <v>0.296875</v>
      </c>
    </row>
    <row r="101" spans="1:68" ht="27" customHeight="1" x14ac:dyDescent="0.25">
      <c r="A101" s="54" t="s">
        <v>191</v>
      </c>
      <c r="B101" s="54" t="s">
        <v>192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8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193</v>
      </c>
      <c r="B102" s="54" t="s">
        <v>194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68</v>
      </c>
      <c r="X102" s="543">
        <v>405</v>
      </c>
      <c r="Y102" s="544">
        <f>IFERROR(IF(X102="",0,CEILING((X102/$H102),1)*$H102),"")</f>
        <v>405</v>
      </c>
      <c r="Z102" s="36">
        <f>IFERROR(IF(Y102=0,"",ROUNDUP(Y102/H102,0)*0.00902),"")</f>
        <v>0.81180000000000008</v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423.9</v>
      </c>
      <c r="BN102" s="64">
        <f>IFERROR(Y102*I102/H102,"0")</f>
        <v>423.9</v>
      </c>
      <c r="BO102" s="64">
        <f>IFERROR(1/J102*(X102/H102),"0")</f>
        <v>0.68181818181818188</v>
      </c>
      <c r="BP102" s="64">
        <f>IFERROR(1/J102*(Y102/H102),"0")</f>
        <v>0.68181818181818188</v>
      </c>
    </row>
    <row r="103" spans="1:68" ht="27" customHeight="1" x14ac:dyDescent="0.25">
      <c r="A103" s="54" t="s">
        <v>195</v>
      </c>
      <c r="B103" s="54" t="s">
        <v>196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4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9"/>
      <c r="B104" s="556"/>
      <c r="C104" s="556"/>
      <c r="D104" s="556"/>
      <c r="E104" s="556"/>
      <c r="F104" s="556"/>
      <c r="G104" s="556"/>
      <c r="H104" s="556"/>
      <c r="I104" s="556"/>
      <c r="J104" s="556"/>
      <c r="K104" s="556"/>
      <c r="L104" s="556"/>
      <c r="M104" s="556"/>
      <c r="N104" s="556"/>
      <c r="O104" s="570"/>
      <c r="P104" s="557" t="s">
        <v>70</v>
      </c>
      <c r="Q104" s="558"/>
      <c r="R104" s="558"/>
      <c r="S104" s="558"/>
      <c r="T104" s="558"/>
      <c r="U104" s="558"/>
      <c r="V104" s="559"/>
      <c r="W104" s="37" t="s">
        <v>71</v>
      </c>
      <c r="X104" s="545">
        <f>IFERROR(X100/H100,"0")+IFERROR(X101/H101,"0")+IFERROR(X102/H102,"0")+IFERROR(X103/H103,"0")</f>
        <v>108.51851851851852</v>
      </c>
      <c r="Y104" s="545">
        <f>IFERROR(Y100/H100,"0")+IFERROR(Y101/H101,"0")+IFERROR(Y102/H102,"0")+IFERROR(Y103/H103,"0")</f>
        <v>109</v>
      </c>
      <c r="Z104" s="545">
        <f>IFERROR(IF(Z100="",0,Z100),"0")+IFERROR(IF(Z101="",0,Z101),"0")+IFERROR(IF(Z102="",0,Z102),"0")+IFERROR(IF(Z103="",0,Z103),"0")</f>
        <v>1.17242</v>
      </c>
      <c r="AA104" s="546"/>
      <c r="AB104" s="546"/>
      <c r="AC104" s="546"/>
    </row>
    <row r="105" spans="1:68" x14ac:dyDescent="0.2">
      <c r="A105" s="556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70"/>
      <c r="P105" s="557" t="s">
        <v>70</v>
      </c>
      <c r="Q105" s="558"/>
      <c r="R105" s="558"/>
      <c r="S105" s="558"/>
      <c r="T105" s="558"/>
      <c r="U105" s="558"/>
      <c r="V105" s="559"/>
      <c r="W105" s="37" t="s">
        <v>68</v>
      </c>
      <c r="X105" s="545">
        <f>IFERROR(SUM(X100:X103),"0")</f>
        <v>605</v>
      </c>
      <c r="Y105" s="545">
        <f>IFERROR(SUM(Y100:Y103),"0")</f>
        <v>610.20000000000005</v>
      </c>
      <c r="Z105" s="37"/>
      <c r="AA105" s="546"/>
      <c r="AB105" s="546"/>
      <c r="AC105" s="546"/>
    </row>
    <row r="106" spans="1:68" ht="14.25" customHeight="1" x14ac:dyDescent="0.25">
      <c r="A106" s="555" t="s">
        <v>130</v>
      </c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56"/>
      <c r="P106" s="556"/>
      <c r="Q106" s="556"/>
      <c r="R106" s="556"/>
      <c r="S106" s="556"/>
      <c r="T106" s="556"/>
      <c r="U106" s="556"/>
      <c r="V106" s="556"/>
      <c r="W106" s="556"/>
      <c r="X106" s="556"/>
      <c r="Y106" s="556"/>
      <c r="Z106" s="556"/>
      <c r="AA106" s="539"/>
      <c r="AB106" s="539"/>
      <c r="AC106" s="539"/>
    </row>
    <row r="107" spans="1:68" ht="16.5" customHeight="1" x14ac:dyDescent="0.25">
      <c r="A107" s="54" t="s">
        <v>197</v>
      </c>
      <c r="B107" s="54" t="s">
        <v>198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8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68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200</v>
      </c>
      <c r="B108" s="54" t="s">
        <v>201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6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202</v>
      </c>
      <c r="B109" s="54" t="s">
        <v>203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6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9"/>
      <c r="B110" s="556"/>
      <c r="C110" s="556"/>
      <c r="D110" s="556"/>
      <c r="E110" s="556"/>
      <c r="F110" s="556"/>
      <c r="G110" s="556"/>
      <c r="H110" s="556"/>
      <c r="I110" s="556"/>
      <c r="J110" s="556"/>
      <c r="K110" s="556"/>
      <c r="L110" s="556"/>
      <c r="M110" s="556"/>
      <c r="N110" s="556"/>
      <c r="O110" s="570"/>
      <c r="P110" s="557" t="s">
        <v>70</v>
      </c>
      <c r="Q110" s="558"/>
      <c r="R110" s="558"/>
      <c r="S110" s="558"/>
      <c r="T110" s="558"/>
      <c r="U110" s="558"/>
      <c r="V110" s="559"/>
      <c r="W110" s="37" t="s">
        <v>71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x14ac:dyDescent="0.2">
      <c r="A111" s="556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70"/>
      <c r="P111" s="557" t="s">
        <v>70</v>
      </c>
      <c r="Q111" s="558"/>
      <c r="R111" s="558"/>
      <c r="S111" s="558"/>
      <c r="T111" s="558"/>
      <c r="U111" s="558"/>
      <c r="V111" s="559"/>
      <c r="W111" s="37" t="s">
        <v>68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customHeight="1" x14ac:dyDescent="0.25">
      <c r="A112" s="555" t="s">
        <v>72</v>
      </c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56"/>
      <c r="P112" s="556"/>
      <c r="Q112" s="556"/>
      <c r="R112" s="556"/>
      <c r="S112" s="556"/>
      <c r="T112" s="556"/>
      <c r="U112" s="556"/>
      <c r="V112" s="556"/>
      <c r="W112" s="556"/>
      <c r="X112" s="556"/>
      <c r="Y112" s="556"/>
      <c r="Z112" s="556"/>
      <c r="AA112" s="539"/>
      <c r="AB112" s="539"/>
      <c r="AC112" s="539"/>
    </row>
    <row r="113" spans="1:68" ht="16.5" customHeight="1" x14ac:dyDescent="0.25">
      <c r="A113" s="54" t="s">
        <v>204</v>
      </c>
      <c r="B113" s="54" t="s">
        <v>205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68</v>
      </c>
      <c r="X113" s="543">
        <v>300</v>
      </c>
      <c r="Y113" s="544">
        <f>IFERROR(IF(X113="",0,CEILING((X113/$H113),1)*$H113),"")</f>
        <v>307.8</v>
      </c>
      <c r="Z113" s="36">
        <f>IFERROR(IF(Y113=0,"",ROUNDUP(Y113/H113,0)*0.01898),"")</f>
        <v>0.72123999999999999</v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318.99999999999994</v>
      </c>
      <c r="BN113" s="64">
        <f>IFERROR(Y113*I113/H113,"0")</f>
        <v>327.29400000000004</v>
      </c>
      <c r="BO113" s="64">
        <f>IFERROR(1/J113*(X113/H113),"0")</f>
        <v>0.57870370370370372</v>
      </c>
      <c r="BP113" s="64">
        <f>IFERROR(1/J113*(Y113/H113),"0")</f>
        <v>0.59375</v>
      </c>
    </row>
    <row r="114" spans="1:68" ht="27" customHeight="1" x14ac:dyDescent="0.25">
      <c r="A114" s="54" t="s">
        <v>207</v>
      </c>
      <c r="B114" s="54" t="s">
        <v>208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0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68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209</v>
      </c>
      <c r="B115" s="54" t="s">
        <v>210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3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68</v>
      </c>
      <c r="X115" s="543">
        <v>180</v>
      </c>
      <c r="Y115" s="544">
        <f>IFERROR(IF(X115="",0,CEILING((X115/$H115),1)*$H115),"")</f>
        <v>180.9</v>
      </c>
      <c r="Z115" s="36">
        <f>IFERROR(IF(Y115=0,"",ROUNDUP(Y115/H115,0)*0.00651),"")</f>
        <v>0.43617</v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196.79999999999998</v>
      </c>
      <c r="BN115" s="64">
        <f>IFERROR(Y115*I115/H115,"0")</f>
        <v>197.78399999999999</v>
      </c>
      <c r="BO115" s="64">
        <f>IFERROR(1/J115*(X115/H115),"0")</f>
        <v>0.36630036630036628</v>
      </c>
      <c r="BP115" s="64">
        <f>IFERROR(1/J115*(Y115/H115),"0")</f>
        <v>0.36813186813186816</v>
      </c>
    </row>
    <row r="116" spans="1:68" ht="16.5" customHeight="1" x14ac:dyDescent="0.25">
      <c r="A116" s="54" t="s">
        <v>211</v>
      </c>
      <c r="B116" s="54" t="s">
        <v>212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4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9"/>
      <c r="B117" s="556"/>
      <c r="C117" s="556"/>
      <c r="D117" s="556"/>
      <c r="E117" s="556"/>
      <c r="F117" s="556"/>
      <c r="G117" s="556"/>
      <c r="H117" s="556"/>
      <c r="I117" s="556"/>
      <c r="J117" s="556"/>
      <c r="K117" s="556"/>
      <c r="L117" s="556"/>
      <c r="M117" s="556"/>
      <c r="N117" s="556"/>
      <c r="O117" s="570"/>
      <c r="P117" s="557" t="s">
        <v>70</v>
      </c>
      <c r="Q117" s="558"/>
      <c r="R117" s="558"/>
      <c r="S117" s="558"/>
      <c r="T117" s="558"/>
      <c r="U117" s="558"/>
      <c r="V117" s="559"/>
      <c r="W117" s="37" t="s">
        <v>71</v>
      </c>
      <c r="X117" s="545">
        <f>IFERROR(X113/H113,"0")+IFERROR(X114/H114,"0")+IFERROR(X115/H115,"0")+IFERROR(X116/H116,"0")</f>
        <v>103.7037037037037</v>
      </c>
      <c r="Y117" s="545">
        <f>IFERROR(Y113/H113,"0")+IFERROR(Y114/H114,"0")+IFERROR(Y115/H115,"0")+IFERROR(Y116/H116,"0")</f>
        <v>105</v>
      </c>
      <c r="Z117" s="545">
        <f>IFERROR(IF(Z113="",0,Z113),"0")+IFERROR(IF(Z114="",0,Z114),"0")+IFERROR(IF(Z115="",0,Z115),"0")+IFERROR(IF(Z116="",0,Z116),"0")</f>
        <v>1.15741</v>
      </c>
      <c r="AA117" s="546"/>
      <c r="AB117" s="546"/>
      <c r="AC117" s="546"/>
    </row>
    <row r="118" spans="1:68" x14ac:dyDescent="0.2">
      <c r="A118" s="556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70"/>
      <c r="P118" s="557" t="s">
        <v>70</v>
      </c>
      <c r="Q118" s="558"/>
      <c r="R118" s="558"/>
      <c r="S118" s="558"/>
      <c r="T118" s="558"/>
      <c r="U118" s="558"/>
      <c r="V118" s="559"/>
      <c r="W118" s="37" t="s">
        <v>68</v>
      </c>
      <c r="X118" s="545">
        <f>IFERROR(SUM(X113:X116),"0")</f>
        <v>480</v>
      </c>
      <c r="Y118" s="545">
        <f>IFERROR(SUM(Y113:Y116),"0")</f>
        <v>488.70000000000005</v>
      </c>
      <c r="Z118" s="37"/>
      <c r="AA118" s="546"/>
      <c r="AB118" s="546"/>
      <c r="AC118" s="546"/>
    </row>
    <row r="119" spans="1:68" ht="14.25" customHeight="1" x14ac:dyDescent="0.25">
      <c r="A119" s="555" t="s">
        <v>160</v>
      </c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56"/>
      <c r="P119" s="556"/>
      <c r="Q119" s="556"/>
      <c r="R119" s="556"/>
      <c r="S119" s="556"/>
      <c r="T119" s="556"/>
      <c r="U119" s="556"/>
      <c r="V119" s="556"/>
      <c r="W119" s="556"/>
      <c r="X119" s="556"/>
      <c r="Y119" s="556"/>
      <c r="Z119" s="556"/>
      <c r="AA119" s="539"/>
      <c r="AB119" s="539"/>
      <c r="AC119" s="539"/>
    </row>
    <row r="120" spans="1:68" ht="16.5" customHeight="1" x14ac:dyDescent="0.25">
      <c r="A120" s="54" t="s">
        <v>214</v>
      </c>
      <c r="B120" s="54" t="s">
        <v>215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68</v>
      </c>
      <c r="X120" s="543">
        <v>19.8</v>
      </c>
      <c r="Y120" s="544">
        <f>IFERROR(IF(X120="",0,CEILING((X120/$H120),1)*$H120),"")</f>
        <v>19.8</v>
      </c>
      <c r="Z120" s="36">
        <f>IFERROR(IF(Y120=0,"",ROUNDUP(Y120/H120,0)*0.00651),"")</f>
        <v>6.5100000000000005E-2</v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22.380000000000003</v>
      </c>
      <c r="BN120" s="64">
        <f>IFERROR(Y120*I120/H120,"0")</f>
        <v>22.380000000000003</v>
      </c>
      <c r="BO120" s="64">
        <f>IFERROR(1/J120*(X120/H120),"0")</f>
        <v>5.4945054945054951E-2</v>
      </c>
      <c r="BP120" s="64">
        <f>IFERROR(1/J120*(Y120/H120),"0")</f>
        <v>5.4945054945054951E-2</v>
      </c>
    </row>
    <row r="121" spans="1:68" x14ac:dyDescent="0.2">
      <c r="A121" s="569"/>
      <c r="B121" s="556"/>
      <c r="C121" s="556"/>
      <c r="D121" s="556"/>
      <c r="E121" s="556"/>
      <c r="F121" s="556"/>
      <c r="G121" s="556"/>
      <c r="H121" s="556"/>
      <c r="I121" s="556"/>
      <c r="J121" s="556"/>
      <c r="K121" s="556"/>
      <c r="L121" s="556"/>
      <c r="M121" s="556"/>
      <c r="N121" s="556"/>
      <c r="O121" s="570"/>
      <c r="P121" s="557" t="s">
        <v>70</v>
      </c>
      <c r="Q121" s="558"/>
      <c r="R121" s="558"/>
      <c r="S121" s="558"/>
      <c r="T121" s="558"/>
      <c r="U121" s="558"/>
      <c r="V121" s="559"/>
      <c r="W121" s="37" t="s">
        <v>71</v>
      </c>
      <c r="X121" s="545">
        <f>IFERROR(X120/H120,"0")</f>
        <v>10</v>
      </c>
      <c r="Y121" s="545">
        <f>IFERROR(Y120/H120,"0")</f>
        <v>10</v>
      </c>
      <c r="Z121" s="545">
        <f>IFERROR(IF(Z120="",0,Z120),"0")</f>
        <v>6.5100000000000005E-2</v>
      </c>
      <c r="AA121" s="546"/>
      <c r="AB121" s="546"/>
      <c r="AC121" s="546"/>
    </row>
    <row r="122" spans="1:68" x14ac:dyDescent="0.2">
      <c r="A122" s="556"/>
      <c r="B122" s="556"/>
      <c r="C122" s="556"/>
      <c r="D122" s="556"/>
      <c r="E122" s="556"/>
      <c r="F122" s="556"/>
      <c r="G122" s="556"/>
      <c r="H122" s="556"/>
      <c r="I122" s="556"/>
      <c r="J122" s="556"/>
      <c r="K122" s="556"/>
      <c r="L122" s="556"/>
      <c r="M122" s="556"/>
      <c r="N122" s="556"/>
      <c r="O122" s="570"/>
      <c r="P122" s="557" t="s">
        <v>70</v>
      </c>
      <c r="Q122" s="558"/>
      <c r="R122" s="558"/>
      <c r="S122" s="558"/>
      <c r="T122" s="558"/>
      <c r="U122" s="558"/>
      <c r="V122" s="559"/>
      <c r="W122" s="37" t="s">
        <v>68</v>
      </c>
      <c r="X122" s="545">
        <f>IFERROR(SUM(X120:X120),"0")</f>
        <v>19.8</v>
      </c>
      <c r="Y122" s="545">
        <f>IFERROR(SUM(Y120:Y120),"0")</f>
        <v>19.8</v>
      </c>
      <c r="Z122" s="37"/>
      <c r="AA122" s="546"/>
      <c r="AB122" s="546"/>
      <c r="AC122" s="546"/>
    </row>
    <row r="123" spans="1:68" ht="16.5" customHeight="1" x14ac:dyDescent="0.25">
      <c r="A123" s="562" t="s">
        <v>217</v>
      </c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56"/>
      <c r="P123" s="556"/>
      <c r="Q123" s="556"/>
      <c r="R123" s="556"/>
      <c r="S123" s="556"/>
      <c r="T123" s="556"/>
      <c r="U123" s="556"/>
      <c r="V123" s="556"/>
      <c r="W123" s="556"/>
      <c r="X123" s="556"/>
      <c r="Y123" s="556"/>
      <c r="Z123" s="556"/>
      <c r="AA123" s="538"/>
      <c r="AB123" s="538"/>
      <c r="AC123" s="538"/>
    </row>
    <row r="124" spans="1:68" ht="14.25" customHeight="1" x14ac:dyDescent="0.25">
      <c r="A124" s="555" t="s">
        <v>98</v>
      </c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56"/>
      <c r="P124" s="556"/>
      <c r="Q124" s="556"/>
      <c r="R124" s="556"/>
      <c r="S124" s="556"/>
      <c r="T124" s="556"/>
      <c r="U124" s="556"/>
      <c r="V124" s="556"/>
      <c r="W124" s="556"/>
      <c r="X124" s="556"/>
      <c r="Y124" s="556"/>
      <c r="Z124" s="556"/>
      <c r="AA124" s="539"/>
      <c r="AB124" s="539"/>
      <c r="AC124" s="539"/>
    </row>
    <row r="125" spans="1:68" ht="27" customHeight="1" x14ac:dyDescent="0.25">
      <c r="A125" s="54" t="s">
        <v>218</v>
      </c>
      <c r="B125" s="54" t="s">
        <v>219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68</v>
      </c>
      <c r="X125" s="543">
        <v>40</v>
      </c>
      <c r="Y125" s="544">
        <f>IFERROR(IF(X125="",0,CEILING((X125/$H125),1)*$H125),"")</f>
        <v>41.6</v>
      </c>
      <c r="Z125" s="36">
        <f>IFERROR(IF(Y125=0,"",ROUNDUP(Y125/H125,0)*0.00651),"")</f>
        <v>8.4629999999999997E-2</v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42.249999999999993</v>
      </c>
      <c r="BN125" s="64">
        <f>IFERROR(Y125*I125/H125,"0")</f>
        <v>43.94</v>
      </c>
      <c r="BO125" s="64">
        <f>IFERROR(1/J125*(X125/H125),"0")</f>
        <v>6.8681318681318687E-2</v>
      </c>
      <c r="BP125" s="64">
        <f>IFERROR(1/J125*(Y125/H125),"0")</f>
        <v>7.1428571428571438E-2</v>
      </c>
    </row>
    <row r="126" spans="1:68" ht="27" customHeight="1" x14ac:dyDescent="0.25">
      <c r="A126" s="54" t="s">
        <v>218</v>
      </c>
      <c r="B126" s="54" t="s">
        <v>221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6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9"/>
      <c r="B127" s="556"/>
      <c r="C127" s="556"/>
      <c r="D127" s="556"/>
      <c r="E127" s="556"/>
      <c r="F127" s="556"/>
      <c r="G127" s="556"/>
      <c r="H127" s="556"/>
      <c r="I127" s="556"/>
      <c r="J127" s="556"/>
      <c r="K127" s="556"/>
      <c r="L127" s="556"/>
      <c r="M127" s="556"/>
      <c r="N127" s="556"/>
      <c r="O127" s="570"/>
      <c r="P127" s="557" t="s">
        <v>70</v>
      </c>
      <c r="Q127" s="558"/>
      <c r="R127" s="558"/>
      <c r="S127" s="558"/>
      <c r="T127" s="558"/>
      <c r="U127" s="558"/>
      <c r="V127" s="559"/>
      <c r="W127" s="37" t="s">
        <v>71</v>
      </c>
      <c r="X127" s="545">
        <f>IFERROR(X125/H125,"0")+IFERROR(X126/H126,"0")</f>
        <v>12.5</v>
      </c>
      <c r="Y127" s="545">
        <f>IFERROR(Y125/H125,"0")+IFERROR(Y126/H126,"0")</f>
        <v>13</v>
      </c>
      <c r="Z127" s="545">
        <f>IFERROR(IF(Z125="",0,Z125),"0")+IFERROR(IF(Z126="",0,Z126),"0")</f>
        <v>8.4629999999999997E-2</v>
      </c>
      <c r="AA127" s="546"/>
      <c r="AB127" s="546"/>
      <c r="AC127" s="546"/>
    </row>
    <row r="128" spans="1:68" x14ac:dyDescent="0.2">
      <c r="A128" s="556"/>
      <c r="B128" s="556"/>
      <c r="C128" s="556"/>
      <c r="D128" s="556"/>
      <c r="E128" s="556"/>
      <c r="F128" s="556"/>
      <c r="G128" s="556"/>
      <c r="H128" s="556"/>
      <c r="I128" s="556"/>
      <c r="J128" s="556"/>
      <c r="K128" s="556"/>
      <c r="L128" s="556"/>
      <c r="M128" s="556"/>
      <c r="N128" s="556"/>
      <c r="O128" s="570"/>
      <c r="P128" s="557" t="s">
        <v>70</v>
      </c>
      <c r="Q128" s="558"/>
      <c r="R128" s="558"/>
      <c r="S128" s="558"/>
      <c r="T128" s="558"/>
      <c r="U128" s="558"/>
      <c r="V128" s="559"/>
      <c r="W128" s="37" t="s">
        <v>68</v>
      </c>
      <c r="X128" s="545">
        <f>IFERROR(SUM(X125:X126),"0")</f>
        <v>40</v>
      </c>
      <c r="Y128" s="545">
        <f>IFERROR(SUM(Y125:Y126),"0")</f>
        <v>41.6</v>
      </c>
      <c r="Z128" s="37"/>
      <c r="AA128" s="546"/>
      <c r="AB128" s="546"/>
      <c r="AC128" s="546"/>
    </row>
    <row r="129" spans="1:68" ht="14.25" customHeight="1" x14ac:dyDescent="0.25">
      <c r="A129" s="555" t="s">
        <v>63</v>
      </c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56"/>
      <c r="P129" s="556"/>
      <c r="Q129" s="556"/>
      <c r="R129" s="556"/>
      <c r="S129" s="556"/>
      <c r="T129" s="556"/>
      <c r="U129" s="556"/>
      <c r="V129" s="556"/>
      <c r="W129" s="556"/>
      <c r="X129" s="556"/>
      <c r="Y129" s="556"/>
      <c r="Z129" s="556"/>
      <c r="AA129" s="539"/>
      <c r="AB129" s="539"/>
      <c r="AC129" s="539"/>
    </row>
    <row r="130" spans="1:68" ht="27" customHeight="1" x14ac:dyDescent="0.25">
      <c r="A130" s="54" t="s">
        <v>222</v>
      </c>
      <c r="B130" s="54" t="s">
        <v>223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79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68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222</v>
      </c>
      <c r="B131" s="54" t="s">
        <v>225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68</v>
      </c>
      <c r="X131" s="543">
        <v>35</v>
      </c>
      <c r="Y131" s="544">
        <f>IFERROR(IF(X131="",0,CEILING((X131/$H131),1)*$H131),"")</f>
        <v>36.4</v>
      </c>
      <c r="Z131" s="36">
        <f>IFERROR(IF(Y131=0,"",ROUNDUP(Y131/H131,0)*0.00651),"")</f>
        <v>8.4629999999999997E-2</v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38.35</v>
      </c>
      <c r="BN131" s="64">
        <f>IFERROR(Y131*I131/H131,"0")</f>
        <v>39.884</v>
      </c>
      <c r="BO131" s="64">
        <f>IFERROR(1/J131*(X131/H131),"0")</f>
        <v>6.8681318681318687E-2</v>
      </c>
      <c r="BP131" s="64">
        <f>IFERROR(1/J131*(Y131/H131),"0")</f>
        <v>7.1428571428571438E-2</v>
      </c>
    </row>
    <row r="132" spans="1:68" x14ac:dyDescent="0.2">
      <c r="A132" s="569"/>
      <c r="B132" s="556"/>
      <c r="C132" s="556"/>
      <c r="D132" s="556"/>
      <c r="E132" s="556"/>
      <c r="F132" s="556"/>
      <c r="G132" s="556"/>
      <c r="H132" s="556"/>
      <c r="I132" s="556"/>
      <c r="J132" s="556"/>
      <c r="K132" s="556"/>
      <c r="L132" s="556"/>
      <c r="M132" s="556"/>
      <c r="N132" s="556"/>
      <c r="O132" s="570"/>
      <c r="P132" s="557" t="s">
        <v>70</v>
      </c>
      <c r="Q132" s="558"/>
      <c r="R132" s="558"/>
      <c r="S132" s="558"/>
      <c r="T132" s="558"/>
      <c r="U132" s="558"/>
      <c r="V132" s="559"/>
      <c r="W132" s="37" t="s">
        <v>71</v>
      </c>
      <c r="X132" s="545">
        <f>IFERROR(X130/H130,"0")+IFERROR(X131/H131,"0")</f>
        <v>12.5</v>
      </c>
      <c r="Y132" s="545">
        <f>IFERROR(Y130/H130,"0")+IFERROR(Y131/H131,"0")</f>
        <v>13</v>
      </c>
      <c r="Z132" s="545">
        <f>IFERROR(IF(Z130="",0,Z130),"0")+IFERROR(IF(Z131="",0,Z131),"0")</f>
        <v>8.4629999999999997E-2</v>
      </c>
      <c r="AA132" s="546"/>
      <c r="AB132" s="546"/>
      <c r="AC132" s="546"/>
    </row>
    <row r="133" spans="1:68" x14ac:dyDescent="0.2">
      <c r="A133" s="556"/>
      <c r="B133" s="556"/>
      <c r="C133" s="556"/>
      <c r="D133" s="556"/>
      <c r="E133" s="556"/>
      <c r="F133" s="556"/>
      <c r="G133" s="556"/>
      <c r="H133" s="556"/>
      <c r="I133" s="556"/>
      <c r="J133" s="556"/>
      <c r="K133" s="556"/>
      <c r="L133" s="556"/>
      <c r="M133" s="556"/>
      <c r="N133" s="556"/>
      <c r="O133" s="570"/>
      <c r="P133" s="557" t="s">
        <v>70</v>
      </c>
      <c r="Q133" s="558"/>
      <c r="R133" s="558"/>
      <c r="S133" s="558"/>
      <c r="T133" s="558"/>
      <c r="U133" s="558"/>
      <c r="V133" s="559"/>
      <c r="W133" s="37" t="s">
        <v>68</v>
      </c>
      <c r="X133" s="545">
        <f>IFERROR(SUM(X130:X131),"0")</f>
        <v>35</v>
      </c>
      <c r="Y133" s="545">
        <f>IFERROR(SUM(Y130:Y131),"0")</f>
        <v>36.4</v>
      </c>
      <c r="Z133" s="37"/>
      <c r="AA133" s="546"/>
      <c r="AB133" s="546"/>
      <c r="AC133" s="546"/>
    </row>
    <row r="134" spans="1:68" ht="14.25" customHeight="1" x14ac:dyDescent="0.25">
      <c r="A134" s="555" t="s">
        <v>72</v>
      </c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56"/>
      <c r="P134" s="556"/>
      <c r="Q134" s="556"/>
      <c r="R134" s="556"/>
      <c r="S134" s="556"/>
      <c r="T134" s="556"/>
      <c r="U134" s="556"/>
      <c r="V134" s="556"/>
      <c r="W134" s="556"/>
      <c r="X134" s="556"/>
      <c r="Y134" s="556"/>
      <c r="Z134" s="556"/>
      <c r="AA134" s="539"/>
      <c r="AB134" s="539"/>
      <c r="AC134" s="539"/>
    </row>
    <row r="135" spans="1:68" ht="16.5" customHeight="1" x14ac:dyDescent="0.25">
      <c r="A135" s="54" t="s">
        <v>226</v>
      </c>
      <c r="B135" s="54" t="s">
        <v>227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68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226</v>
      </c>
      <c r="B136" s="54" t="s">
        <v>228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5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68</v>
      </c>
      <c r="X136" s="543">
        <v>33</v>
      </c>
      <c r="Y136" s="544">
        <f>IFERROR(IF(X136="",0,CEILING((X136/$H136),1)*$H136),"")</f>
        <v>34.32</v>
      </c>
      <c r="Z136" s="36">
        <f>IFERROR(IF(Y136=0,"",ROUNDUP(Y136/H136,0)*0.00651),"")</f>
        <v>8.4629999999999997E-2</v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36.349999999999994</v>
      </c>
      <c r="BN136" s="64">
        <f>IFERROR(Y136*I136/H136,"0")</f>
        <v>37.803999999999995</v>
      </c>
      <c r="BO136" s="64">
        <f>IFERROR(1/J136*(X136/H136),"0")</f>
        <v>6.8681318681318687E-2</v>
      </c>
      <c r="BP136" s="64">
        <f>IFERROR(1/J136*(Y136/H136),"0")</f>
        <v>7.1428571428571438E-2</v>
      </c>
    </row>
    <row r="137" spans="1:68" x14ac:dyDescent="0.2">
      <c r="A137" s="569"/>
      <c r="B137" s="556"/>
      <c r="C137" s="556"/>
      <c r="D137" s="556"/>
      <c r="E137" s="556"/>
      <c r="F137" s="556"/>
      <c r="G137" s="556"/>
      <c r="H137" s="556"/>
      <c r="I137" s="556"/>
      <c r="J137" s="556"/>
      <c r="K137" s="556"/>
      <c r="L137" s="556"/>
      <c r="M137" s="556"/>
      <c r="N137" s="556"/>
      <c r="O137" s="570"/>
      <c r="P137" s="557" t="s">
        <v>70</v>
      </c>
      <c r="Q137" s="558"/>
      <c r="R137" s="558"/>
      <c r="S137" s="558"/>
      <c r="T137" s="558"/>
      <c r="U137" s="558"/>
      <c r="V137" s="559"/>
      <c r="W137" s="37" t="s">
        <v>71</v>
      </c>
      <c r="X137" s="545">
        <f>IFERROR(X135/H135,"0")+IFERROR(X136/H136,"0")</f>
        <v>12.5</v>
      </c>
      <c r="Y137" s="545">
        <f>IFERROR(Y135/H135,"0")+IFERROR(Y136/H136,"0")</f>
        <v>13</v>
      </c>
      <c r="Z137" s="545">
        <f>IFERROR(IF(Z135="",0,Z135),"0")+IFERROR(IF(Z136="",0,Z136),"0")</f>
        <v>8.4629999999999997E-2</v>
      </c>
      <c r="AA137" s="546"/>
      <c r="AB137" s="546"/>
      <c r="AC137" s="546"/>
    </row>
    <row r="138" spans="1:68" x14ac:dyDescent="0.2">
      <c r="A138" s="556"/>
      <c r="B138" s="556"/>
      <c r="C138" s="556"/>
      <c r="D138" s="556"/>
      <c r="E138" s="556"/>
      <c r="F138" s="556"/>
      <c r="G138" s="556"/>
      <c r="H138" s="556"/>
      <c r="I138" s="556"/>
      <c r="J138" s="556"/>
      <c r="K138" s="556"/>
      <c r="L138" s="556"/>
      <c r="M138" s="556"/>
      <c r="N138" s="556"/>
      <c r="O138" s="570"/>
      <c r="P138" s="557" t="s">
        <v>70</v>
      </c>
      <c r="Q138" s="558"/>
      <c r="R138" s="558"/>
      <c r="S138" s="558"/>
      <c r="T138" s="558"/>
      <c r="U138" s="558"/>
      <c r="V138" s="559"/>
      <c r="W138" s="37" t="s">
        <v>68</v>
      </c>
      <c r="X138" s="545">
        <f>IFERROR(SUM(X135:X136),"0")</f>
        <v>33</v>
      </c>
      <c r="Y138" s="545">
        <f>IFERROR(SUM(Y135:Y136),"0")</f>
        <v>34.32</v>
      </c>
      <c r="Z138" s="37"/>
      <c r="AA138" s="546"/>
      <c r="AB138" s="546"/>
      <c r="AC138" s="546"/>
    </row>
    <row r="139" spans="1:68" ht="16.5" customHeight="1" x14ac:dyDescent="0.25">
      <c r="A139" s="562" t="s">
        <v>96</v>
      </c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56"/>
      <c r="P139" s="556"/>
      <c r="Q139" s="556"/>
      <c r="R139" s="556"/>
      <c r="S139" s="556"/>
      <c r="T139" s="556"/>
      <c r="U139" s="556"/>
      <c r="V139" s="556"/>
      <c r="W139" s="556"/>
      <c r="X139" s="556"/>
      <c r="Y139" s="556"/>
      <c r="Z139" s="556"/>
      <c r="AA139" s="538"/>
      <c r="AB139" s="538"/>
      <c r="AC139" s="538"/>
    </row>
    <row r="140" spans="1:68" ht="14.25" customHeight="1" x14ac:dyDescent="0.25">
      <c r="A140" s="555" t="s">
        <v>98</v>
      </c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56"/>
      <c r="P140" s="556"/>
      <c r="Q140" s="556"/>
      <c r="R140" s="556"/>
      <c r="S140" s="556"/>
      <c r="T140" s="556"/>
      <c r="U140" s="556"/>
      <c r="V140" s="556"/>
      <c r="W140" s="556"/>
      <c r="X140" s="556"/>
      <c r="Y140" s="556"/>
      <c r="Z140" s="556"/>
      <c r="AA140" s="539"/>
      <c r="AB140" s="539"/>
      <c r="AC140" s="539"/>
    </row>
    <row r="141" spans="1:68" ht="27" customHeight="1" x14ac:dyDescent="0.25">
      <c r="A141" s="54" t="s">
        <v>229</v>
      </c>
      <c r="B141" s="54" t="s">
        <v>230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68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232</v>
      </c>
      <c r="B142" s="54" t="s">
        <v>233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73" t="s">
        <v>234</v>
      </c>
      <c r="Q142" s="550"/>
      <c r="R142" s="550"/>
      <c r="S142" s="550"/>
      <c r="T142" s="551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9"/>
      <c r="B143" s="556"/>
      <c r="C143" s="556"/>
      <c r="D143" s="556"/>
      <c r="E143" s="556"/>
      <c r="F143" s="556"/>
      <c r="G143" s="556"/>
      <c r="H143" s="556"/>
      <c r="I143" s="556"/>
      <c r="J143" s="556"/>
      <c r="K143" s="556"/>
      <c r="L143" s="556"/>
      <c r="M143" s="556"/>
      <c r="N143" s="556"/>
      <c r="O143" s="570"/>
      <c r="P143" s="557" t="s">
        <v>70</v>
      </c>
      <c r="Q143" s="558"/>
      <c r="R143" s="558"/>
      <c r="S143" s="558"/>
      <c r="T143" s="558"/>
      <c r="U143" s="558"/>
      <c r="V143" s="559"/>
      <c r="W143" s="37" t="s">
        <v>71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x14ac:dyDescent="0.2">
      <c r="A144" s="556"/>
      <c r="B144" s="556"/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70"/>
      <c r="P144" s="557" t="s">
        <v>70</v>
      </c>
      <c r="Q144" s="558"/>
      <c r="R144" s="558"/>
      <c r="S144" s="558"/>
      <c r="T144" s="558"/>
      <c r="U144" s="558"/>
      <c r="V144" s="559"/>
      <c r="W144" s="37" t="s">
        <v>68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customHeight="1" x14ac:dyDescent="0.25">
      <c r="A145" s="555" t="s">
        <v>63</v>
      </c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56"/>
      <c r="P145" s="556"/>
      <c r="Q145" s="556"/>
      <c r="R145" s="556"/>
      <c r="S145" s="556"/>
      <c r="T145" s="556"/>
      <c r="U145" s="556"/>
      <c r="V145" s="556"/>
      <c r="W145" s="556"/>
      <c r="X145" s="556"/>
      <c r="Y145" s="556"/>
      <c r="Z145" s="556"/>
      <c r="AA145" s="539"/>
      <c r="AB145" s="539"/>
      <c r="AC145" s="539"/>
    </row>
    <row r="146" spans="1:68" ht="16.5" customHeight="1" x14ac:dyDescent="0.25">
      <c r="A146" s="54" t="s">
        <v>236</v>
      </c>
      <c r="B146" s="54" t="s">
        <v>237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68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239</v>
      </c>
      <c r="B147" s="54" t="s">
        <v>240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242</v>
      </c>
      <c r="B148" s="54" t="s">
        <v>243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9"/>
      <c r="B149" s="556"/>
      <c r="C149" s="556"/>
      <c r="D149" s="556"/>
      <c r="E149" s="556"/>
      <c r="F149" s="556"/>
      <c r="G149" s="556"/>
      <c r="H149" s="556"/>
      <c r="I149" s="556"/>
      <c r="J149" s="556"/>
      <c r="K149" s="556"/>
      <c r="L149" s="556"/>
      <c r="M149" s="556"/>
      <c r="N149" s="556"/>
      <c r="O149" s="570"/>
      <c r="P149" s="557" t="s">
        <v>70</v>
      </c>
      <c r="Q149" s="558"/>
      <c r="R149" s="558"/>
      <c r="S149" s="558"/>
      <c r="T149" s="558"/>
      <c r="U149" s="558"/>
      <c r="V149" s="559"/>
      <c r="W149" s="37" t="s">
        <v>71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x14ac:dyDescent="0.2">
      <c r="A150" s="556"/>
      <c r="B150" s="556"/>
      <c r="C150" s="556"/>
      <c r="D150" s="556"/>
      <c r="E150" s="556"/>
      <c r="F150" s="556"/>
      <c r="G150" s="556"/>
      <c r="H150" s="556"/>
      <c r="I150" s="556"/>
      <c r="J150" s="556"/>
      <c r="K150" s="556"/>
      <c r="L150" s="556"/>
      <c r="M150" s="556"/>
      <c r="N150" s="556"/>
      <c r="O150" s="570"/>
      <c r="P150" s="557" t="s">
        <v>70</v>
      </c>
      <c r="Q150" s="558"/>
      <c r="R150" s="558"/>
      <c r="S150" s="558"/>
      <c r="T150" s="558"/>
      <c r="U150" s="558"/>
      <c r="V150" s="559"/>
      <c r="W150" s="37" t="s">
        <v>68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customHeight="1" x14ac:dyDescent="0.2">
      <c r="A151" s="606" t="s">
        <v>245</v>
      </c>
      <c r="B151" s="607"/>
      <c r="C151" s="607"/>
      <c r="D151" s="607"/>
      <c r="E151" s="607"/>
      <c r="F151" s="607"/>
      <c r="G151" s="607"/>
      <c r="H151" s="607"/>
      <c r="I151" s="607"/>
      <c r="J151" s="607"/>
      <c r="K151" s="607"/>
      <c r="L151" s="607"/>
      <c r="M151" s="607"/>
      <c r="N151" s="607"/>
      <c r="O151" s="607"/>
      <c r="P151" s="607"/>
      <c r="Q151" s="607"/>
      <c r="R151" s="607"/>
      <c r="S151" s="607"/>
      <c r="T151" s="607"/>
      <c r="U151" s="607"/>
      <c r="V151" s="607"/>
      <c r="W151" s="607"/>
      <c r="X151" s="607"/>
      <c r="Y151" s="607"/>
      <c r="Z151" s="607"/>
      <c r="AA151" s="48"/>
      <c r="AB151" s="48"/>
      <c r="AC151" s="48"/>
    </row>
    <row r="152" spans="1:68" ht="16.5" customHeight="1" x14ac:dyDescent="0.25">
      <c r="A152" s="562" t="s">
        <v>246</v>
      </c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56"/>
      <c r="P152" s="556"/>
      <c r="Q152" s="556"/>
      <c r="R152" s="556"/>
      <c r="S152" s="556"/>
      <c r="T152" s="556"/>
      <c r="U152" s="556"/>
      <c r="V152" s="556"/>
      <c r="W152" s="556"/>
      <c r="X152" s="556"/>
      <c r="Y152" s="556"/>
      <c r="Z152" s="556"/>
      <c r="AA152" s="538"/>
      <c r="AB152" s="538"/>
      <c r="AC152" s="538"/>
    </row>
    <row r="153" spans="1:68" ht="14.25" customHeight="1" x14ac:dyDescent="0.25">
      <c r="A153" s="555" t="s">
        <v>130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539"/>
      <c r="AB153" s="539"/>
      <c r="AC153" s="539"/>
    </row>
    <row r="154" spans="1:68" ht="27" customHeight="1" x14ac:dyDescent="0.25">
      <c r="A154" s="54" t="s">
        <v>247</v>
      </c>
      <c r="B154" s="54" t="s">
        <v>248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68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9"/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70"/>
      <c r="P155" s="557" t="s">
        <v>70</v>
      </c>
      <c r="Q155" s="558"/>
      <c r="R155" s="558"/>
      <c r="S155" s="558"/>
      <c r="T155" s="558"/>
      <c r="U155" s="558"/>
      <c r="V155" s="559"/>
      <c r="W155" s="37" t="s">
        <v>71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x14ac:dyDescent="0.2">
      <c r="A156" s="556"/>
      <c r="B156" s="556"/>
      <c r="C156" s="556"/>
      <c r="D156" s="556"/>
      <c r="E156" s="556"/>
      <c r="F156" s="556"/>
      <c r="G156" s="556"/>
      <c r="H156" s="556"/>
      <c r="I156" s="556"/>
      <c r="J156" s="556"/>
      <c r="K156" s="556"/>
      <c r="L156" s="556"/>
      <c r="M156" s="556"/>
      <c r="N156" s="556"/>
      <c r="O156" s="570"/>
      <c r="P156" s="557" t="s">
        <v>70</v>
      </c>
      <c r="Q156" s="558"/>
      <c r="R156" s="558"/>
      <c r="S156" s="558"/>
      <c r="T156" s="558"/>
      <c r="U156" s="558"/>
      <c r="V156" s="559"/>
      <c r="W156" s="37" t="s">
        <v>68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customHeight="1" x14ac:dyDescent="0.25">
      <c r="A157" s="555" t="s">
        <v>63</v>
      </c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56"/>
      <c r="P157" s="556"/>
      <c r="Q157" s="556"/>
      <c r="R157" s="556"/>
      <c r="S157" s="556"/>
      <c r="T157" s="556"/>
      <c r="U157" s="556"/>
      <c r="V157" s="556"/>
      <c r="W157" s="556"/>
      <c r="X157" s="556"/>
      <c r="Y157" s="556"/>
      <c r="Z157" s="556"/>
      <c r="AA157" s="539"/>
      <c r="AB157" s="539"/>
      <c r="AC157" s="539"/>
    </row>
    <row r="158" spans="1:68" ht="27" customHeight="1" x14ac:dyDescent="0.25">
      <c r="A158" s="54" t="s">
        <v>250</v>
      </c>
      <c r="B158" s="54" t="s">
        <v>251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68</v>
      </c>
      <c r="X158" s="543">
        <v>50</v>
      </c>
      <c r="Y158" s="544">
        <f t="shared" ref="Y158:Y166" si="5">IFERROR(IF(X158="",0,CEILING((X158/$H158),1)*$H158),"")</f>
        <v>50.400000000000006</v>
      </c>
      <c r="Z158" s="36">
        <f>IFERROR(IF(Y158=0,"",ROUNDUP(Y158/H158,0)*0.00902),"")</f>
        <v>0.10824</v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53.214285714285715</v>
      </c>
      <c r="BN158" s="64">
        <f t="shared" ref="BN158:BN166" si="7">IFERROR(Y158*I158/H158,"0")</f>
        <v>53.64</v>
      </c>
      <c r="BO158" s="64">
        <f t="shared" ref="BO158:BO166" si="8">IFERROR(1/J158*(X158/H158),"0")</f>
        <v>9.0187590187590191E-2</v>
      </c>
      <c r="BP158" s="64">
        <f t="shared" ref="BP158:BP166" si="9">IFERROR(1/J158*(Y158/H158),"0")</f>
        <v>9.0909090909090912E-2</v>
      </c>
    </row>
    <row r="159" spans="1:68" ht="27" customHeight="1" x14ac:dyDescent="0.25">
      <c r="A159" s="54" t="s">
        <v>253</v>
      </c>
      <c r="B159" s="54" t="s">
        <v>254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68</v>
      </c>
      <c r="X159" s="543">
        <v>30</v>
      </c>
      <c r="Y159" s="544">
        <f t="shared" si="5"/>
        <v>33.6</v>
      </c>
      <c r="Z159" s="36">
        <f>IFERROR(IF(Y159=0,"",ROUNDUP(Y159/H159,0)*0.00902),"")</f>
        <v>7.2160000000000002E-2</v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31.928571428571427</v>
      </c>
      <c r="BN159" s="64">
        <f t="shared" si="7"/>
        <v>35.76</v>
      </c>
      <c r="BO159" s="64">
        <f t="shared" si="8"/>
        <v>5.4112554112554112E-2</v>
      </c>
      <c r="BP159" s="64">
        <f t="shared" si="9"/>
        <v>6.0606060606060608E-2</v>
      </c>
    </row>
    <row r="160" spans="1:68" ht="27" customHeight="1" x14ac:dyDescent="0.25">
      <c r="A160" s="54" t="s">
        <v>256</v>
      </c>
      <c r="B160" s="54" t="s">
        <v>257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68</v>
      </c>
      <c r="X160" s="543">
        <v>150</v>
      </c>
      <c r="Y160" s="544">
        <f t="shared" si="5"/>
        <v>151.20000000000002</v>
      </c>
      <c r="Z160" s="36">
        <f>IFERROR(IF(Y160=0,"",ROUNDUP(Y160/H160,0)*0.00902),"")</f>
        <v>0.32472000000000001</v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157.5</v>
      </c>
      <c r="BN160" s="64">
        <f t="shared" si="7"/>
        <v>158.76000000000002</v>
      </c>
      <c r="BO160" s="64">
        <f t="shared" si="8"/>
        <v>0.27056277056277056</v>
      </c>
      <c r="BP160" s="64">
        <f t="shared" si="9"/>
        <v>0.27272727272727271</v>
      </c>
    </row>
    <row r="161" spans="1:68" ht="27" customHeight="1" x14ac:dyDescent="0.25">
      <c r="A161" s="54" t="s">
        <v>259</v>
      </c>
      <c r="B161" s="54" t="s">
        <v>260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68</v>
      </c>
      <c r="X161" s="543">
        <v>70</v>
      </c>
      <c r="Y161" s="544">
        <f t="shared" si="5"/>
        <v>71.400000000000006</v>
      </c>
      <c r="Z161" s="36">
        <f>IFERROR(IF(Y161=0,"",ROUNDUP(Y161/H161,0)*0.00502),"")</f>
        <v>0.17068</v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74.333333333333329</v>
      </c>
      <c r="BN161" s="64">
        <f t="shared" si="7"/>
        <v>75.820000000000007</v>
      </c>
      <c r="BO161" s="64">
        <f t="shared" si="8"/>
        <v>0.14245014245014245</v>
      </c>
      <c r="BP161" s="64">
        <f t="shared" si="9"/>
        <v>0.14529914529914531</v>
      </c>
    </row>
    <row r="162" spans="1:68" ht="27" customHeight="1" x14ac:dyDescent="0.25">
      <c r="A162" s="54" t="s">
        <v>261</v>
      </c>
      <c r="B162" s="54" t="s">
        <v>262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68</v>
      </c>
      <c r="X162" s="543">
        <v>35</v>
      </c>
      <c r="Y162" s="544">
        <f t="shared" si="5"/>
        <v>35.700000000000003</v>
      </c>
      <c r="Z162" s="36">
        <f>IFERROR(IF(Y162=0,"",ROUNDUP(Y162/H162,0)*0.00502),"")</f>
        <v>8.5339999999999999E-2</v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37.166666666666664</v>
      </c>
      <c r="BN162" s="64">
        <f t="shared" si="7"/>
        <v>37.910000000000004</v>
      </c>
      <c r="BO162" s="64">
        <f t="shared" si="8"/>
        <v>7.1225071225071226E-2</v>
      </c>
      <c r="BP162" s="64">
        <f t="shared" si="9"/>
        <v>7.2649572649572655E-2</v>
      </c>
    </row>
    <row r="163" spans="1:68" ht="27" customHeight="1" x14ac:dyDescent="0.25">
      <c r="A163" s="54" t="s">
        <v>263</v>
      </c>
      <c r="B163" s="54" t="s">
        <v>264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68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266</v>
      </c>
      <c r="B164" s="54" t="s">
        <v>267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68</v>
      </c>
      <c r="X164" s="543">
        <v>210</v>
      </c>
      <c r="Y164" s="544">
        <f t="shared" si="5"/>
        <v>210</v>
      </c>
      <c r="Z164" s="36">
        <f>IFERROR(IF(Y164=0,"",ROUNDUP(Y164/H164,0)*0.00502),"")</f>
        <v>0.502</v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220.00000000000003</v>
      </c>
      <c r="BN164" s="64">
        <f t="shared" si="7"/>
        <v>220.00000000000003</v>
      </c>
      <c r="BO164" s="64">
        <f t="shared" si="8"/>
        <v>0.42735042735042739</v>
      </c>
      <c r="BP164" s="64">
        <f t="shared" si="9"/>
        <v>0.42735042735042739</v>
      </c>
    </row>
    <row r="165" spans="1:68" ht="27" customHeight="1" x14ac:dyDescent="0.25">
      <c r="A165" s="54" t="s">
        <v>268</v>
      </c>
      <c r="B165" s="54" t="s">
        <v>269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68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68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9"/>
      <c r="B167" s="556"/>
      <c r="C167" s="556"/>
      <c r="D167" s="556"/>
      <c r="E167" s="556"/>
      <c r="F167" s="556"/>
      <c r="G167" s="556"/>
      <c r="H167" s="556"/>
      <c r="I167" s="556"/>
      <c r="J167" s="556"/>
      <c r="K167" s="556"/>
      <c r="L167" s="556"/>
      <c r="M167" s="556"/>
      <c r="N167" s="556"/>
      <c r="O167" s="570"/>
      <c r="P167" s="557" t="s">
        <v>70</v>
      </c>
      <c r="Q167" s="558"/>
      <c r="R167" s="558"/>
      <c r="S167" s="558"/>
      <c r="T167" s="558"/>
      <c r="U167" s="558"/>
      <c r="V167" s="559"/>
      <c r="W167" s="37" t="s">
        <v>71</v>
      </c>
      <c r="X167" s="545">
        <f>IFERROR(X158/H158,"0")+IFERROR(X159/H159,"0")+IFERROR(X160/H160,"0")+IFERROR(X161/H161,"0")+IFERROR(X162/H162,"0")+IFERROR(X163/H163,"0")+IFERROR(X164/H164,"0")+IFERROR(X165/H165,"0")+IFERROR(X166/H166,"0")</f>
        <v>204.76190476190476</v>
      </c>
      <c r="Y167" s="545">
        <f>IFERROR(Y158/H158,"0")+IFERROR(Y159/H159,"0")+IFERROR(Y160/H160,"0")+IFERROR(Y161/H161,"0")+IFERROR(Y162/H162,"0")+IFERROR(Y163/H163,"0")+IFERROR(Y164/H164,"0")+IFERROR(Y165/H165,"0")+IFERROR(Y166/H166,"0")</f>
        <v>207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1.2631399999999999</v>
      </c>
      <c r="AA167" s="546"/>
      <c r="AB167" s="546"/>
      <c r="AC167" s="546"/>
    </row>
    <row r="168" spans="1:68" x14ac:dyDescent="0.2">
      <c r="A168" s="556"/>
      <c r="B168" s="556"/>
      <c r="C168" s="556"/>
      <c r="D168" s="556"/>
      <c r="E168" s="556"/>
      <c r="F168" s="556"/>
      <c r="G168" s="556"/>
      <c r="H168" s="556"/>
      <c r="I168" s="556"/>
      <c r="J168" s="556"/>
      <c r="K168" s="556"/>
      <c r="L168" s="556"/>
      <c r="M168" s="556"/>
      <c r="N168" s="556"/>
      <c r="O168" s="570"/>
      <c r="P168" s="557" t="s">
        <v>70</v>
      </c>
      <c r="Q168" s="558"/>
      <c r="R168" s="558"/>
      <c r="S168" s="558"/>
      <c r="T168" s="558"/>
      <c r="U168" s="558"/>
      <c r="V168" s="559"/>
      <c r="W168" s="37" t="s">
        <v>68</v>
      </c>
      <c r="X168" s="545">
        <f>IFERROR(SUM(X158:X166),"0")</f>
        <v>545</v>
      </c>
      <c r="Y168" s="545">
        <f>IFERROR(SUM(Y158:Y166),"0")</f>
        <v>552.29999999999995</v>
      </c>
      <c r="Z168" s="37"/>
      <c r="AA168" s="546"/>
      <c r="AB168" s="546"/>
      <c r="AC168" s="546"/>
    </row>
    <row r="169" spans="1:68" ht="14.25" customHeight="1" x14ac:dyDescent="0.25">
      <c r="A169" s="555" t="s">
        <v>90</v>
      </c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56"/>
      <c r="P169" s="556"/>
      <c r="Q169" s="556"/>
      <c r="R169" s="556"/>
      <c r="S169" s="556"/>
      <c r="T169" s="556"/>
      <c r="U169" s="556"/>
      <c r="V169" s="556"/>
      <c r="W169" s="556"/>
      <c r="X169" s="556"/>
      <c r="Y169" s="556"/>
      <c r="Z169" s="556"/>
      <c r="AA169" s="539"/>
      <c r="AB169" s="539"/>
      <c r="AC169" s="539"/>
    </row>
    <row r="170" spans="1:68" ht="27" customHeight="1" x14ac:dyDescent="0.25">
      <c r="A170" s="54" t="s">
        <v>273</v>
      </c>
      <c r="B170" s="54" t="s">
        <v>274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68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278</v>
      </c>
      <c r="B171" s="54" t="s">
        <v>279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2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281</v>
      </c>
      <c r="B172" s="54" t="s">
        <v>282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9"/>
      <c r="B173" s="556"/>
      <c r="C173" s="556"/>
      <c r="D173" s="556"/>
      <c r="E173" s="556"/>
      <c r="F173" s="556"/>
      <c r="G173" s="556"/>
      <c r="H173" s="556"/>
      <c r="I173" s="556"/>
      <c r="J173" s="556"/>
      <c r="K173" s="556"/>
      <c r="L173" s="556"/>
      <c r="M173" s="556"/>
      <c r="N173" s="556"/>
      <c r="O173" s="570"/>
      <c r="P173" s="557" t="s">
        <v>70</v>
      </c>
      <c r="Q173" s="558"/>
      <c r="R173" s="558"/>
      <c r="S173" s="558"/>
      <c r="T173" s="558"/>
      <c r="U173" s="558"/>
      <c r="V173" s="559"/>
      <c r="W173" s="37" t="s">
        <v>71</v>
      </c>
      <c r="X173" s="545">
        <f>IFERROR(X170/H170,"0")+IFERROR(X171/H171,"0")+IFERROR(X172/H172,"0")</f>
        <v>0</v>
      </c>
      <c r="Y173" s="545">
        <f>IFERROR(Y170/H170,"0")+IFERROR(Y171/H171,"0")+IFERROR(Y172/H172,"0")</f>
        <v>0</v>
      </c>
      <c r="Z173" s="545">
        <f>IFERROR(IF(Z170="",0,Z170),"0")+IFERROR(IF(Z171="",0,Z171),"0")+IFERROR(IF(Z172="",0,Z172),"0")</f>
        <v>0</v>
      </c>
      <c r="AA173" s="546"/>
      <c r="AB173" s="546"/>
      <c r="AC173" s="546"/>
    </row>
    <row r="174" spans="1:68" x14ac:dyDescent="0.2">
      <c r="A174" s="556"/>
      <c r="B174" s="556"/>
      <c r="C174" s="556"/>
      <c r="D174" s="556"/>
      <c r="E174" s="556"/>
      <c r="F174" s="556"/>
      <c r="G174" s="556"/>
      <c r="H174" s="556"/>
      <c r="I174" s="556"/>
      <c r="J174" s="556"/>
      <c r="K174" s="556"/>
      <c r="L174" s="556"/>
      <c r="M174" s="556"/>
      <c r="N174" s="556"/>
      <c r="O174" s="570"/>
      <c r="P174" s="557" t="s">
        <v>70</v>
      </c>
      <c r="Q174" s="558"/>
      <c r="R174" s="558"/>
      <c r="S174" s="558"/>
      <c r="T174" s="558"/>
      <c r="U174" s="558"/>
      <c r="V174" s="559"/>
      <c r="W174" s="37" t="s">
        <v>68</v>
      </c>
      <c r="X174" s="545">
        <f>IFERROR(SUM(X170:X172),"0")</f>
        <v>0</v>
      </c>
      <c r="Y174" s="545">
        <f>IFERROR(SUM(Y170:Y172),"0")</f>
        <v>0</v>
      </c>
      <c r="Z174" s="37"/>
      <c r="AA174" s="546"/>
      <c r="AB174" s="546"/>
      <c r="AC174" s="546"/>
    </row>
    <row r="175" spans="1:68" ht="14.25" customHeight="1" x14ac:dyDescent="0.25">
      <c r="A175" s="555" t="s">
        <v>283</v>
      </c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56"/>
      <c r="P175" s="556"/>
      <c r="Q175" s="556"/>
      <c r="R175" s="556"/>
      <c r="S175" s="556"/>
      <c r="T175" s="556"/>
      <c r="U175" s="556"/>
      <c r="V175" s="556"/>
      <c r="W175" s="556"/>
      <c r="X175" s="556"/>
      <c r="Y175" s="556"/>
      <c r="Z175" s="556"/>
      <c r="AA175" s="539"/>
      <c r="AB175" s="539"/>
      <c r="AC175" s="539"/>
    </row>
    <row r="176" spans="1:68" ht="27" customHeight="1" x14ac:dyDescent="0.25">
      <c r="A176" s="54" t="s">
        <v>284</v>
      </c>
      <c r="B176" s="54" t="s">
        <v>285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80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68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9"/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70"/>
      <c r="P177" s="557" t="s">
        <v>70</v>
      </c>
      <c r="Q177" s="558"/>
      <c r="R177" s="558"/>
      <c r="S177" s="558"/>
      <c r="T177" s="558"/>
      <c r="U177" s="558"/>
      <c r="V177" s="559"/>
      <c r="W177" s="37" t="s">
        <v>71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x14ac:dyDescent="0.2">
      <c r="A178" s="556"/>
      <c r="B178" s="556"/>
      <c r="C178" s="556"/>
      <c r="D178" s="556"/>
      <c r="E178" s="556"/>
      <c r="F178" s="556"/>
      <c r="G178" s="556"/>
      <c r="H178" s="556"/>
      <c r="I178" s="556"/>
      <c r="J178" s="556"/>
      <c r="K178" s="556"/>
      <c r="L178" s="556"/>
      <c r="M178" s="556"/>
      <c r="N178" s="556"/>
      <c r="O178" s="570"/>
      <c r="P178" s="557" t="s">
        <v>70</v>
      </c>
      <c r="Q178" s="558"/>
      <c r="R178" s="558"/>
      <c r="S178" s="558"/>
      <c r="T178" s="558"/>
      <c r="U178" s="558"/>
      <c r="V178" s="559"/>
      <c r="W178" s="37" t="s">
        <v>68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customHeight="1" x14ac:dyDescent="0.25">
      <c r="A179" s="562" t="s">
        <v>286</v>
      </c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56"/>
      <c r="P179" s="556"/>
      <c r="Q179" s="556"/>
      <c r="R179" s="556"/>
      <c r="S179" s="556"/>
      <c r="T179" s="556"/>
      <c r="U179" s="556"/>
      <c r="V179" s="556"/>
      <c r="W179" s="556"/>
      <c r="X179" s="556"/>
      <c r="Y179" s="556"/>
      <c r="Z179" s="556"/>
      <c r="AA179" s="538"/>
      <c r="AB179" s="538"/>
      <c r="AC179" s="538"/>
    </row>
    <row r="180" spans="1:68" ht="14.25" customHeight="1" x14ac:dyDescent="0.25">
      <c r="A180" s="555" t="s">
        <v>98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39"/>
      <c r="AB180" s="539"/>
      <c r="AC180" s="539"/>
    </row>
    <row r="181" spans="1:68" ht="16.5" customHeight="1" x14ac:dyDescent="0.25">
      <c r="A181" s="54" t="s">
        <v>287</v>
      </c>
      <c r="B181" s="54" t="s">
        <v>288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68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290</v>
      </c>
      <c r="B182" s="54" t="s">
        <v>291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9"/>
      <c r="B183" s="556"/>
      <c r="C183" s="556"/>
      <c r="D183" s="556"/>
      <c r="E183" s="556"/>
      <c r="F183" s="556"/>
      <c r="G183" s="556"/>
      <c r="H183" s="556"/>
      <c r="I183" s="556"/>
      <c r="J183" s="556"/>
      <c r="K183" s="556"/>
      <c r="L183" s="556"/>
      <c r="M183" s="556"/>
      <c r="N183" s="556"/>
      <c r="O183" s="570"/>
      <c r="P183" s="557" t="s">
        <v>70</v>
      </c>
      <c r="Q183" s="558"/>
      <c r="R183" s="558"/>
      <c r="S183" s="558"/>
      <c r="T183" s="558"/>
      <c r="U183" s="558"/>
      <c r="V183" s="559"/>
      <c r="W183" s="37" t="s">
        <v>71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x14ac:dyDescent="0.2">
      <c r="A184" s="556"/>
      <c r="B184" s="556"/>
      <c r="C184" s="556"/>
      <c r="D184" s="556"/>
      <c r="E184" s="556"/>
      <c r="F184" s="556"/>
      <c r="G184" s="556"/>
      <c r="H184" s="556"/>
      <c r="I184" s="556"/>
      <c r="J184" s="556"/>
      <c r="K184" s="556"/>
      <c r="L184" s="556"/>
      <c r="M184" s="556"/>
      <c r="N184" s="556"/>
      <c r="O184" s="570"/>
      <c r="P184" s="557" t="s">
        <v>70</v>
      </c>
      <c r="Q184" s="558"/>
      <c r="R184" s="558"/>
      <c r="S184" s="558"/>
      <c r="T184" s="558"/>
      <c r="U184" s="558"/>
      <c r="V184" s="559"/>
      <c r="W184" s="37" t="s">
        <v>68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customHeight="1" x14ac:dyDescent="0.25">
      <c r="A185" s="555" t="s">
        <v>130</v>
      </c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56"/>
      <c r="P185" s="556"/>
      <c r="Q185" s="556"/>
      <c r="R185" s="556"/>
      <c r="S185" s="556"/>
      <c r="T185" s="556"/>
      <c r="U185" s="556"/>
      <c r="V185" s="556"/>
      <c r="W185" s="556"/>
      <c r="X185" s="556"/>
      <c r="Y185" s="556"/>
      <c r="Z185" s="556"/>
      <c r="AA185" s="539"/>
      <c r="AB185" s="539"/>
      <c r="AC185" s="539"/>
    </row>
    <row r="186" spans="1:68" ht="16.5" customHeight="1" x14ac:dyDescent="0.25">
      <c r="A186" s="54" t="s">
        <v>292</v>
      </c>
      <c r="B186" s="54" t="s">
        <v>293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68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295</v>
      </c>
      <c r="B187" s="54" t="s">
        <v>296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9"/>
      <c r="B188" s="556"/>
      <c r="C188" s="556"/>
      <c r="D188" s="556"/>
      <c r="E188" s="556"/>
      <c r="F188" s="556"/>
      <c r="G188" s="556"/>
      <c r="H188" s="556"/>
      <c r="I188" s="556"/>
      <c r="J188" s="556"/>
      <c r="K188" s="556"/>
      <c r="L188" s="556"/>
      <c r="M188" s="556"/>
      <c r="N188" s="556"/>
      <c r="O188" s="570"/>
      <c r="P188" s="557" t="s">
        <v>70</v>
      </c>
      <c r="Q188" s="558"/>
      <c r="R188" s="558"/>
      <c r="S188" s="558"/>
      <c r="T188" s="558"/>
      <c r="U188" s="558"/>
      <c r="V188" s="559"/>
      <c r="W188" s="37" t="s">
        <v>71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x14ac:dyDescent="0.2">
      <c r="A189" s="556"/>
      <c r="B189" s="556"/>
      <c r="C189" s="556"/>
      <c r="D189" s="556"/>
      <c r="E189" s="556"/>
      <c r="F189" s="556"/>
      <c r="G189" s="556"/>
      <c r="H189" s="556"/>
      <c r="I189" s="556"/>
      <c r="J189" s="556"/>
      <c r="K189" s="556"/>
      <c r="L189" s="556"/>
      <c r="M189" s="556"/>
      <c r="N189" s="556"/>
      <c r="O189" s="570"/>
      <c r="P189" s="557" t="s">
        <v>70</v>
      </c>
      <c r="Q189" s="558"/>
      <c r="R189" s="558"/>
      <c r="S189" s="558"/>
      <c r="T189" s="558"/>
      <c r="U189" s="558"/>
      <c r="V189" s="559"/>
      <c r="W189" s="37" t="s">
        <v>68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customHeight="1" x14ac:dyDescent="0.25">
      <c r="A190" s="555" t="s">
        <v>63</v>
      </c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56"/>
      <c r="P190" s="556"/>
      <c r="Q190" s="556"/>
      <c r="R190" s="556"/>
      <c r="S190" s="556"/>
      <c r="T190" s="556"/>
      <c r="U190" s="556"/>
      <c r="V190" s="556"/>
      <c r="W190" s="556"/>
      <c r="X190" s="556"/>
      <c r="Y190" s="556"/>
      <c r="Z190" s="556"/>
      <c r="AA190" s="539"/>
      <c r="AB190" s="539"/>
      <c r="AC190" s="539"/>
    </row>
    <row r="191" spans="1:68" ht="27" customHeight="1" x14ac:dyDescent="0.25">
      <c r="A191" s="54" t="s">
        <v>297</v>
      </c>
      <c r="B191" s="54" t="s">
        <v>298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68</v>
      </c>
      <c r="X191" s="543">
        <v>200</v>
      </c>
      <c r="Y191" s="544">
        <f t="shared" ref="Y191:Y198" si="10">IFERROR(IF(X191="",0,CEILING((X191/$H191),1)*$H191),"")</f>
        <v>205.20000000000002</v>
      </c>
      <c r="Z191" s="36">
        <f>IFERROR(IF(Y191=0,"",ROUNDUP(Y191/H191,0)*0.00902),"")</f>
        <v>0.34276000000000001</v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207.77777777777777</v>
      </c>
      <c r="BN191" s="64">
        <f t="shared" ref="BN191:BN198" si="12">IFERROR(Y191*I191/H191,"0")</f>
        <v>213.18000000000004</v>
      </c>
      <c r="BO191" s="64">
        <f t="shared" ref="BO191:BO198" si="13">IFERROR(1/J191*(X191/H191),"0")</f>
        <v>0.28058361391694725</v>
      </c>
      <c r="BP191" s="64">
        <f t="shared" ref="BP191:BP198" si="14">IFERROR(1/J191*(Y191/H191),"0")</f>
        <v>0.2878787878787879</v>
      </c>
    </row>
    <row r="192" spans="1:68" ht="27" customHeight="1" x14ac:dyDescent="0.25">
      <c r="A192" s="54" t="s">
        <v>300</v>
      </c>
      <c r="B192" s="54" t="s">
        <v>301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4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68</v>
      </c>
      <c r="X192" s="543">
        <v>50</v>
      </c>
      <c r="Y192" s="544">
        <f t="shared" si="10"/>
        <v>54</v>
      </c>
      <c r="Z192" s="36">
        <f>IFERROR(IF(Y192=0,"",ROUNDUP(Y192/H192,0)*0.00902),"")</f>
        <v>9.0200000000000002E-2</v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51.944444444444443</v>
      </c>
      <c r="BN192" s="64">
        <f t="shared" si="12"/>
        <v>56.099999999999994</v>
      </c>
      <c r="BO192" s="64">
        <f t="shared" si="13"/>
        <v>7.0145903479236812E-2</v>
      </c>
      <c r="BP192" s="64">
        <f t="shared" si="14"/>
        <v>7.575757575757576E-2</v>
      </c>
    </row>
    <row r="193" spans="1:68" ht="27" customHeight="1" x14ac:dyDescent="0.25">
      <c r="A193" s="54" t="s">
        <v>303</v>
      </c>
      <c r="B193" s="54" t="s">
        <v>304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68</v>
      </c>
      <c r="X193" s="543">
        <v>300</v>
      </c>
      <c r="Y193" s="544">
        <f t="shared" si="10"/>
        <v>302.40000000000003</v>
      </c>
      <c r="Z193" s="36">
        <f>IFERROR(IF(Y193=0,"",ROUNDUP(Y193/H193,0)*0.00902),"")</f>
        <v>0.50512000000000001</v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311.66666666666663</v>
      </c>
      <c r="BN193" s="64">
        <f t="shared" si="12"/>
        <v>314.16000000000003</v>
      </c>
      <c r="BO193" s="64">
        <f t="shared" si="13"/>
        <v>0.42087542087542085</v>
      </c>
      <c r="BP193" s="64">
        <f t="shared" si="14"/>
        <v>0.42424242424242425</v>
      </c>
    </row>
    <row r="194" spans="1:68" ht="27" customHeight="1" x14ac:dyDescent="0.25">
      <c r="A194" s="54" t="s">
        <v>306</v>
      </c>
      <c r="B194" s="54" t="s">
        <v>307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68</v>
      </c>
      <c r="X194" s="543">
        <v>90</v>
      </c>
      <c r="Y194" s="544">
        <f t="shared" si="10"/>
        <v>91.800000000000011</v>
      </c>
      <c r="Z194" s="36">
        <f>IFERROR(IF(Y194=0,"",ROUNDUP(Y194/H194,0)*0.00902),"")</f>
        <v>0.15334</v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93.5</v>
      </c>
      <c r="BN194" s="64">
        <f t="shared" si="12"/>
        <v>95.37</v>
      </c>
      <c r="BO194" s="64">
        <f t="shared" si="13"/>
        <v>0.12626262626262624</v>
      </c>
      <c r="BP194" s="64">
        <f t="shared" si="14"/>
        <v>0.12878787878787878</v>
      </c>
    </row>
    <row r="195" spans="1:68" ht="27" customHeight="1" x14ac:dyDescent="0.25">
      <c r="A195" s="54" t="s">
        <v>309</v>
      </c>
      <c r="B195" s="54" t="s">
        <v>310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68</v>
      </c>
      <c r="X195" s="543">
        <v>75</v>
      </c>
      <c r="Y195" s="544">
        <f t="shared" si="10"/>
        <v>75.600000000000009</v>
      </c>
      <c r="Z195" s="36">
        <f>IFERROR(IF(Y195=0,"",ROUNDUP(Y195/H195,0)*0.00502),"")</f>
        <v>0.21084</v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80.416666666666671</v>
      </c>
      <c r="BN195" s="64">
        <f t="shared" si="12"/>
        <v>81.06</v>
      </c>
      <c r="BO195" s="64">
        <f t="shared" si="13"/>
        <v>0.17806267806267806</v>
      </c>
      <c r="BP195" s="64">
        <f t="shared" si="14"/>
        <v>0.17948717948717954</v>
      </c>
    </row>
    <row r="196" spans="1:68" ht="27" customHeight="1" x14ac:dyDescent="0.25">
      <c r="A196" s="54" t="s">
        <v>311</v>
      </c>
      <c r="B196" s="54" t="s">
        <v>312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68</v>
      </c>
      <c r="X196" s="543">
        <v>45</v>
      </c>
      <c r="Y196" s="544">
        <f t="shared" si="10"/>
        <v>45</v>
      </c>
      <c r="Z196" s="36">
        <f>IFERROR(IF(Y196=0,"",ROUNDUP(Y196/H196,0)*0.00502),"")</f>
        <v>0.1255</v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47.5</v>
      </c>
      <c r="BN196" s="64">
        <f t="shared" si="12"/>
        <v>47.5</v>
      </c>
      <c r="BO196" s="64">
        <f t="shared" si="13"/>
        <v>0.10683760683760685</v>
      </c>
      <c r="BP196" s="64">
        <f t="shared" si="14"/>
        <v>0.10683760683760685</v>
      </c>
    </row>
    <row r="197" spans="1:68" ht="27" customHeight="1" x14ac:dyDescent="0.25">
      <c r="A197" s="54" t="s">
        <v>313</v>
      </c>
      <c r="B197" s="54" t="s">
        <v>314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68</v>
      </c>
      <c r="X197" s="543">
        <v>75</v>
      </c>
      <c r="Y197" s="544">
        <f t="shared" si="10"/>
        <v>75.600000000000009</v>
      </c>
      <c r="Z197" s="36">
        <f>IFERROR(IF(Y197=0,"",ROUNDUP(Y197/H197,0)*0.00502),"")</f>
        <v>0.21084</v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79.166666666666671</v>
      </c>
      <c r="BN197" s="64">
        <f t="shared" si="12"/>
        <v>79.800000000000011</v>
      </c>
      <c r="BO197" s="64">
        <f t="shared" si="13"/>
        <v>0.17806267806267806</v>
      </c>
      <c r="BP197" s="64">
        <f t="shared" si="14"/>
        <v>0.17948717948717954</v>
      </c>
    </row>
    <row r="198" spans="1:68" ht="27" customHeight="1" x14ac:dyDescent="0.25">
      <c r="A198" s="54" t="s">
        <v>315</v>
      </c>
      <c r="B198" s="54" t="s">
        <v>316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68</v>
      </c>
      <c r="X198" s="543">
        <v>48</v>
      </c>
      <c r="Y198" s="544">
        <f t="shared" si="10"/>
        <v>48.6</v>
      </c>
      <c r="Z198" s="36">
        <f>IFERROR(IF(Y198=0,"",ROUNDUP(Y198/H198,0)*0.00502),"")</f>
        <v>0.13553999999999999</v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50.666666666666657</v>
      </c>
      <c r="BN198" s="64">
        <f t="shared" si="12"/>
        <v>51.3</v>
      </c>
      <c r="BO198" s="64">
        <f t="shared" si="13"/>
        <v>0.11396011396011396</v>
      </c>
      <c r="BP198" s="64">
        <f t="shared" si="14"/>
        <v>0.11538461538461539</v>
      </c>
    </row>
    <row r="199" spans="1:68" x14ac:dyDescent="0.2">
      <c r="A199" s="569"/>
      <c r="B199" s="556"/>
      <c r="C199" s="556"/>
      <c r="D199" s="556"/>
      <c r="E199" s="556"/>
      <c r="F199" s="556"/>
      <c r="G199" s="556"/>
      <c r="H199" s="556"/>
      <c r="I199" s="556"/>
      <c r="J199" s="556"/>
      <c r="K199" s="556"/>
      <c r="L199" s="556"/>
      <c r="M199" s="556"/>
      <c r="N199" s="556"/>
      <c r="O199" s="570"/>
      <c r="P199" s="557" t="s">
        <v>70</v>
      </c>
      <c r="Q199" s="558"/>
      <c r="R199" s="558"/>
      <c r="S199" s="558"/>
      <c r="T199" s="558"/>
      <c r="U199" s="558"/>
      <c r="V199" s="559"/>
      <c r="W199" s="37" t="s">
        <v>71</v>
      </c>
      <c r="X199" s="545">
        <f>IFERROR(X191/H191,"0")+IFERROR(X192/H192,"0")+IFERROR(X193/H193,"0")+IFERROR(X194/H194,"0")+IFERROR(X195/H195,"0")+IFERROR(X196/H196,"0")+IFERROR(X197/H197,"0")+IFERROR(X198/H198,"0")</f>
        <v>253.51851851851848</v>
      </c>
      <c r="Y199" s="545">
        <f>IFERROR(Y191/H191,"0")+IFERROR(Y192/H192,"0")+IFERROR(Y193/H193,"0")+IFERROR(Y194/H194,"0")+IFERROR(Y195/H195,"0")+IFERROR(Y196/H196,"0")+IFERROR(Y197/H197,"0")+IFERROR(Y198/H198,"0")</f>
        <v>257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1.7741399999999998</v>
      </c>
      <c r="AA199" s="546"/>
      <c r="AB199" s="546"/>
      <c r="AC199" s="546"/>
    </row>
    <row r="200" spans="1:68" x14ac:dyDescent="0.2">
      <c r="A200" s="556"/>
      <c r="B200" s="556"/>
      <c r="C200" s="556"/>
      <c r="D200" s="556"/>
      <c r="E200" s="556"/>
      <c r="F200" s="556"/>
      <c r="G200" s="556"/>
      <c r="H200" s="556"/>
      <c r="I200" s="556"/>
      <c r="J200" s="556"/>
      <c r="K200" s="556"/>
      <c r="L200" s="556"/>
      <c r="M200" s="556"/>
      <c r="N200" s="556"/>
      <c r="O200" s="570"/>
      <c r="P200" s="557" t="s">
        <v>70</v>
      </c>
      <c r="Q200" s="558"/>
      <c r="R200" s="558"/>
      <c r="S200" s="558"/>
      <c r="T200" s="558"/>
      <c r="U200" s="558"/>
      <c r="V200" s="559"/>
      <c r="W200" s="37" t="s">
        <v>68</v>
      </c>
      <c r="X200" s="545">
        <f>IFERROR(SUM(X191:X198),"0")</f>
        <v>883</v>
      </c>
      <c r="Y200" s="545">
        <f>IFERROR(SUM(Y191:Y198),"0")</f>
        <v>898.20000000000016</v>
      </c>
      <c r="Z200" s="37"/>
      <c r="AA200" s="546"/>
      <c r="AB200" s="546"/>
      <c r="AC200" s="546"/>
    </row>
    <row r="201" spans="1:68" ht="14.25" customHeight="1" x14ac:dyDescent="0.25">
      <c r="A201" s="555" t="s">
        <v>72</v>
      </c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56"/>
      <c r="P201" s="556"/>
      <c r="Q201" s="556"/>
      <c r="R201" s="556"/>
      <c r="S201" s="556"/>
      <c r="T201" s="556"/>
      <c r="U201" s="556"/>
      <c r="V201" s="556"/>
      <c r="W201" s="556"/>
      <c r="X201" s="556"/>
      <c r="Y201" s="556"/>
      <c r="Z201" s="556"/>
      <c r="AA201" s="539"/>
      <c r="AB201" s="539"/>
      <c r="AC201" s="539"/>
    </row>
    <row r="202" spans="1:68" ht="27" customHeight="1" x14ac:dyDescent="0.25">
      <c r="A202" s="54" t="s">
        <v>317</v>
      </c>
      <c r="B202" s="54" t="s">
        <v>318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68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320</v>
      </c>
      <c r="B203" s="54" t="s">
        <v>321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68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323</v>
      </c>
      <c r="B204" s="54" t="s">
        <v>324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68</v>
      </c>
      <c r="X204" s="543">
        <v>200</v>
      </c>
      <c r="Y204" s="544">
        <f t="shared" si="15"/>
        <v>200.1</v>
      </c>
      <c r="Z204" s="36">
        <f>IFERROR(IF(Y204=0,"",ROUNDUP(Y204/H204,0)*0.01898),"")</f>
        <v>0.43653999999999998</v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211.93103448275863</v>
      </c>
      <c r="BN204" s="64">
        <f t="shared" si="17"/>
        <v>212.03699999999998</v>
      </c>
      <c r="BO204" s="64">
        <f t="shared" si="18"/>
        <v>0.35919540229885061</v>
      </c>
      <c r="BP204" s="64">
        <f t="shared" si="19"/>
        <v>0.359375</v>
      </c>
    </row>
    <row r="205" spans="1:68" ht="27" customHeight="1" x14ac:dyDescent="0.25">
      <c r="A205" s="54" t="s">
        <v>326</v>
      </c>
      <c r="B205" s="54" t="s">
        <v>327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68</v>
      </c>
      <c r="X205" s="543">
        <v>160</v>
      </c>
      <c r="Y205" s="544">
        <f t="shared" si="15"/>
        <v>160.79999999999998</v>
      </c>
      <c r="Z205" s="36">
        <f t="shared" ref="Z205:Z210" si="20">IFERROR(IF(Y205=0,"",ROUNDUP(Y205/H205,0)*0.00651),"")</f>
        <v>0.43617</v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178</v>
      </c>
      <c r="BN205" s="64">
        <f t="shared" si="17"/>
        <v>178.89</v>
      </c>
      <c r="BO205" s="64">
        <f t="shared" si="18"/>
        <v>0.36630036630036633</v>
      </c>
      <c r="BP205" s="64">
        <f t="shared" si="19"/>
        <v>0.36813186813186816</v>
      </c>
    </row>
    <row r="206" spans="1:68" ht="27" customHeight="1" x14ac:dyDescent="0.25">
      <c r="A206" s="54" t="s">
        <v>328</v>
      </c>
      <c r="B206" s="54" t="s">
        <v>329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68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68</v>
      </c>
      <c r="X207" s="543">
        <v>120</v>
      </c>
      <c r="Y207" s="544">
        <f t="shared" si="15"/>
        <v>120</v>
      </c>
      <c r="Z207" s="36">
        <f t="shared" si="20"/>
        <v>0.32550000000000001</v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132.60000000000002</v>
      </c>
      <c r="BN207" s="64">
        <f t="shared" si="17"/>
        <v>132.60000000000002</v>
      </c>
      <c r="BO207" s="64">
        <f t="shared" si="18"/>
        <v>0.27472527472527475</v>
      </c>
      <c r="BP207" s="64">
        <f t="shared" si="19"/>
        <v>0.27472527472527475</v>
      </c>
    </row>
    <row r="208" spans="1:68" ht="27" customHeight="1" x14ac:dyDescent="0.25">
      <c r="A208" s="54" t="s">
        <v>333</v>
      </c>
      <c r="B208" s="54" t="s">
        <v>334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68</v>
      </c>
      <c r="X208" s="543">
        <v>0</v>
      </c>
      <c r="Y208" s="544">
        <f t="shared" si="15"/>
        <v>0</v>
      </c>
      <c r="Z208" s="36" t="str">
        <f t="shared" si="20"/>
        <v/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335</v>
      </c>
      <c r="B209" s="54" t="s">
        <v>336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68</v>
      </c>
      <c r="X209" s="543">
        <v>40</v>
      </c>
      <c r="Y209" s="544">
        <f t="shared" si="15"/>
        <v>40.799999999999997</v>
      </c>
      <c r="Z209" s="36">
        <f t="shared" si="20"/>
        <v>0.11067</v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44.20000000000001</v>
      </c>
      <c r="BN209" s="64">
        <f t="shared" si="17"/>
        <v>45.084000000000003</v>
      </c>
      <c r="BO209" s="64">
        <f t="shared" si="18"/>
        <v>9.1575091575091583E-2</v>
      </c>
      <c r="BP209" s="64">
        <f t="shared" si="19"/>
        <v>9.3406593406593408E-2</v>
      </c>
    </row>
    <row r="210" spans="1:68" ht="27" customHeight="1" x14ac:dyDescent="0.25">
      <c r="A210" s="54" t="s">
        <v>338</v>
      </c>
      <c r="B210" s="54" t="s">
        <v>339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68</v>
      </c>
      <c r="X210" s="543">
        <v>120</v>
      </c>
      <c r="Y210" s="544">
        <f t="shared" si="15"/>
        <v>120</v>
      </c>
      <c r="Z210" s="36">
        <f t="shared" si="20"/>
        <v>0.32550000000000001</v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132.9</v>
      </c>
      <c r="BN210" s="64">
        <f t="shared" si="17"/>
        <v>132.9</v>
      </c>
      <c r="BO210" s="64">
        <f t="shared" si="18"/>
        <v>0.27472527472527475</v>
      </c>
      <c r="BP210" s="64">
        <f t="shared" si="19"/>
        <v>0.27472527472527475</v>
      </c>
    </row>
    <row r="211" spans="1:68" x14ac:dyDescent="0.2">
      <c r="A211" s="569"/>
      <c r="B211" s="556"/>
      <c r="C211" s="556"/>
      <c r="D211" s="556"/>
      <c r="E211" s="556"/>
      <c r="F211" s="556"/>
      <c r="G211" s="556"/>
      <c r="H211" s="556"/>
      <c r="I211" s="556"/>
      <c r="J211" s="556"/>
      <c r="K211" s="556"/>
      <c r="L211" s="556"/>
      <c r="M211" s="556"/>
      <c r="N211" s="556"/>
      <c r="O211" s="570"/>
      <c r="P211" s="557" t="s">
        <v>70</v>
      </c>
      <c r="Q211" s="558"/>
      <c r="R211" s="558"/>
      <c r="S211" s="558"/>
      <c r="T211" s="558"/>
      <c r="U211" s="558"/>
      <c r="V211" s="559"/>
      <c r="W211" s="37" t="s">
        <v>71</v>
      </c>
      <c r="X211" s="545">
        <f>IFERROR(X202/H202,"0")+IFERROR(X203/H203,"0")+IFERROR(X204/H204,"0")+IFERROR(X205/H205,"0")+IFERROR(X206/H206,"0")+IFERROR(X207/H207,"0")+IFERROR(X208/H208,"0")+IFERROR(X209/H209,"0")+IFERROR(X210/H210,"0")</f>
        <v>206.32183908045977</v>
      </c>
      <c r="Y211" s="545">
        <f>IFERROR(Y202/H202,"0")+IFERROR(Y203/H203,"0")+IFERROR(Y204/H204,"0")+IFERROR(Y205/H205,"0")+IFERROR(Y206/H206,"0")+IFERROR(Y207/H207,"0")+IFERROR(Y208/H208,"0")+IFERROR(Y209/H209,"0")+IFERROR(Y210/H210,"0")</f>
        <v>207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1.6343800000000002</v>
      </c>
      <c r="AA211" s="546"/>
      <c r="AB211" s="546"/>
      <c r="AC211" s="546"/>
    </row>
    <row r="212" spans="1:68" x14ac:dyDescent="0.2">
      <c r="A212" s="556"/>
      <c r="B212" s="556"/>
      <c r="C212" s="556"/>
      <c r="D212" s="556"/>
      <c r="E212" s="556"/>
      <c r="F212" s="556"/>
      <c r="G212" s="556"/>
      <c r="H212" s="556"/>
      <c r="I212" s="556"/>
      <c r="J212" s="556"/>
      <c r="K212" s="556"/>
      <c r="L212" s="556"/>
      <c r="M212" s="556"/>
      <c r="N212" s="556"/>
      <c r="O212" s="570"/>
      <c r="P212" s="557" t="s">
        <v>70</v>
      </c>
      <c r="Q212" s="558"/>
      <c r="R212" s="558"/>
      <c r="S212" s="558"/>
      <c r="T212" s="558"/>
      <c r="U212" s="558"/>
      <c r="V212" s="559"/>
      <c r="W212" s="37" t="s">
        <v>68</v>
      </c>
      <c r="X212" s="545">
        <f>IFERROR(SUM(X202:X210),"0")</f>
        <v>640</v>
      </c>
      <c r="Y212" s="545">
        <f>IFERROR(SUM(Y202:Y210),"0")</f>
        <v>641.69999999999993</v>
      </c>
      <c r="Z212" s="37"/>
      <c r="AA212" s="546"/>
      <c r="AB212" s="546"/>
      <c r="AC212" s="546"/>
    </row>
    <row r="213" spans="1:68" ht="14.25" customHeight="1" x14ac:dyDescent="0.25">
      <c r="A213" s="555" t="s">
        <v>160</v>
      </c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56"/>
      <c r="P213" s="556"/>
      <c r="Q213" s="556"/>
      <c r="R213" s="556"/>
      <c r="S213" s="556"/>
      <c r="T213" s="556"/>
      <c r="U213" s="556"/>
      <c r="V213" s="556"/>
      <c r="W213" s="556"/>
      <c r="X213" s="556"/>
      <c r="Y213" s="556"/>
      <c r="Z213" s="556"/>
      <c r="AA213" s="539"/>
      <c r="AB213" s="539"/>
      <c r="AC213" s="539"/>
    </row>
    <row r="214" spans="1:68" ht="27" customHeight="1" x14ac:dyDescent="0.25">
      <c r="A214" s="54" t="s">
        <v>340</v>
      </c>
      <c r="B214" s="54" t="s">
        <v>341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81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68</v>
      </c>
      <c r="X214" s="543">
        <v>28</v>
      </c>
      <c r="Y214" s="544">
        <f>IFERROR(IF(X214="",0,CEILING((X214/$H214),1)*$H214),"")</f>
        <v>28.799999999999997</v>
      </c>
      <c r="Z214" s="36">
        <f>IFERROR(IF(Y214=0,"",ROUNDUP(Y214/H214,0)*0.00651),"")</f>
        <v>7.8119999999999995E-2</v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30.94</v>
      </c>
      <c r="BN214" s="64">
        <f>IFERROR(Y214*I214/H214,"0")</f>
        <v>31.824000000000002</v>
      </c>
      <c r="BO214" s="64">
        <f>IFERROR(1/J214*(X214/H214),"0")</f>
        <v>6.4102564102564111E-2</v>
      </c>
      <c r="BP214" s="64">
        <f>IFERROR(1/J214*(Y214/H214),"0")</f>
        <v>6.5934065934065936E-2</v>
      </c>
    </row>
    <row r="215" spans="1:68" ht="27" customHeight="1" x14ac:dyDescent="0.25">
      <c r="A215" s="54" t="s">
        <v>343</v>
      </c>
      <c r="B215" s="54" t="s">
        <v>344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68</v>
      </c>
      <c r="X215" s="543">
        <v>20</v>
      </c>
      <c r="Y215" s="544">
        <f>IFERROR(IF(X215="",0,CEILING((X215/$H215),1)*$H215),"")</f>
        <v>21.599999999999998</v>
      </c>
      <c r="Z215" s="36">
        <f>IFERROR(IF(Y215=0,"",ROUNDUP(Y215/H215,0)*0.00651),"")</f>
        <v>5.8590000000000003E-2</v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22.100000000000005</v>
      </c>
      <c r="BN215" s="64">
        <f>IFERROR(Y215*I215/H215,"0")</f>
        <v>23.868000000000002</v>
      </c>
      <c r="BO215" s="64">
        <f>IFERROR(1/J215*(X215/H215),"0")</f>
        <v>4.5787545787545791E-2</v>
      </c>
      <c r="BP215" s="64">
        <f>IFERROR(1/J215*(Y215/H215),"0")</f>
        <v>4.9450549450549455E-2</v>
      </c>
    </row>
    <row r="216" spans="1:68" x14ac:dyDescent="0.2">
      <c r="A216" s="569"/>
      <c r="B216" s="556"/>
      <c r="C216" s="556"/>
      <c r="D216" s="556"/>
      <c r="E216" s="556"/>
      <c r="F216" s="556"/>
      <c r="G216" s="556"/>
      <c r="H216" s="556"/>
      <c r="I216" s="556"/>
      <c r="J216" s="556"/>
      <c r="K216" s="556"/>
      <c r="L216" s="556"/>
      <c r="M216" s="556"/>
      <c r="N216" s="556"/>
      <c r="O216" s="570"/>
      <c r="P216" s="557" t="s">
        <v>70</v>
      </c>
      <c r="Q216" s="558"/>
      <c r="R216" s="558"/>
      <c r="S216" s="558"/>
      <c r="T216" s="558"/>
      <c r="U216" s="558"/>
      <c r="V216" s="559"/>
      <c r="W216" s="37" t="s">
        <v>71</v>
      </c>
      <c r="X216" s="545">
        <f>IFERROR(X214/H214,"0")+IFERROR(X215/H215,"0")</f>
        <v>20</v>
      </c>
      <c r="Y216" s="545">
        <f>IFERROR(Y214/H214,"0")+IFERROR(Y215/H215,"0")</f>
        <v>21</v>
      </c>
      <c r="Z216" s="545">
        <f>IFERROR(IF(Z214="",0,Z214),"0")+IFERROR(IF(Z215="",0,Z215),"0")</f>
        <v>0.13671</v>
      </c>
      <c r="AA216" s="546"/>
      <c r="AB216" s="546"/>
      <c r="AC216" s="546"/>
    </row>
    <row r="217" spans="1:68" x14ac:dyDescent="0.2">
      <c r="A217" s="556"/>
      <c r="B217" s="556"/>
      <c r="C217" s="556"/>
      <c r="D217" s="556"/>
      <c r="E217" s="556"/>
      <c r="F217" s="556"/>
      <c r="G217" s="556"/>
      <c r="H217" s="556"/>
      <c r="I217" s="556"/>
      <c r="J217" s="556"/>
      <c r="K217" s="556"/>
      <c r="L217" s="556"/>
      <c r="M217" s="556"/>
      <c r="N217" s="556"/>
      <c r="O217" s="570"/>
      <c r="P217" s="557" t="s">
        <v>70</v>
      </c>
      <c r="Q217" s="558"/>
      <c r="R217" s="558"/>
      <c r="S217" s="558"/>
      <c r="T217" s="558"/>
      <c r="U217" s="558"/>
      <c r="V217" s="559"/>
      <c r="W217" s="37" t="s">
        <v>68</v>
      </c>
      <c r="X217" s="545">
        <f>IFERROR(SUM(X214:X215),"0")</f>
        <v>48</v>
      </c>
      <c r="Y217" s="545">
        <f>IFERROR(SUM(Y214:Y215),"0")</f>
        <v>50.399999999999991</v>
      </c>
      <c r="Z217" s="37"/>
      <c r="AA217" s="546"/>
      <c r="AB217" s="546"/>
      <c r="AC217" s="546"/>
    </row>
    <row r="218" spans="1:68" ht="16.5" customHeight="1" x14ac:dyDescent="0.25">
      <c r="A218" s="562" t="s">
        <v>346</v>
      </c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56"/>
      <c r="P218" s="556"/>
      <c r="Q218" s="556"/>
      <c r="R218" s="556"/>
      <c r="S218" s="556"/>
      <c r="T218" s="556"/>
      <c r="U218" s="556"/>
      <c r="V218" s="556"/>
      <c r="W218" s="556"/>
      <c r="X218" s="556"/>
      <c r="Y218" s="556"/>
      <c r="Z218" s="556"/>
      <c r="AA218" s="538"/>
      <c r="AB218" s="538"/>
      <c r="AC218" s="538"/>
    </row>
    <row r="219" spans="1:68" ht="14.25" customHeight="1" x14ac:dyDescent="0.25">
      <c r="A219" s="555" t="s">
        <v>98</v>
      </c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539"/>
      <c r="AB219" s="539"/>
      <c r="AC219" s="539"/>
    </row>
    <row r="220" spans="1:68" ht="27" customHeight="1" x14ac:dyDescent="0.25">
      <c r="A220" s="54" t="s">
        <v>347</v>
      </c>
      <c r="B220" s="54" t="s">
        <v>348</v>
      </c>
      <c r="C220" s="31">
        <v>4301011826</v>
      </c>
      <c r="D220" s="547">
        <v>4680115884137</v>
      </c>
      <c r="E220" s="548"/>
      <c r="F220" s="542">
        <v>1.45</v>
      </c>
      <c r="G220" s="32">
        <v>8</v>
      </c>
      <c r="H220" s="542">
        <v>11.6</v>
      </c>
      <c r="I220" s="542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0"/>
      <c r="R220" s="550"/>
      <c r="S220" s="550"/>
      <c r="T220" s="551"/>
      <c r="U220" s="34"/>
      <c r="V220" s="34"/>
      <c r="W220" s="35" t="s">
        <v>68</v>
      </c>
      <c r="X220" s="543">
        <v>0</v>
      </c>
      <c r="Y220" s="544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customHeight="1" x14ac:dyDescent="0.25">
      <c r="A221" s="54" t="s">
        <v>350</v>
      </c>
      <c r="B221" s="54" t="s">
        <v>351</v>
      </c>
      <c r="C221" s="31">
        <v>4301011724</v>
      </c>
      <c r="D221" s="547">
        <v>4680115884236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68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4301011721</v>
      </c>
      <c r="D222" s="547">
        <v>4680115884175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68</v>
      </c>
      <c r="X222" s="543">
        <v>60</v>
      </c>
      <c r="Y222" s="544">
        <f t="shared" si="21"/>
        <v>69.599999999999994</v>
      </c>
      <c r="Z222" s="36">
        <f>IFERROR(IF(Y222=0,"",ROUNDUP(Y222/H222,0)*0.01898),"")</f>
        <v>0.11388000000000001</v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62.250000000000007</v>
      </c>
      <c r="BN222" s="64">
        <f t="shared" si="23"/>
        <v>72.209999999999994</v>
      </c>
      <c r="BO222" s="64">
        <f t="shared" si="24"/>
        <v>8.0818965517241381E-2</v>
      </c>
      <c r="BP222" s="64">
        <f t="shared" si="25"/>
        <v>9.375E-2</v>
      </c>
    </row>
    <row r="223" spans="1:68" ht="27" customHeight="1" x14ac:dyDescent="0.25">
      <c r="A223" s="54" t="s">
        <v>356</v>
      </c>
      <c r="B223" s="54" t="s">
        <v>357</v>
      </c>
      <c r="C223" s="31">
        <v>4301011824</v>
      </c>
      <c r="D223" s="547">
        <v>4680115884144</v>
      </c>
      <c r="E223" s="548"/>
      <c r="F223" s="542">
        <v>0.4</v>
      </c>
      <c r="G223" s="32">
        <v>10</v>
      </c>
      <c r="H223" s="542">
        <v>4</v>
      </c>
      <c r="I223" s="542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6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0"/>
      <c r="R223" s="550"/>
      <c r="S223" s="550"/>
      <c r="T223" s="551"/>
      <c r="U223" s="34"/>
      <c r="V223" s="34"/>
      <c r="W223" s="35" t="s">
        <v>68</v>
      </c>
      <c r="X223" s="543">
        <v>0</v>
      </c>
      <c r="Y223" s="544">
        <f t="shared" si="21"/>
        <v>0</v>
      </c>
      <c r="Z223" s="36" t="str">
        <f t="shared" ref="Z223:Z228" si="26">IFERROR(IF(Y223=0,"",ROUNDUP(Y223/H223,0)*0.00902),"")</f>
        <v/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356</v>
      </c>
      <c r="B224" s="54" t="s">
        <v>358</v>
      </c>
      <c r="C224" s="31">
        <v>4301012196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4" t="s">
        <v>359</v>
      </c>
      <c r="Q224" s="550"/>
      <c r="R224" s="550"/>
      <c r="S224" s="550"/>
      <c r="T224" s="551"/>
      <c r="U224" s="34"/>
      <c r="V224" s="34"/>
      <c r="W224" s="35" t="s">
        <v>68</v>
      </c>
      <c r="X224" s="543">
        <v>0</v>
      </c>
      <c r="Y224" s="544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4301012149</v>
      </c>
      <c r="D225" s="547">
        <v>4680115886551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8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0"/>
      <c r="R225" s="550"/>
      <c r="S225" s="550"/>
      <c r="T225" s="551"/>
      <c r="U225" s="34"/>
      <c r="V225" s="34"/>
      <c r="W225" s="35" t="s">
        <v>68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4301011726</v>
      </c>
      <c r="D226" s="547">
        <v>4680115884182</v>
      </c>
      <c r="E226" s="548"/>
      <c r="F226" s="542">
        <v>0.37</v>
      </c>
      <c r="G226" s="32">
        <v>10</v>
      </c>
      <c r="H226" s="542">
        <v>3.7</v>
      </c>
      <c r="I226" s="542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0"/>
      <c r="R226" s="550"/>
      <c r="S226" s="550"/>
      <c r="T226" s="551"/>
      <c r="U226" s="34"/>
      <c r="V226" s="34"/>
      <c r="W226" s="35" t="s">
        <v>68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4301011722</v>
      </c>
      <c r="D227" s="547">
        <v>4680115884205</v>
      </c>
      <c r="E227" s="548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0"/>
      <c r="R227" s="550"/>
      <c r="S227" s="550"/>
      <c r="T227" s="551"/>
      <c r="U227" s="34"/>
      <c r="V227" s="34"/>
      <c r="W227" s="35" t="s">
        <v>68</v>
      </c>
      <c r="X227" s="543">
        <v>20</v>
      </c>
      <c r="Y227" s="544">
        <f t="shared" si="21"/>
        <v>20</v>
      </c>
      <c r="Z227" s="36">
        <f t="shared" si="26"/>
        <v>4.5100000000000001E-2</v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21.05</v>
      </c>
      <c r="BN227" s="64">
        <f t="shared" si="23"/>
        <v>21.05</v>
      </c>
      <c r="BO227" s="64">
        <f t="shared" si="24"/>
        <v>3.787878787878788E-2</v>
      </c>
      <c r="BP227" s="64">
        <f t="shared" si="25"/>
        <v>3.787878787878788E-2</v>
      </c>
    </row>
    <row r="228" spans="1:68" ht="27" customHeight="1" x14ac:dyDescent="0.25">
      <c r="A228" s="54" t="s">
        <v>365</v>
      </c>
      <c r="B228" s="54" t="s">
        <v>367</v>
      </c>
      <c r="C228" s="31">
        <v>4301012195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55" t="s">
        <v>368</v>
      </c>
      <c r="Q228" s="550"/>
      <c r="R228" s="550"/>
      <c r="S228" s="550"/>
      <c r="T228" s="551"/>
      <c r="U228" s="34"/>
      <c r="V228" s="34"/>
      <c r="W228" s="35" t="s">
        <v>68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x14ac:dyDescent="0.2">
      <c r="A229" s="569"/>
      <c r="B229" s="556"/>
      <c r="C229" s="556"/>
      <c r="D229" s="556"/>
      <c r="E229" s="556"/>
      <c r="F229" s="556"/>
      <c r="G229" s="556"/>
      <c r="H229" s="556"/>
      <c r="I229" s="556"/>
      <c r="J229" s="556"/>
      <c r="K229" s="556"/>
      <c r="L229" s="556"/>
      <c r="M229" s="556"/>
      <c r="N229" s="556"/>
      <c r="O229" s="570"/>
      <c r="P229" s="557" t="s">
        <v>70</v>
      </c>
      <c r="Q229" s="558"/>
      <c r="R229" s="558"/>
      <c r="S229" s="558"/>
      <c r="T229" s="558"/>
      <c r="U229" s="558"/>
      <c r="V229" s="559"/>
      <c r="W229" s="37" t="s">
        <v>71</v>
      </c>
      <c r="X229" s="545">
        <f>IFERROR(X220/H220,"0")+IFERROR(X221/H221,"0")+IFERROR(X222/H222,"0")+IFERROR(X223/H223,"0")+IFERROR(X224/H224,"0")+IFERROR(X225/H225,"0")+IFERROR(X226/H226,"0")+IFERROR(X227/H227,"0")+IFERROR(X228/H228,"0")</f>
        <v>10.172413793103448</v>
      </c>
      <c r="Y229" s="545">
        <f>IFERROR(Y220/H220,"0")+IFERROR(Y221/H221,"0")+IFERROR(Y222/H222,"0")+IFERROR(Y223/H223,"0")+IFERROR(Y224/H224,"0")+IFERROR(Y225/H225,"0")+IFERROR(Y226/H226,"0")+IFERROR(Y227/H227,"0")+IFERROR(Y228/H228,"0")</f>
        <v>11</v>
      </c>
      <c r="Z229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0.15898000000000001</v>
      </c>
      <c r="AA229" s="546"/>
      <c r="AB229" s="546"/>
      <c r="AC229" s="546"/>
    </row>
    <row r="230" spans="1:68" x14ac:dyDescent="0.2">
      <c r="A230" s="556"/>
      <c r="B230" s="556"/>
      <c r="C230" s="556"/>
      <c r="D230" s="556"/>
      <c r="E230" s="556"/>
      <c r="F230" s="556"/>
      <c r="G230" s="556"/>
      <c r="H230" s="556"/>
      <c r="I230" s="556"/>
      <c r="J230" s="556"/>
      <c r="K230" s="556"/>
      <c r="L230" s="556"/>
      <c r="M230" s="556"/>
      <c r="N230" s="556"/>
      <c r="O230" s="570"/>
      <c r="P230" s="557" t="s">
        <v>70</v>
      </c>
      <c r="Q230" s="558"/>
      <c r="R230" s="558"/>
      <c r="S230" s="558"/>
      <c r="T230" s="558"/>
      <c r="U230" s="558"/>
      <c r="V230" s="559"/>
      <c r="W230" s="37" t="s">
        <v>68</v>
      </c>
      <c r="X230" s="545">
        <f>IFERROR(SUM(X220:X228),"0")</f>
        <v>80</v>
      </c>
      <c r="Y230" s="545">
        <f>IFERROR(SUM(Y220:Y228),"0")</f>
        <v>89.6</v>
      </c>
      <c r="Z230" s="37"/>
      <c r="AA230" s="546"/>
      <c r="AB230" s="546"/>
      <c r="AC230" s="546"/>
    </row>
    <row r="231" spans="1:68" ht="14.25" customHeight="1" x14ac:dyDescent="0.25">
      <c r="A231" s="555" t="s">
        <v>130</v>
      </c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56"/>
      <c r="P231" s="556"/>
      <c r="Q231" s="556"/>
      <c r="R231" s="556"/>
      <c r="S231" s="556"/>
      <c r="T231" s="556"/>
      <c r="U231" s="556"/>
      <c r="V231" s="556"/>
      <c r="W231" s="556"/>
      <c r="X231" s="556"/>
      <c r="Y231" s="556"/>
      <c r="Z231" s="556"/>
      <c r="AA231" s="539"/>
      <c r="AB231" s="539"/>
      <c r="AC231" s="539"/>
    </row>
    <row r="232" spans="1:68" ht="27" customHeight="1" x14ac:dyDescent="0.25">
      <c r="A232" s="54" t="s">
        <v>369</v>
      </c>
      <c r="B232" s="54" t="s">
        <v>370</v>
      </c>
      <c r="C232" s="31">
        <v>4301020377</v>
      </c>
      <c r="D232" s="547">
        <v>4680115885981</v>
      </c>
      <c r="E232" s="548"/>
      <c r="F232" s="542">
        <v>0.33</v>
      </c>
      <c r="G232" s="32">
        <v>6</v>
      </c>
      <c r="H232" s="542">
        <v>1.98</v>
      </c>
      <c r="I232" s="542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4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0"/>
      <c r="R232" s="550"/>
      <c r="S232" s="550"/>
      <c r="T232" s="551"/>
      <c r="U232" s="34"/>
      <c r="V232" s="34"/>
      <c r="W232" s="35" t="s">
        <v>68</v>
      </c>
      <c r="X232" s="543">
        <v>0</v>
      </c>
      <c r="Y232" s="544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x14ac:dyDescent="0.2">
      <c r="A233" s="569"/>
      <c r="B233" s="556"/>
      <c r="C233" s="556"/>
      <c r="D233" s="556"/>
      <c r="E233" s="556"/>
      <c r="F233" s="556"/>
      <c r="G233" s="556"/>
      <c r="H233" s="556"/>
      <c r="I233" s="556"/>
      <c r="J233" s="556"/>
      <c r="K233" s="556"/>
      <c r="L233" s="556"/>
      <c r="M233" s="556"/>
      <c r="N233" s="556"/>
      <c r="O233" s="570"/>
      <c r="P233" s="557" t="s">
        <v>70</v>
      </c>
      <c r="Q233" s="558"/>
      <c r="R233" s="558"/>
      <c r="S233" s="558"/>
      <c r="T233" s="558"/>
      <c r="U233" s="558"/>
      <c r="V233" s="559"/>
      <c r="W233" s="37" t="s">
        <v>71</v>
      </c>
      <c r="X233" s="545">
        <f>IFERROR(X232/H232,"0")</f>
        <v>0</v>
      </c>
      <c r="Y233" s="545">
        <f>IFERROR(Y232/H232,"0")</f>
        <v>0</v>
      </c>
      <c r="Z233" s="545">
        <f>IFERROR(IF(Z232="",0,Z232),"0")</f>
        <v>0</v>
      </c>
      <c r="AA233" s="546"/>
      <c r="AB233" s="546"/>
      <c r="AC233" s="546"/>
    </row>
    <row r="234" spans="1:68" x14ac:dyDescent="0.2">
      <c r="A234" s="556"/>
      <c r="B234" s="556"/>
      <c r="C234" s="556"/>
      <c r="D234" s="556"/>
      <c r="E234" s="556"/>
      <c r="F234" s="556"/>
      <c r="G234" s="556"/>
      <c r="H234" s="556"/>
      <c r="I234" s="556"/>
      <c r="J234" s="556"/>
      <c r="K234" s="556"/>
      <c r="L234" s="556"/>
      <c r="M234" s="556"/>
      <c r="N234" s="556"/>
      <c r="O234" s="570"/>
      <c r="P234" s="557" t="s">
        <v>70</v>
      </c>
      <c r="Q234" s="558"/>
      <c r="R234" s="558"/>
      <c r="S234" s="558"/>
      <c r="T234" s="558"/>
      <c r="U234" s="558"/>
      <c r="V234" s="559"/>
      <c r="W234" s="37" t="s">
        <v>68</v>
      </c>
      <c r="X234" s="545">
        <f>IFERROR(SUM(X232:X232),"0")</f>
        <v>0</v>
      </c>
      <c r="Y234" s="545">
        <f>IFERROR(SUM(Y232:Y232),"0")</f>
        <v>0</v>
      </c>
      <c r="Z234" s="37"/>
      <c r="AA234" s="546"/>
      <c r="AB234" s="546"/>
      <c r="AC234" s="546"/>
    </row>
    <row r="235" spans="1:68" ht="14.25" customHeight="1" x14ac:dyDescent="0.25">
      <c r="A235" s="555" t="s">
        <v>372</v>
      </c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56"/>
      <c r="P235" s="556"/>
      <c r="Q235" s="556"/>
      <c r="R235" s="556"/>
      <c r="S235" s="556"/>
      <c r="T235" s="556"/>
      <c r="U235" s="556"/>
      <c r="V235" s="556"/>
      <c r="W235" s="556"/>
      <c r="X235" s="556"/>
      <c r="Y235" s="556"/>
      <c r="Z235" s="556"/>
      <c r="AA235" s="539"/>
      <c r="AB235" s="539"/>
      <c r="AC235" s="539"/>
    </row>
    <row r="236" spans="1:68" ht="27" customHeight="1" x14ac:dyDescent="0.25">
      <c r="A236" s="54" t="s">
        <v>373</v>
      </c>
      <c r="B236" s="54" t="s">
        <v>374</v>
      </c>
      <c r="C236" s="31">
        <v>4301040362</v>
      </c>
      <c r="D236" s="547">
        <v>4680115886803</v>
      </c>
      <c r="E236" s="548"/>
      <c r="F236" s="542">
        <v>0.12</v>
      </c>
      <c r="G236" s="32">
        <v>15</v>
      </c>
      <c r="H236" s="542">
        <v>1.8</v>
      </c>
      <c r="I236" s="542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1" t="s">
        <v>375</v>
      </c>
      <c r="Q236" s="550"/>
      <c r="R236" s="550"/>
      <c r="S236" s="550"/>
      <c r="T236" s="551"/>
      <c r="U236" s="34"/>
      <c r="V236" s="34"/>
      <c r="W236" s="35" t="s">
        <v>68</v>
      </c>
      <c r="X236" s="543">
        <v>0</v>
      </c>
      <c r="Y236" s="544">
        <f>IFERROR(IF(X236="",0,CEILING((X236/$H236),1)*$H236),"")</f>
        <v>0</v>
      </c>
      <c r="Z236" s="36" t="str">
        <f>IFERROR(IF(Y236=0,"",ROUNDUP(Y236/H236,0)*0.0059),"")</f>
        <v/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69"/>
      <c r="B237" s="556"/>
      <c r="C237" s="556"/>
      <c r="D237" s="556"/>
      <c r="E237" s="556"/>
      <c r="F237" s="556"/>
      <c r="G237" s="556"/>
      <c r="H237" s="556"/>
      <c r="I237" s="556"/>
      <c r="J237" s="556"/>
      <c r="K237" s="556"/>
      <c r="L237" s="556"/>
      <c r="M237" s="556"/>
      <c r="N237" s="556"/>
      <c r="O237" s="570"/>
      <c r="P237" s="557" t="s">
        <v>70</v>
      </c>
      <c r="Q237" s="558"/>
      <c r="R237" s="558"/>
      <c r="S237" s="558"/>
      <c r="T237" s="558"/>
      <c r="U237" s="558"/>
      <c r="V237" s="559"/>
      <c r="W237" s="37" t="s">
        <v>71</v>
      </c>
      <c r="X237" s="545">
        <f>IFERROR(X236/H236,"0")</f>
        <v>0</v>
      </c>
      <c r="Y237" s="545">
        <f>IFERROR(Y236/H236,"0")</f>
        <v>0</v>
      </c>
      <c r="Z237" s="545">
        <f>IFERROR(IF(Z236="",0,Z236),"0")</f>
        <v>0</v>
      </c>
      <c r="AA237" s="546"/>
      <c r="AB237" s="546"/>
      <c r="AC237" s="546"/>
    </row>
    <row r="238" spans="1:68" x14ac:dyDescent="0.2">
      <c r="A238" s="556"/>
      <c r="B238" s="556"/>
      <c r="C238" s="556"/>
      <c r="D238" s="556"/>
      <c r="E238" s="556"/>
      <c r="F238" s="556"/>
      <c r="G238" s="556"/>
      <c r="H238" s="556"/>
      <c r="I238" s="556"/>
      <c r="J238" s="556"/>
      <c r="K238" s="556"/>
      <c r="L238" s="556"/>
      <c r="M238" s="556"/>
      <c r="N238" s="556"/>
      <c r="O238" s="570"/>
      <c r="P238" s="557" t="s">
        <v>70</v>
      </c>
      <c r="Q238" s="558"/>
      <c r="R238" s="558"/>
      <c r="S238" s="558"/>
      <c r="T238" s="558"/>
      <c r="U238" s="558"/>
      <c r="V238" s="559"/>
      <c r="W238" s="37" t="s">
        <v>68</v>
      </c>
      <c r="X238" s="545">
        <f>IFERROR(SUM(X236:X236),"0")</f>
        <v>0</v>
      </c>
      <c r="Y238" s="545">
        <f>IFERROR(SUM(Y236:Y236),"0")</f>
        <v>0</v>
      </c>
      <c r="Z238" s="37"/>
      <c r="AA238" s="546"/>
      <c r="AB238" s="546"/>
      <c r="AC238" s="546"/>
    </row>
    <row r="239" spans="1:68" ht="14.25" customHeight="1" x14ac:dyDescent="0.25">
      <c r="A239" s="555" t="s">
        <v>377</v>
      </c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56"/>
      <c r="P239" s="556"/>
      <c r="Q239" s="556"/>
      <c r="R239" s="556"/>
      <c r="S239" s="556"/>
      <c r="T239" s="556"/>
      <c r="U239" s="556"/>
      <c r="V239" s="556"/>
      <c r="W239" s="556"/>
      <c r="X239" s="556"/>
      <c r="Y239" s="556"/>
      <c r="Z239" s="556"/>
      <c r="AA239" s="539"/>
      <c r="AB239" s="539"/>
      <c r="AC239" s="539"/>
    </row>
    <row r="240" spans="1:68" ht="27" customHeight="1" x14ac:dyDescent="0.25">
      <c r="A240" s="54" t="s">
        <v>378</v>
      </c>
      <c r="B240" s="54" t="s">
        <v>379</v>
      </c>
      <c r="C240" s="31">
        <v>4301041004</v>
      </c>
      <c r="D240" s="547">
        <v>4680115886704</v>
      </c>
      <c r="E240" s="548"/>
      <c r="F240" s="542">
        <v>5.5E-2</v>
      </c>
      <c r="G240" s="32">
        <v>18</v>
      </c>
      <c r="H240" s="542">
        <v>0.99</v>
      </c>
      <c r="I240" s="542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3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0"/>
      <c r="R240" s="550"/>
      <c r="S240" s="550"/>
      <c r="T240" s="551"/>
      <c r="U240" s="34"/>
      <c r="V240" s="34"/>
      <c r="W240" s="35" t="s">
        <v>68</v>
      </c>
      <c r="X240" s="543">
        <v>0</v>
      </c>
      <c r="Y240" s="54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381</v>
      </c>
      <c r="B241" s="54" t="s">
        <v>382</v>
      </c>
      <c r="C241" s="31">
        <v>4301041008</v>
      </c>
      <c r="D241" s="547">
        <v>4680115886681</v>
      </c>
      <c r="E241" s="548"/>
      <c r="F241" s="542">
        <v>0.12</v>
      </c>
      <c r="G241" s="32">
        <v>15</v>
      </c>
      <c r="H241" s="542">
        <v>1.8</v>
      </c>
      <c r="I241" s="542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05" t="s">
        <v>383</v>
      </c>
      <c r="Q241" s="550"/>
      <c r="R241" s="550"/>
      <c r="S241" s="550"/>
      <c r="T241" s="551"/>
      <c r="U241" s="34"/>
      <c r="V241" s="34"/>
      <c r="W241" s="35" t="s">
        <v>68</v>
      </c>
      <c r="X241" s="543">
        <v>21</v>
      </c>
      <c r="Y241" s="544">
        <f>IFERROR(IF(X241="",0,CEILING((X241/$H241),1)*$H241),"")</f>
        <v>21.6</v>
      </c>
      <c r="Z241" s="36">
        <f>IFERROR(IF(Y241=0,"",ROUNDUP(Y241/H241,0)*0.0059),"")</f>
        <v>7.0800000000000002E-2</v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23.041666666666668</v>
      </c>
      <c r="BN241" s="64">
        <f>IFERROR(Y241*I241/H241,"0")</f>
        <v>23.700000000000003</v>
      </c>
      <c r="BO241" s="64">
        <f>IFERROR(1/J241*(X241/H241),"0")</f>
        <v>5.4012345679012343E-2</v>
      </c>
      <c r="BP241" s="64">
        <f>IFERROR(1/J241*(Y241/H241),"0")</f>
        <v>5.5555555555555552E-2</v>
      </c>
    </row>
    <row r="242" spans="1:68" ht="27" customHeight="1" x14ac:dyDescent="0.25">
      <c r="A242" s="54" t="s">
        <v>384</v>
      </c>
      <c r="B242" s="54" t="s">
        <v>385</v>
      </c>
      <c r="C242" s="31">
        <v>4301041007</v>
      </c>
      <c r="D242" s="547">
        <v>4680115886735</v>
      </c>
      <c r="E242" s="548"/>
      <c r="F242" s="542">
        <v>0.05</v>
      </c>
      <c r="G242" s="32">
        <v>18</v>
      </c>
      <c r="H242" s="542">
        <v>0.9</v>
      </c>
      <c r="I242" s="542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0"/>
      <c r="R242" s="550"/>
      <c r="S242" s="550"/>
      <c r="T242" s="551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386</v>
      </c>
      <c r="B243" s="54" t="s">
        <v>387</v>
      </c>
      <c r="C243" s="31">
        <v>4301041006</v>
      </c>
      <c r="D243" s="547">
        <v>4680115886728</v>
      </c>
      <c r="E243" s="548"/>
      <c r="F243" s="542">
        <v>5.5E-2</v>
      </c>
      <c r="G243" s="32">
        <v>18</v>
      </c>
      <c r="H243" s="542">
        <v>0.99</v>
      </c>
      <c r="I243" s="542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5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0"/>
      <c r="R243" s="550"/>
      <c r="S243" s="550"/>
      <c r="T243" s="551"/>
      <c r="U243" s="34"/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388</v>
      </c>
      <c r="B244" s="54" t="s">
        <v>389</v>
      </c>
      <c r="C244" s="31">
        <v>4301041005</v>
      </c>
      <c r="D244" s="547">
        <v>4680115886711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569"/>
      <c r="B245" s="556"/>
      <c r="C245" s="556"/>
      <c r="D245" s="556"/>
      <c r="E245" s="556"/>
      <c r="F245" s="556"/>
      <c r="G245" s="556"/>
      <c r="H245" s="556"/>
      <c r="I245" s="556"/>
      <c r="J245" s="556"/>
      <c r="K245" s="556"/>
      <c r="L245" s="556"/>
      <c r="M245" s="556"/>
      <c r="N245" s="556"/>
      <c r="O245" s="570"/>
      <c r="P245" s="557" t="s">
        <v>70</v>
      </c>
      <c r="Q245" s="558"/>
      <c r="R245" s="558"/>
      <c r="S245" s="558"/>
      <c r="T245" s="558"/>
      <c r="U245" s="558"/>
      <c r="V245" s="559"/>
      <c r="W245" s="37" t="s">
        <v>71</v>
      </c>
      <c r="X245" s="545">
        <f>IFERROR(X240/H240,"0")+IFERROR(X241/H241,"0")+IFERROR(X242/H242,"0")+IFERROR(X243/H243,"0")+IFERROR(X244/H244,"0")</f>
        <v>11.666666666666666</v>
      </c>
      <c r="Y245" s="545">
        <f>IFERROR(Y240/H240,"0")+IFERROR(Y241/H241,"0")+IFERROR(Y242/H242,"0")+IFERROR(Y243/H243,"0")+IFERROR(Y244/H244,"0")</f>
        <v>12</v>
      </c>
      <c r="Z245" s="545">
        <f>IFERROR(IF(Z240="",0,Z240),"0")+IFERROR(IF(Z241="",0,Z241),"0")+IFERROR(IF(Z242="",0,Z242),"0")+IFERROR(IF(Z243="",0,Z243),"0")+IFERROR(IF(Z244="",0,Z244),"0")</f>
        <v>7.0800000000000002E-2</v>
      </c>
      <c r="AA245" s="546"/>
      <c r="AB245" s="546"/>
      <c r="AC245" s="546"/>
    </row>
    <row r="246" spans="1:68" x14ac:dyDescent="0.2">
      <c r="A246" s="556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70"/>
      <c r="P246" s="557" t="s">
        <v>70</v>
      </c>
      <c r="Q246" s="558"/>
      <c r="R246" s="558"/>
      <c r="S246" s="558"/>
      <c r="T246" s="558"/>
      <c r="U246" s="558"/>
      <c r="V246" s="559"/>
      <c r="W246" s="37" t="s">
        <v>68</v>
      </c>
      <c r="X246" s="545">
        <f>IFERROR(SUM(X240:X244),"0")</f>
        <v>21</v>
      </c>
      <c r="Y246" s="545">
        <f>IFERROR(SUM(Y240:Y244),"0")</f>
        <v>21.6</v>
      </c>
      <c r="Z246" s="37"/>
      <c r="AA246" s="546"/>
      <c r="AB246" s="546"/>
      <c r="AC246" s="546"/>
    </row>
    <row r="247" spans="1:68" ht="16.5" customHeight="1" x14ac:dyDescent="0.25">
      <c r="A247" s="562" t="s">
        <v>390</v>
      </c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56"/>
      <c r="P247" s="556"/>
      <c r="Q247" s="556"/>
      <c r="R247" s="556"/>
      <c r="S247" s="556"/>
      <c r="T247" s="556"/>
      <c r="U247" s="556"/>
      <c r="V247" s="556"/>
      <c r="W247" s="556"/>
      <c r="X247" s="556"/>
      <c r="Y247" s="556"/>
      <c r="Z247" s="556"/>
      <c r="AA247" s="538"/>
      <c r="AB247" s="538"/>
      <c r="AC247" s="538"/>
    </row>
    <row r="248" spans="1:68" ht="14.25" customHeight="1" x14ac:dyDescent="0.25">
      <c r="A248" s="555" t="s">
        <v>98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39"/>
      <c r="AB248" s="539"/>
      <c r="AC248" s="539"/>
    </row>
    <row r="249" spans="1:68" ht="27" customHeight="1" x14ac:dyDescent="0.25">
      <c r="A249" s="54" t="s">
        <v>391</v>
      </c>
      <c r="B249" s="54" t="s">
        <v>392</v>
      </c>
      <c r="C249" s="31">
        <v>4301011855</v>
      </c>
      <c r="D249" s="547">
        <v>4680115885837</v>
      </c>
      <c r="E249" s="548"/>
      <c r="F249" s="542">
        <v>1.35</v>
      </c>
      <c r="G249" s="32">
        <v>8</v>
      </c>
      <c r="H249" s="542">
        <v>10.8</v>
      </c>
      <c r="I249" s="542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0"/>
      <c r="R249" s="550"/>
      <c r="S249" s="550"/>
      <c r="T249" s="551"/>
      <c r="U249" s="34"/>
      <c r="V249" s="34"/>
      <c r="W249" s="35" t="s">
        <v>68</v>
      </c>
      <c r="X249" s="543">
        <v>0</v>
      </c>
      <c r="Y249" s="54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394</v>
      </c>
      <c r="B250" s="54" t="s">
        <v>395</v>
      </c>
      <c r="C250" s="31">
        <v>4301011853</v>
      </c>
      <c r="D250" s="547">
        <v>4680115885851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397</v>
      </c>
      <c r="B251" s="54" t="s">
        <v>398</v>
      </c>
      <c r="C251" s="31">
        <v>4301011850</v>
      </c>
      <c r="D251" s="547">
        <v>4680115885806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400</v>
      </c>
      <c r="B252" s="54" t="s">
        <v>401</v>
      </c>
      <c r="C252" s="31">
        <v>4301011852</v>
      </c>
      <c r="D252" s="547">
        <v>4680115885844</v>
      </c>
      <c r="E252" s="548"/>
      <c r="F252" s="542">
        <v>0.4</v>
      </c>
      <c r="G252" s="32">
        <v>10</v>
      </c>
      <c r="H252" s="542">
        <v>4</v>
      </c>
      <c r="I252" s="542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9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0"/>
      <c r="R252" s="550"/>
      <c r="S252" s="550"/>
      <c r="T252" s="551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403</v>
      </c>
      <c r="B253" s="54" t="s">
        <v>404</v>
      </c>
      <c r="C253" s="31">
        <v>4301011851</v>
      </c>
      <c r="D253" s="547">
        <v>4680115885820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3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69"/>
      <c r="B254" s="556"/>
      <c r="C254" s="556"/>
      <c r="D254" s="556"/>
      <c r="E254" s="556"/>
      <c r="F254" s="556"/>
      <c r="G254" s="556"/>
      <c r="H254" s="556"/>
      <c r="I254" s="556"/>
      <c r="J254" s="556"/>
      <c r="K254" s="556"/>
      <c r="L254" s="556"/>
      <c r="M254" s="556"/>
      <c r="N254" s="556"/>
      <c r="O254" s="570"/>
      <c r="P254" s="557" t="s">
        <v>70</v>
      </c>
      <c r="Q254" s="558"/>
      <c r="R254" s="558"/>
      <c r="S254" s="558"/>
      <c r="T254" s="558"/>
      <c r="U254" s="558"/>
      <c r="V254" s="559"/>
      <c r="W254" s="37" t="s">
        <v>71</v>
      </c>
      <c r="X254" s="545">
        <f>IFERROR(X249/H249,"0")+IFERROR(X250/H250,"0")+IFERROR(X251/H251,"0")+IFERROR(X252/H252,"0")+IFERROR(X253/H253,"0")</f>
        <v>0</v>
      </c>
      <c r="Y254" s="545">
        <f>IFERROR(Y249/H249,"0")+IFERROR(Y250/H250,"0")+IFERROR(Y251/H251,"0")+IFERROR(Y252/H252,"0")+IFERROR(Y253/H253,"0")</f>
        <v>0</v>
      </c>
      <c r="Z254" s="545">
        <f>IFERROR(IF(Z249="",0,Z249),"0")+IFERROR(IF(Z250="",0,Z250),"0")+IFERROR(IF(Z251="",0,Z251),"0")+IFERROR(IF(Z252="",0,Z252),"0")+IFERROR(IF(Z253="",0,Z253),"0")</f>
        <v>0</v>
      </c>
      <c r="AA254" s="546"/>
      <c r="AB254" s="546"/>
      <c r="AC254" s="546"/>
    </row>
    <row r="255" spans="1:68" x14ac:dyDescent="0.2">
      <c r="A255" s="556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70"/>
      <c r="P255" s="557" t="s">
        <v>70</v>
      </c>
      <c r="Q255" s="558"/>
      <c r="R255" s="558"/>
      <c r="S255" s="558"/>
      <c r="T255" s="558"/>
      <c r="U255" s="558"/>
      <c r="V255" s="559"/>
      <c r="W255" s="37" t="s">
        <v>68</v>
      </c>
      <c r="X255" s="545">
        <f>IFERROR(SUM(X249:X253),"0")</f>
        <v>0</v>
      </c>
      <c r="Y255" s="545">
        <f>IFERROR(SUM(Y249:Y253),"0")</f>
        <v>0</v>
      </c>
      <c r="Z255" s="37"/>
      <c r="AA255" s="546"/>
      <c r="AB255" s="546"/>
      <c r="AC255" s="546"/>
    </row>
    <row r="256" spans="1:68" ht="16.5" customHeight="1" x14ac:dyDescent="0.25">
      <c r="A256" s="562" t="s">
        <v>406</v>
      </c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56"/>
      <c r="P256" s="556"/>
      <c r="Q256" s="556"/>
      <c r="R256" s="556"/>
      <c r="S256" s="556"/>
      <c r="T256" s="556"/>
      <c r="U256" s="556"/>
      <c r="V256" s="556"/>
      <c r="W256" s="556"/>
      <c r="X256" s="556"/>
      <c r="Y256" s="556"/>
      <c r="Z256" s="556"/>
      <c r="AA256" s="538"/>
      <c r="AB256" s="538"/>
      <c r="AC256" s="538"/>
    </row>
    <row r="257" spans="1:68" ht="14.25" customHeight="1" x14ac:dyDescent="0.25">
      <c r="A257" s="555" t="s">
        <v>98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39"/>
      <c r="AB257" s="539"/>
      <c r="AC257" s="539"/>
    </row>
    <row r="258" spans="1:68" ht="27" customHeight="1" x14ac:dyDescent="0.25">
      <c r="A258" s="54" t="s">
        <v>407</v>
      </c>
      <c r="B258" s="54" t="s">
        <v>408</v>
      </c>
      <c r="C258" s="31">
        <v>4301011223</v>
      </c>
      <c r="D258" s="547">
        <v>4607091383423</v>
      </c>
      <c r="E258" s="548"/>
      <c r="F258" s="542">
        <v>1.35</v>
      </c>
      <c r="G258" s="32">
        <v>8</v>
      </c>
      <c r="H258" s="542">
        <v>10.8</v>
      </c>
      <c r="I258" s="542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65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0"/>
      <c r="R258" s="550"/>
      <c r="S258" s="550"/>
      <c r="T258" s="551"/>
      <c r="U258" s="34"/>
      <c r="V258" s="34"/>
      <c r="W258" s="35" t="s">
        <v>68</v>
      </c>
      <c r="X258" s="543">
        <v>0</v>
      </c>
      <c r="Y258" s="54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409</v>
      </c>
      <c r="B259" s="54" t="s">
        <v>410</v>
      </c>
      <c r="C259" s="31">
        <v>4301012199</v>
      </c>
      <c r="D259" s="547">
        <v>4680115886957</v>
      </c>
      <c r="E259" s="548"/>
      <c r="F259" s="542">
        <v>1.35</v>
      </c>
      <c r="G259" s="32">
        <v>8</v>
      </c>
      <c r="H259" s="542">
        <v>10.8</v>
      </c>
      <c r="I259" s="542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36" t="s">
        <v>411</v>
      </c>
      <c r="Q259" s="550"/>
      <c r="R259" s="550"/>
      <c r="S259" s="550"/>
      <c r="T259" s="551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4301012098</v>
      </c>
      <c r="D260" s="547">
        <v>4680115885660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416</v>
      </c>
      <c r="B261" s="54" t="s">
        <v>417</v>
      </c>
      <c r="C261" s="31">
        <v>4301012176</v>
      </c>
      <c r="D261" s="547">
        <v>4680115886773</v>
      </c>
      <c r="E261" s="548"/>
      <c r="F261" s="542">
        <v>0.9</v>
      </c>
      <c r="G261" s="32">
        <v>10</v>
      </c>
      <c r="H261" s="542">
        <v>9</v>
      </c>
      <c r="I261" s="542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48" t="s">
        <v>418</v>
      </c>
      <c r="Q261" s="550"/>
      <c r="R261" s="550"/>
      <c r="S261" s="550"/>
      <c r="T261" s="551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69"/>
      <c r="B262" s="556"/>
      <c r="C262" s="556"/>
      <c r="D262" s="556"/>
      <c r="E262" s="556"/>
      <c r="F262" s="556"/>
      <c r="G262" s="556"/>
      <c r="H262" s="556"/>
      <c r="I262" s="556"/>
      <c r="J262" s="556"/>
      <c r="K262" s="556"/>
      <c r="L262" s="556"/>
      <c r="M262" s="556"/>
      <c r="N262" s="556"/>
      <c r="O262" s="570"/>
      <c r="P262" s="557" t="s">
        <v>70</v>
      </c>
      <c r="Q262" s="558"/>
      <c r="R262" s="558"/>
      <c r="S262" s="558"/>
      <c r="T262" s="558"/>
      <c r="U262" s="558"/>
      <c r="V262" s="559"/>
      <c r="W262" s="37" t="s">
        <v>71</v>
      </c>
      <c r="X262" s="545">
        <f>IFERROR(X258/H258,"0")+IFERROR(X259/H259,"0")+IFERROR(X260/H260,"0")+IFERROR(X261/H261,"0")</f>
        <v>0</v>
      </c>
      <c r="Y262" s="545">
        <f>IFERROR(Y258/H258,"0")+IFERROR(Y259/H259,"0")+IFERROR(Y260/H260,"0")+IFERROR(Y261/H261,"0")</f>
        <v>0</v>
      </c>
      <c r="Z262" s="545">
        <f>IFERROR(IF(Z258="",0,Z258),"0")+IFERROR(IF(Z259="",0,Z259),"0")+IFERROR(IF(Z260="",0,Z260),"0")+IFERROR(IF(Z261="",0,Z261),"0")</f>
        <v>0</v>
      </c>
      <c r="AA262" s="546"/>
      <c r="AB262" s="546"/>
      <c r="AC262" s="546"/>
    </row>
    <row r="263" spans="1:68" x14ac:dyDescent="0.2">
      <c r="A263" s="556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70"/>
      <c r="P263" s="557" t="s">
        <v>70</v>
      </c>
      <c r="Q263" s="558"/>
      <c r="R263" s="558"/>
      <c r="S263" s="558"/>
      <c r="T263" s="558"/>
      <c r="U263" s="558"/>
      <c r="V263" s="559"/>
      <c r="W263" s="37" t="s">
        <v>68</v>
      </c>
      <c r="X263" s="545">
        <f>IFERROR(SUM(X258:X261),"0")</f>
        <v>0</v>
      </c>
      <c r="Y263" s="545">
        <f>IFERROR(SUM(Y258:Y261),"0")</f>
        <v>0</v>
      </c>
      <c r="Z263" s="37"/>
      <c r="AA263" s="546"/>
      <c r="AB263" s="546"/>
      <c r="AC263" s="546"/>
    </row>
    <row r="264" spans="1:68" ht="16.5" customHeight="1" x14ac:dyDescent="0.25">
      <c r="A264" s="562" t="s">
        <v>420</v>
      </c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56"/>
      <c r="P264" s="556"/>
      <c r="Q264" s="556"/>
      <c r="R264" s="556"/>
      <c r="S264" s="556"/>
      <c r="T264" s="556"/>
      <c r="U264" s="556"/>
      <c r="V264" s="556"/>
      <c r="W264" s="556"/>
      <c r="X264" s="556"/>
      <c r="Y264" s="556"/>
      <c r="Z264" s="556"/>
      <c r="AA264" s="538"/>
      <c r="AB264" s="538"/>
      <c r="AC264" s="538"/>
    </row>
    <row r="265" spans="1:68" ht="14.25" customHeight="1" x14ac:dyDescent="0.25">
      <c r="A265" s="555" t="s">
        <v>72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39"/>
      <c r="AB265" s="539"/>
      <c r="AC265" s="539"/>
    </row>
    <row r="266" spans="1:68" ht="27" customHeight="1" x14ac:dyDescent="0.25">
      <c r="A266" s="54" t="s">
        <v>421</v>
      </c>
      <c r="B266" s="54" t="s">
        <v>422</v>
      </c>
      <c r="C266" s="31">
        <v>4301051893</v>
      </c>
      <c r="D266" s="547">
        <v>4680115886186</v>
      </c>
      <c r="E266" s="548"/>
      <c r="F266" s="542">
        <v>0.3</v>
      </c>
      <c r="G266" s="32">
        <v>6</v>
      </c>
      <c r="H266" s="542">
        <v>1.8</v>
      </c>
      <c r="I266" s="542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2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0"/>
      <c r="R266" s="550"/>
      <c r="S266" s="550"/>
      <c r="T266" s="551"/>
      <c r="U266" s="34"/>
      <c r="V266" s="34"/>
      <c r="W266" s="35" t="s">
        <v>68</v>
      </c>
      <c r="X266" s="543">
        <v>0</v>
      </c>
      <c r="Y266" s="54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424</v>
      </c>
      <c r="B267" s="54" t="s">
        <v>425</v>
      </c>
      <c r="C267" s="31">
        <v>4301051795</v>
      </c>
      <c r="D267" s="547">
        <v>4680115881228</v>
      </c>
      <c r="E267" s="548"/>
      <c r="F267" s="542">
        <v>0.4</v>
      </c>
      <c r="G267" s="32">
        <v>6</v>
      </c>
      <c r="H267" s="542">
        <v>2.4</v>
      </c>
      <c r="I267" s="542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0"/>
      <c r="R267" s="550"/>
      <c r="S267" s="550"/>
      <c r="T267" s="551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427</v>
      </c>
      <c r="B268" s="54" t="s">
        <v>428</v>
      </c>
      <c r="C268" s="31">
        <v>4301051388</v>
      </c>
      <c r="D268" s="547">
        <v>4680115881211</v>
      </c>
      <c r="E268" s="548"/>
      <c r="F268" s="542">
        <v>0.4</v>
      </c>
      <c r="G268" s="32">
        <v>6</v>
      </c>
      <c r="H268" s="542">
        <v>2.4</v>
      </c>
      <c r="I268" s="542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0"/>
      <c r="R268" s="550"/>
      <c r="S268" s="550"/>
      <c r="T268" s="551"/>
      <c r="U268" s="34"/>
      <c r="V268" s="34"/>
      <c r="W268" s="35" t="s">
        <v>68</v>
      </c>
      <c r="X268" s="543">
        <v>160</v>
      </c>
      <c r="Y268" s="544">
        <f>IFERROR(IF(X268="",0,CEILING((X268/$H268),1)*$H268),"")</f>
        <v>160.79999999999998</v>
      </c>
      <c r="Z268" s="36">
        <f>IFERROR(IF(Y268=0,"",ROUNDUP(Y268/H268,0)*0.00651),"")</f>
        <v>0.43617</v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172</v>
      </c>
      <c r="BN268" s="64">
        <f>IFERROR(Y268*I268/H268,"0")</f>
        <v>172.85999999999999</v>
      </c>
      <c r="BO268" s="64">
        <f>IFERROR(1/J268*(X268/H268),"0")</f>
        <v>0.36630036630036633</v>
      </c>
      <c r="BP268" s="64">
        <f>IFERROR(1/J268*(Y268/H268),"0")</f>
        <v>0.36813186813186816</v>
      </c>
    </row>
    <row r="269" spans="1:68" x14ac:dyDescent="0.2">
      <c r="A269" s="569"/>
      <c r="B269" s="556"/>
      <c r="C269" s="556"/>
      <c r="D269" s="556"/>
      <c r="E269" s="556"/>
      <c r="F269" s="556"/>
      <c r="G269" s="556"/>
      <c r="H269" s="556"/>
      <c r="I269" s="556"/>
      <c r="J269" s="556"/>
      <c r="K269" s="556"/>
      <c r="L269" s="556"/>
      <c r="M269" s="556"/>
      <c r="N269" s="556"/>
      <c r="O269" s="570"/>
      <c r="P269" s="557" t="s">
        <v>70</v>
      </c>
      <c r="Q269" s="558"/>
      <c r="R269" s="558"/>
      <c r="S269" s="558"/>
      <c r="T269" s="558"/>
      <c r="U269" s="558"/>
      <c r="V269" s="559"/>
      <c r="W269" s="37" t="s">
        <v>71</v>
      </c>
      <c r="X269" s="545">
        <f>IFERROR(X266/H266,"0")+IFERROR(X267/H267,"0")+IFERROR(X268/H268,"0")</f>
        <v>66.666666666666671</v>
      </c>
      <c r="Y269" s="545">
        <f>IFERROR(Y266/H266,"0")+IFERROR(Y267/H267,"0")+IFERROR(Y268/H268,"0")</f>
        <v>67</v>
      </c>
      <c r="Z269" s="545">
        <f>IFERROR(IF(Z266="",0,Z266),"0")+IFERROR(IF(Z267="",0,Z267),"0")+IFERROR(IF(Z268="",0,Z268),"0")</f>
        <v>0.43617</v>
      </c>
      <c r="AA269" s="546"/>
      <c r="AB269" s="546"/>
      <c r="AC269" s="546"/>
    </row>
    <row r="270" spans="1:68" x14ac:dyDescent="0.2">
      <c r="A270" s="556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70"/>
      <c r="P270" s="557" t="s">
        <v>70</v>
      </c>
      <c r="Q270" s="558"/>
      <c r="R270" s="558"/>
      <c r="S270" s="558"/>
      <c r="T270" s="558"/>
      <c r="U270" s="558"/>
      <c r="V270" s="559"/>
      <c r="W270" s="37" t="s">
        <v>68</v>
      </c>
      <c r="X270" s="545">
        <f>IFERROR(SUM(X266:X268),"0")</f>
        <v>160</v>
      </c>
      <c r="Y270" s="545">
        <f>IFERROR(SUM(Y266:Y268),"0")</f>
        <v>160.79999999999998</v>
      </c>
      <c r="Z270" s="37"/>
      <c r="AA270" s="546"/>
      <c r="AB270" s="546"/>
      <c r="AC270" s="546"/>
    </row>
    <row r="271" spans="1:68" ht="16.5" customHeight="1" x14ac:dyDescent="0.25">
      <c r="A271" s="562" t="s">
        <v>430</v>
      </c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6"/>
      <c r="P271" s="556"/>
      <c r="Q271" s="556"/>
      <c r="R271" s="556"/>
      <c r="S271" s="556"/>
      <c r="T271" s="556"/>
      <c r="U271" s="556"/>
      <c r="V271" s="556"/>
      <c r="W271" s="556"/>
      <c r="X271" s="556"/>
      <c r="Y271" s="556"/>
      <c r="Z271" s="556"/>
      <c r="AA271" s="538"/>
      <c r="AB271" s="538"/>
      <c r="AC271" s="538"/>
    </row>
    <row r="272" spans="1:68" ht="14.25" customHeight="1" x14ac:dyDescent="0.25">
      <c r="A272" s="555" t="s">
        <v>63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39"/>
      <c r="AB272" s="539"/>
      <c r="AC272" s="539"/>
    </row>
    <row r="273" spans="1:68" ht="27" customHeight="1" x14ac:dyDescent="0.25">
      <c r="A273" s="54" t="s">
        <v>431</v>
      </c>
      <c r="B273" s="54" t="s">
        <v>432</v>
      </c>
      <c r="C273" s="31">
        <v>4301031307</v>
      </c>
      <c r="D273" s="547">
        <v>4680115880344</v>
      </c>
      <c r="E273" s="548"/>
      <c r="F273" s="542">
        <v>0.28000000000000003</v>
      </c>
      <c r="G273" s="32">
        <v>6</v>
      </c>
      <c r="H273" s="542">
        <v>1.68</v>
      </c>
      <c r="I273" s="542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3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0"/>
      <c r="R273" s="550"/>
      <c r="S273" s="550"/>
      <c r="T273" s="551"/>
      <c r="U273" s="34"/>
      <c r="V273" s="34"/>
      <c r="W273" s="35" t="s">
        <v>68</v>
      </c>
      <c r="X273" s="543">
        <v>0</v>
      </c>
      <c r="Y273" s="544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69"/>
      <c r="B274" s="556"/>
      <c r="C274" s="556"/>
      <c r="D274" s="556"/>
      <c r="E274" s="556"/>
      <c r="F274" s="556"/>
      <c r="G274" s="556"/>
      <c r="H274" s="556"/>
      <c r="I274" s="556"/>
      <c r="J274" s="556"/>
      <c r="K274" s="556"/>
      <c r="L274" s="556"/>
      <c r="M274" s="556"/>
      <c r="N274" s="556"/>
      <c r="O274" s="570"/>
      <c r="P274" s="557" t="s">
        <v>70</v>
      </c>
      <c r="Q274" s="558"/>
      <c r="R274" s="558"/>
      <c r="S274" s="558"/>
      <c r="T274" s="558"/>
      <c r="U274" s="558"/>
      <c r="V274" s="559"/>
      <c r="W274" s="37" t="s">
        <v>71</v>
      </c>
      <c r="X274" s="545">
        <f>IFERROR(X273/H273,"0")</f>
        <v>0</v>
      </c>
      <c r="Y274" s="545">
        <f>IFERROR(Y273/H273,"0")</f>
        <v>0</v>
      </c>
      <c r="Z274" s="545">
        <f>IFERROR(IF(Z273="",0,Z273),"0")</f>
        <v>0</v>
      </c>
      <c r="AA274" s="546"/>
      <c r="AB274" s="546"/>
      <c r="AC274" s="546"/>
    </row>
    <row r="275" spans="1:68" x14ac:dyDescent="0.2">
      <c r="A275" s="556"/>
      <c r="B275" s="556"/>
      <c r="C275" s="556"/>
      <c r="D275" s="556"/>
      <c r="E275" s="556"/>
      <c r="F275" s="556"/>
      <c r="G275" s="556"/>
      <c r="H275" s="556"/>
      <c r="I275" s="556"/>
      <c r="J275" s="556"/>
      <c r="K275" s="556"/>
      <c r="L275" s="556"/>
      <c r="M275" s="556"/>
      <c r="N275" s="556"/>
      <c r="O275" s="570"/>
      <c r="P275" s="557" t="s">
        <v>70</v>
      </c>
      <c r="Q275" s="558"/>
      <c r="R275" s="558"/>
      <c r="S275" s="558"/>
      <c r="T275" s="558"/>
      <c r="U275" s="558"/>
      <c r="V275" s="559"/>
      <c r="W275" s="37" t="s">
        <v>68</v>
      </c>
      <c r="X275" s="545">
        <f>IFERROR(SUM(X273:X273),"0")</f>
        <v>0</v>
      </c>
      <c r="Y275" s="545">
        <f>IFERROR(SUM(Y273:Y273),"0")</f>
        <v>0</v>
      </c>
      <c r="Z275" s="37"/>
      <c r="AA275" s="546"/>
      <c r="AB275" s="546"/>
      <c r="AC275" s="546"/>
    </row>
    <row r="276" spans="1:68" ht="14.25" customHeight="1" x14ac:dyDescent="0.25">
      <c r="A276" s="555" t="s">
        <v>72</v>
      </c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56"/>
      <c r="P276" s="556"/>
      <c r="Q276" s="556"/>
      <c r="R276" s="556"/>
      <c r="S276" s="556"/>
      <c r="T276" s="556"/>
      <c r="U276" s="556"/>
      <c r="V276" s="556"/>
      <c r="W276" s="556"/>
      <c r="X276" s="556"/>
      <c r="Y276" s="556"/>
      <c r="Z276" s="556"/>
      <c r="AA276" s="539"/>
      <c r="AB276" s="539"/>
      <c r="AC276" s="539"/>
    </row>
    <row r="277" spans="1:68" ht="27" customHeight="1" x14ac:dyDescent="0.25">
      <c r="A277" s="54" t="s">
        <v>434</v>
      </c>
      <c r="B277" s="54" t="s">
        <v>435</v>
      </c>
      <c r="C277" s="31">
        <v>4301051782</v>
      </c>
      <c r="D277" s="547">
        <v>4680115884618</v>
      </c>
      <c r="E277" s="548"/>
      <c r="F277" s="542">
        <v>0.6</v>
      </c>
      <c r="G277" s="32">
        <v>6</v>
      </c>
      <c r="H277" s="542">
        <v>3.6</v>
      </c>
      <c r="I277" s="542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0"/>
      <c r="R277" s="550"/>
      <c r="S277" s="550"/>
      <c r="T277" s="551"/>
      <c r="U277" s="34"/>
      <c r="V277" s="34"/>
      <c r="W277" s="35" t="s">
        <v>68</v>
      </c>
      <c r="X277" s="543">
        <v>0</v>
      </c>
      <c r="Y277" s="544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69"/>
      <c r="B278" s="556"/>
      <c r="C278" s="556"/>
      <c r="D278" s="556"/>
      <c r="E278" s="556"/>
      <c r="F278" s="556"/>
      <c r="G278" s="556"/>
      <c r="H278" s="556"/>
      <c r="I278" s="556"/>
      <c r="J278" s="556"/>
      <c r="K278" s="556"/>
      <c r="L278" s="556"/>
      <c r="M278" s="556"/>
      <c r="N278" s="556"/>
      <c r="O278" s="570"/>
      <c r="P278" s="557" t="s">
        <v>70</v>
      </c>
      <c r="Q278" s="558"/>
      <c r="R278" s="558"/>
      <c r="S278" s="558"/>
      <c r="T278" s="558"/>
      <c r="U278" s="558"/>
      <c r="V278" s="559"/>
      <c r="W278" s="37" t="s">
        <v>71</v>
      </c>
      <c r="X278" s="545">
        <f>IFERROR(X277/H277,"0")</f>
        <v>0</v>
      </c>
      <c r="Y278" s="545">
        <f>IFERROR(Y277/H277,"0")</f>
        <v>0</v>
      </c>
      <c r="Z278" s="545">
        <f>IFERROR(IF(Z277="",0,Z277),"0")</f>
        <v>0</v>
      </c>
      <c r="AA278" s="546"/>
      <c r="AB278" s="546"/>
      <c r="AC278" s="546"/>
    </row>
    <row r="279" spans="1:68" x14ac:dyDescent="0.2">
      <c r="A279" s="556"/>
      <c r="B279" s="556"/>
      <c r="C279" s="556"/>
      <c r="D279" s="556"/>
      <c r="E279" s="556"/>
      <c r="F279" s="556"/>
      <c r="G279" s="556"/>
      <c r="H279" s="556"/>
      <c r="I279" s="556"/>
      <c r="J279" s="556"/>
      <c r="K279" s="556"/>
      <c r="L279" s="556"/>
      <c r="M279" s="556"/>
      <c r="N279" s="556"/>
      <c r="O279" s="570"/>
      <c r="P279" s="557" t="s">
        <v>70</v>
      </c>
      <c r="Q279" s="558"/>
      <c r="R279" s="558"/>
      <c r="S279" s="558"/>
      <c r="T279" s="558"/>
      <c r="U279" s="558"/>
      <c r="V279" s="559"/>
      <c r="W279" s="37" t="s">
        <v>68</v>
      </c>
      <c r="X279" s="545">
        <f>IFERROR(SUM(X277:X277),"0")</f>
        <v>0</v>
      </c>
      <c r="Y279" s="545">
        <f>IFERROR(SUM(Y277:Y277),"0")</f>
        <v>0</v>
      </c>
      <c r="Z279" s="37"/>
      <c r="AA279" s="546"/>
      <c r="AB279" s="546"/>
      <c r="AC279" s="546"/>
    </row>
    <row r="280" spans="1:68" ht="16.5" customHeight="1" x14ac:dyDescent="0.25">
      <c r="A280" s="562" t="s">
        <v>437</v>
      </c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56"/>
      <c r="P280" s="556"/>
      <c r="Q280" s="556"/>
      <c r="R280" s="556"/>
      <c r="S280" s="556"/>
      <c r="T280" s="556"/>
      <c r="U280" s="556"/>
      <c r="V280" s="556"/>
      <c r="W280" s="556"/>
      <c r="X280" s="556"/>
      <c r="Y280" s="556"/>
      <c r="Z280" s="556"/>
      <c r="AA280" s="538"/>
      <c r="AB280" s="538"/>
      <c r="AC280" s="538"/>
    </row>
    <row r="281" spans="1:68" ht="14.25" customHeight="1" x14ac:dyDescent="0.25">
      <c r="A281" s="555" t="s">
        <v>98</v>
      </c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6"/>
      <c r="P281" s="556"/>
      <c r="Q281" s="556"/>
      <c r="R281" s="556"/>
      <c r="S281" s="556"/>
      <c r="T281" s="556"/>
      <c r="U281" s="556"/>
      <c r="V281" s="556"/>
      <c r="W281" s="556"/>
      <c r="X281" s="556"/>
      <c r="Y281" s="556"/>
      <c r="Z281" s="556"/>
      <c r="AA281" s="539"/>
      <c r="AB281" s="539"/>
      <c r="AC281" s="539"/>
    </row>
    <row r="282" spans="1:68" ht="27" customHeight="1" x14ac:dyDescent="0.25">
      <c r="A282" s="54" t="s">
        <v>438</v>
      </c>
      <c r="B282" s="54" t="s">
        <v>439</v>
      </c>
      <c r="C282" s="31">
        <v>4301011662</v>
      </c>
      <c r="D282" s="547">
        <v>4680115883703</v>
      </c>
      <c r="E282" s="548"/>
      <c r="F282" s="542">
        <v>1.35</v>
      </c>
      <c r="G282" s="32">
        <v>8</v>
      </c>
      <c r="H282" s="542">
        <v>10.8</v>
      </c>
      <c r="I282" s="542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0"/>
      <c r="R282" s="550"/>
      <c r="S282" s="550"/>
      <c r="T282" s="551"/>
      <c r="U282" s="34"/>
      <c r="V282" s="34"/>
      <c r="W282" s="35" t="s">
        <v>68</v>
      </c>
      <c r="X282" s="543">
        <v>0</v>
      </c>
      <c r="Y282" s="544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69"/>
      <c r="B283" s="556"/>
      <c r="C283" s="556"/>
      <c r="D283" s="556"/>
      <c r="E283" s="556"/>
      <c r="F283" s="556"/>
      <c r="G283" s="556"/>
      <c r="H283" s="556"/>
      <c r="I283" s="556"/>
      <c r="J283" s="556"/>
      <c r="K283" s="556"/>
      <c r="L283" s="556"/>
      <c r="M283" s="556"/>
      <c r="N283" s="556"/>
      <c r="O283" s="570"/>
      <c r="P283" s="557" t="s">
        <v>70</v>
      </c>
      <c r="Q283" s="558"/>
      <c r="R283" s="558"/>
      <c r="S283" s="558"/>
      <c r="T283" s="558"/>
      <c r="U283" s="558"/>
      <c r="V283" s="559"/>
      <c r="W283" s="37" t="s">
        <v>71</v>
      </c>
      <c r="X283" s="545">
        <f>IFERROR(X282/H282,"0")</f>
        <v>0</v>
      </c>
      <c r="Y283" s="545">
        <f>IFERROR(Y282/H282,"0")</f>
        <v>0</v>
      </c>
      <c r="Z283" s="545">
        <f>IFERROR(IF(Z282="",0,Z282),"0")</f>
        <v>0</v>
      </c>
      <c r="AA283" s="546"/>
      <c r="AB283" s="546"/>
      <c r="AC283" s="546"/>
    </row>
    <row r="284" spans="1:68" x14ac:dyDescent="0.2">
      <c r="A284" s="556"/>
      <c r="B284" s="556"/>
      <c r="C284" s="556"/>
      <c r="D284" s="556"/>
      <c r="E284" s="556"/>
      <c r="F284" s="556"/>
      <c r="G284" s="556"/>
      <c r="H284" s="556"/>
      <c r="I284" s="556"/>
      <c r="J284" s="556"/>
      <c r="K284" s="556"/>
      <c r="L284" s="556"/>
      <c r="M284" s="556"/>
      <c r="N284" s="556"/>
      <c r="O284" s="570"/>
      <c r="P284" s="557" t="s">
        <v>70</v>
      </c>
      <c r="Q284" s="558"/>
      <c r="R284" s="558"/>
      <c r="S284" s="558"/>
      <c r="T284" s="558"/>
      <c r="U284" s="558"/>
      <c r="V284" s="559"/>
      <c r="W284" s="37" t="s">
        <v>68</v>
      </c>
      <c r="X284" s="545">
        <f>IFERROR(SUM(X282:X282),"0")</f>
        <v>0</v>
      </c>
      <c r="Y284" s="545">
        <f>IFERROR(SUM(Y282:Y282),"0")</f>
        <v>0</v>
      </c>
      <c r="Z284" s="37"/>
      <c r="AA284" s="546"/>
      <c r="AB284" s="546"/>
      <c r="AC284" s="546"/>
    </row>
    <row r="285" spans="1:68" ht="16.5" customHeight="1" x14ac:dyDescent="0.25">
      <c r="A285" s="562" t="s">
        <v>442</v>
      </c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56"/>
      <c r="P285" s="556"/>
      <c r="Q285" s="556"/>
      <c r="R285" s="556"/>
      <c r="S285" s="556"/>
      <c r="T285" s="556"/>
      <c r="U285" s="556"/>
      <c r="V285" s="556"/>
      <c r="W285" s="556"/>
      <c r="X285" s="556"/>
      <c r="Y285" s="556"/>
      <c r="Z285" s="556"/>
      <c r="AA285" s="538"/>
      <c r="AB285" s="538"/>
      <c r="AC285" s="538"/>
    </row>
    <row r="286" spans="1:68" ht="14.25" customHeight="1" x14ac:dyDescent="0.25">
      <c r="A286" s="555" t="s">
        <v>98</v>
      </c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  <c r="U286" s="556"/>
      <c r="V286" s="556"/>
      <c r="W286" s="556"/>
      <c r="X286" s="556"/>
      <c r="Y286" s="556"/>
      <c r="Z286" s="556"/>
      <c r="AA286" s="539"/>
      <c r="AB286" s="539"/>
      <c r="AC286" s="539"/>
    </row>
    <row r="287" spans="1:68" ht="27" customHeight="1" x14ac:dyDescent="0.25">
      <c r="A287" s="54" t="s">
        <v>443</v>
      </c>
      <c r="B287" s="54" t="s">
        <v>444</v>
      </c>
      <c r="C287" s="31">
        <v>4301012024</v>
      </c>
      <c r="D287" s="547">
        <v>4680115885615</v>
      </c>
      <c r="E287" s="548"/>
      <c r="F287" s="542">
        <v>1.35</v>
      </c>
      <c r="G287" s="32">
        <v>8</v>
      </c>
      <c r="H287" s="542">
        <v>10.8</v>
      </c>
      <c r="I287" s="542">
        <v>11.234999999999999</v>
      </c>
      <c r="J287" s="32">
        <v>64</v>
      </c>
      <c r="K287" s="32" t="s">
        <v>101</v>
      </c>
      <c r="L287" s="32"/>
      <c r="M287" s="33" t="s">
        <v>76</v>
      </c>
      <c r="N287" s="33"/>
      <c r="O287" s="32">
        <v>55</v>
      </c>
      <c r="P287" s="66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50"/>
      <c r="R287" s="550"/>
      <c r="S287" s="550"/>
      <c r="T287" s="551"/>
      <c r="U287" s="34"/>
      <c r="V287" s="34"/>
      <c r="W287" s="35" t="s">
        <v>68</v>
      </c>
      <c r="X287" s="543">
        <v>0</v>
      </c>
      <c r="Y287" s="544">
        <f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446</v>
      </c>
      <c r="B288" s="54" t="s">
        <v>447</v>
      </c>
      <c r="C288" s="31">
        <v>4301011858</v>
      </c>
      <c r="D288" s="547">
        <v>4680115885646</v>
      </c>
      <c r="E288" s="548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101</v>
      </c>
      <c r="L288" s="32"/>
      <c r="M288" s="33" t="s">
        <v>102</v>
      </c>
      <c r="N288" s="33"/>
      <c r="O288" s="32">
        <v>55</v>
      </c>
      <c r="P288" s="85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8" s="550"/>
      <c r="R288" s="550"/>
      <c r="S288" s="550"/>
      <c r="T288" s="551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449</v>
      </c>
      <c r="B289" s="54" t="s">
        <v>450</v>
      </c>
      <c r="C289" s="31">
        <v>4301012016</v>
      </c>
      <c r="D289" s="547">
        <v>4680115885554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101</v>
      </c>
      <c r="L289" s="32"/>
      <c r="M289" s="33" t="s">
        <v>76</v>
      </c>
      <c r="N289" s="33"/>
      <c r="O289" s="32">
        <v>55</v>
      </c>
      <c r="P289" s="6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4301011857</v>
      </c>
      <c r="D290" s="547">
        <v>4680115885622</v>
      </c>
      <c r="E290" s="548"/>
      <c r="F290" s="542">
        <v>0.4</v>
      </c>
      <c r="G290" s="32">
        <v>10</v>
      </c>
      <c r="H290" s="542">
        <v>4</v>
      </c>
      <c r="I290" s="542">
        <v>4.21</v>
      </c>
      <c r="J290" s="32">
        <v>132</v>
      </c>
      <c r="K290" s="32" t="s">
        <v>106</v>
      </c>
      <c r="L290" s="32"/>
      <c r="M290" s="33" t="s">
        <v>102</v>
      </c>
      <c r="N290" s="33"/>
      <c r="O290" s="32">
        <v>55</v>
      </c>
      <c r="P290" s="5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50"/>
      <c r="R290" s="550"/>
      <c r="S290" s="550"/>
      <c r="T290" s="551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31" t="s">
        <v>445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454</v>
      </c>
      <c r="B291" s="54" t="s">
        <v>455</v>
      </c>
      <c r="C291" s="31">
        <v>4301011859</v>
      </c>
      <c r="D291" s="547">
        <v>4680115885608</v>
      </c>
      <c r="E291" s="548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50"/>
      <c r="R291" s="550"/>
      <c r="S291" s="550"/>
      <c r="T291" s="551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569"/>
      <c r="B292" s="556"/>
      <c r="C292" s="556"/>
      <c r="D292" s="556"/>
      <c r="E292" s="556"/>
      <c r="F292" s="556"/>
      <c r="G292" s="556"/>
      <c r="H292" s="556"/>
      <c r="I292" s="556"/>
      <c r="J292" s="556"/>
      <c r="K292" s="556"/>
      <c r="L292" s="556"/>
      <c r="M292" s="556"/>
      <c r="N292" s="556"/>
      <c r="O292" s="570"/>
      <c r="P292" s="557" t="s">
        <v>70</v>
      </c>
      <c r="Q292" s="558"/>
      <c r="R292" s="558"/>
      <c r="S292" s="558"/>
      <c r="T292" s="558"/>
      <c r="U292" s="558"/>
      <c r="V292" s="559"/>
      <c r="W292" s="37" t="s">
        <v>71</v>
      </c>
      <c r="X292" s="545">
        <f>IFERROR(X287/H287,"0")+IFERROR(X288/H288,"0")+IFERROR(X289/H289,"0")+IFERROR(X290/H290,"0")+IFERROR(X291/H291,"0")</f>
        <v>0</v>
      </c>
      <c r="Y292" s="545">
        <f>IFERROR(Y287/H287,"0")+IFERROR(Y288/H288,"0")+IFERROR(Y289/H289,"0")+IFERROR(Y290/H290,"0")+IFERROR(Y291/H291,"0")</f>
        <v>0</v>
      </c>
      <c r="Z292" s="545">
        <f>IFERROR(IF(Z287="",0,Z287),"0")+IFERROR(IF(Z288="",0,Z288),"0")+IFERROR(IF(Z289="",0,Z289),"0")+IFERROR(IF(Z290="",0,Z290),"0")+IFERROR(IF(Z291="",0,Z291),"0")</f>
        <v>0</v>
      </c>
      <c r="AA292" s="546"/>
      <c r="AB292" s="546"/>
      <c r="AC292" s="546"/>
    </row>
    <row r="293" spans="1:68" x14ac:dyDescent="0.2">
      <c r="A293" s="556"/>
      <c r="B293" s="556"/>
      <c r="C293" s="556"/>
      <c r="D293" s="556"/>
      <c r="E293" s="556"/>
      <c r="F293" s="556"/>
      <c r="G293" s="556"/>
      <c r="H293" s="556"/>
      <c r="I293" s="556"/>
      <c r="J293" s="556"/>
      <c r="K293" s="556"/>
      <c r="L293" s="556"/>
      <c r="M293" s="556"/>
      <c r="N293" s="556"/>
      <c r="O293" s="570"/>
      <c r="P293" s="557" t="s">
        <v>70</v>
      </c>
      <c r="Q293" s="558"/>
      <c r="R293" s="558"/>
      <c r="S293" s="558"/>
      <c r="T293" s="558"/>
      <c r="U293" s="558"/>
      <c r="V293" s="559"/>
      <c r="W293" s="37" t="s">
        <v>68</v>
      </c>
      <c r="X293" s="545">
        <f>IFERROR(SUM(X287:X291),"0")</f>
        <v>0</v>
      </c>
      <c r="Y293" s="545">
        <f>IFERROR(SUM(Y287:Y291),"0")</f>
        <v>0</v>
      </c>
      <c r="Z293" s="37"/>
      <c r="AA293" s="546"/>
      <c r="AB293" s="546"/>
      <c r="AC293" s="546"/>
    </row>
    <row r="294" spans="1:68" ht="14.25" customHeight="1" x14ac:dyDescent="0.25">
      <c r="A294" s="555" t="s">
        <v>63</v>
      </c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56"/>
      <c r="P294" s="556"/>
      <c r="Q294" s="556"/>
      <c r="R294" s="556"/>
      <c r="S294" s="556"/>
      <c r="T294" s="556"/>
      <c r="U294" s="556"/>
      <c r="V294" s="556"/>
      <c r="W294" s="556"/>
      <c r="X294" s="556"/>
      <c r="Y294" s="556"/>
      <c r="Z294" s="556"/>
      <c r="AA294" s="539"/>
      <c r="AB294" s="539"/>
      <c r="AC294" s="539"/>
    </row>
    <row r="295" spans="1:68" ht="27" customHeight="1" x14ac:dyDescent="0.25">
      <c r="A295" s="54" t="s">
        <v>457</v>
      </c>
      <c r="B295" s="54" t="s">
        <v>458</v>
      </c>
      <c r="C295" s="31">
        <v>4301030878</v>
      </c>
      <c r="D295" s="547">
        <v>4607091387193</v>
      </c>
      <c r="E295" s="548"/>
      <c r="F295" s="542">
        <v>0.7</v>
      </c>
      <c r="G295" s="32">
        <v>6</v>
      </c>
      <c r="H295" s="542">
        <v>4.2</v>
      </c>
      <c r="I295" s="542">
        <v>4.47</v>
      </c>
      <c r="J295" s="32">
        <v>132</v>
      </c>
      <c r="K295" s="32" t="s">
        <v>106</v>
      </c>
      <c r="L295" s="32"/>
      <c r="M295" s="33" t="s">
        <v>67</v>
      </c>
      <c r="N295" s="33"/>
      <c r="O295" s="32">
        <v>35</v>
      </c>
      <c r="P295" s="8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50"/>
      <c r="R295" s="550"/>
      <c r="S295" s="550"/>
      <c r="T295" s="551"/>
      <c r="U295" s="34"/>
      <c r="V295" s="34"/>
      <c r="W295" s="35" t="s">
        <v>68</v>
      </c>
      <c r="X295" s="543">
        <v>0</v>
      </c>
      <c r="Y295" s="544">
        <f t="shared" ref="Y295:Y301" si="2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35" t="s">
        <v>459</v>
      </c>
      <c r="AG295" s="64"/>
      <c r="AJ295" s="68"/>
      <c r="AK295" s="68">
        <v>0</v>
      </c>
      <c r="BB295" s="336" t="s">
        <v>1</v>
      </c>
      <c r="BM295" s="64">
        <f t="shared" ref="BM295:BM301" si="28">IFERROR(X295*I295/H295,"0")</f>
        <v>0</v>
      </c>
      <c r="BN295" s="64">
        <f t="shared" ref="BN295:BN301" si="29">IFERROR(Y295*I295/H295,"0")</f>
        <v>0</v>
      </c>
      <c r="BO295" s="64">
        <f t="shared" ref="BO295:BO301" si="30">IFERROR(1/J295*(X295/H295),"0")</f>
        <v>0</v>
      </c>
      <c r="BP295" s="64">
        <f t="shared" ref="BP295:BP301" si="31">IFERROR(1/J295*(Y295/H295),"0")</f>
        <v>0</v>
      </c>
    </row>
    <row r="296" spans="1:68" ht="27" customHeight="1" x14ac:dyDescent="0.25">
      <c r="A296" s="54" t="s">
        <v>460</v>
      </c>
      <c r="B296" s="54" t="s">
        <v>461</v>
      </c>
      <c r="C296" s="31">
        <v>4301031153</v>
      </c>
      <c r="D296" s="547">
        <v>4607091387230</v>
      </c>
      <c r="E296" s="548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40</v>
      </c>
      <c r="P296" s="7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50"/>
      <c r="R296" s="550"/>
      <c r="S296" s="550"/>
      <c r="T296" s="551"/>
      <c r="U296" s="34"/>
      <c r="V296" s="34"/>
      <c r="W296" s="35" t="s">
        <v>68</v>
      </c>
      <c r="X296" s="543">
        <v>0</v>
      </c>
      <c r="Y296" s="544">
        <f t="shared" si="27"/>
        <v>0</v>
      </c>
      <c r="Z296" s="36" t="str">
        <f>IFERROR(IF(Y296=0,"",ROUNDUP(Y296/H296,0)*0.00902),"")</f>
        <v/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si="28"/>
        <v>0</v>
      </c>
      <c r="BN296" s="64">
        <f t="shared" si="29"/>
        <v>0</v>
      </c>
      <c r="BO296" s="64">
        <f t="shared" si="30"/>
        <v>0</v>
      </c>
      <c r="BP296" s="64">
        <f t="shared" si="31"/>
        <v>0</v>
      </c>
    </row>
    <row r="297" spans="1:68" ht="27" customHeight="1" x14ac:dyDescent="0.25">
      <c r="A297" s="54" t="s">
        <v>463</v>
      </c>
      <c r="B297" s="54" t="s">
        <v>464</v>
      </c>
      <c r="C297" s="31">
        <v>4301031154</v>
      </c>
      <c r="D297" s="547">
        <v>4607091387292</v>
      </c>
      <c r="E297" s="548"/>
      <c r="F297" s="542">
        <v>0.73</v>
      </c>
      <c r="G297" s="32">
        <v>6</v>
      </c>
      <c r="H297" s="542">
        <v>4.38</v>
      </c>
      <c r="I297" s="542">
        <v>4.6500000000000004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45</v>
      </c>
      <c r="P297" s="8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68</v>
      </c>
      <c r="X297" s="543">
        <v>0</v>
      </c>
      <c r="Y297" s="544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customHeight="1" x14ac:dyDescent="0.25">
      <c r="A298" s="54" t="s">
        <v>466</v>
      </c>
      <c r="B298" s="54" t="s">
        <v>467</v>
      </c>
      <c r="C298" s="31">
        <v>4301031152</v>
      </c>
      <c r="D298" s="547">
        <v>4607091387285</v>
      </c>
      <c r="E298" s="548"/>
      <c r="F298" s="542">
        <v>0.35</v>
      </c>
      <c r="G298" s="32">
        <v>6</v>
      </c>
      <c r="H298" s="542">
        <v>2.1</v>
      </c>
      <c r="I298" s="54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50"/>
      <c r="R298" s="550"/>
      <c r="S298" s="550"/>
      <c r="T298" s="551"/>
      <c r="U298" s="34"/>
      <c r="V298" s="34"/>
      <c r="W298" s="35" t="s">
        <v>68</v>
      </c>
      <c r="X298" s="543">
        <v>0</v>
      </c>
      <c r="Y298" s="544">
        <f t="shared" si="27"/>
        <v>0</v>
      </c>
      <c r="Z298" s="36" t="str">
        <f>IFERROR(IF(Y298=0,"",ROUNDUP(Y298/H298,0)*0.00502),"")</f>
        <v/>
      </c>
      <c r="AA298" s="56"/>
      <c r="AB298" s="57"/>
      <c r="AC298" s="341" t="s">
        <v>462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4301031305</v>
      </c>
      <c r="D299" s="547">
        <v>4607091389845</v>
      </c>
      <c r="E299" s="548"/>
      <c r="F299" s="542">
        <v>0.35</v>
      </c>
      <c r="G299" s="32">
        <v>6</v>
      </c>
      <c r="H299" s="542">
        <v>2.1</v>
      </c>
      <c r="I299" s="54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50"/>
      <c r="R299" s="550"/>
      <c r="S299" s="550"/>
      <c r="T299" s="551"/>
      <c r="U299" s="34"/>
      <c r="V299" s="34"/>
      <c r="W299" s="35" t="s">
        <v>68</v>
      </c>
      <c r="X299" s="543">
        <v>70</v>
      </c>
      <c r="Y299" s="544">
        <f t="shared" si="27"/>
        <v>71.400000000000006</v>
      </c>
      <c r="Z299" s="36">
        <f>IFERROR(IF(Y299=0,"",ROUNDUP(Y299/H299,0)*0.00502),"")</f>
        <v>0.17068</v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73.333333333333329</v>
      </c>
      <c r="BN299" s="64">
        <f t="shared" si="29"/>
        <v>74.8</v>
      </c>
      <c r="BO299" s="64">
        <f t="shared" si="30"/>
        <v>0.14245014245014245</v>
      </c>
      <c r="BP299" s="64">
        <f t="shared" si="31"/>
        <v>0.14529914529914531</v>
      </c>
    </row>
    <row r="300" spans="1:68" ht="27" customHeight="1" x14ac:dyDescent="0.25">
      <c r="A300" s="54" t="s">
        <v>471</v>
      </c>
      <c r="B300" s="54" t="s">
        <v>472</v>
      </c>
      <c r="C300" s="31">
        <v>4301031306</v>
      </c>
      <c r="D300" s="547">
        <v>4680115882881</v>
      </c>
      <c r="E300" s="548"/>
      <c r="F300" s="542">
        <v>0.28000000000000003</v>
      </c>
      <c r="G300" s="32">
        <v>6</v>
      </c>
      <c r="H300" s="542">
        <v>1.68</v>
      </c>
      <c r="I300" s="54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50"/>
      <c r="R300" s="550"/>
      <c r="S300" s="550"/>
      <c r="T300" s="551"/>
      <c r="U300" s="34"/>
      <c r="V300" s="34"/>
      <c r="W300" s="35" t="s">
        <v>68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473</v>
      </c>
      <c r="B301" s="54" t="s">
        <v>474</v>
      </c>
      <c r="C301" s="31">
        <v>4301031066</v>
      </c>
      <c r="D301" s="547">
        <v>4607091383836</v>
      </c>
      <c r="E301" s="548"/>
      <c r="F301" s="542">
        <v>0.3</v>
      </c>
      <c r="G301" s="32">
        <v>6</v>
      </c>
      <c r="H301" s="542">
        <v>1.8</v>
      </c>
      <c r="I301" s="542">
        <v>2.028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40</v>
      </c>
      <c r="P301" s="80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50"/>
      <c r="R301" s="550"/>
      <c r="S301" s="550"/>
      <c r="T301" s="551"/>
      <c r="U301" s="34"/>
      <c r="V301" s="34"/>
      <c r="W301" s="35" t="s">
        <v>68</v>
      </c>
      <c r="X301" s="543">
        <v>15</v>
      </c>
      <c r="Y301" s="544">
        <f t="shared" si="27"/>
        <v>16.2</v>
      </c>
      <c r="Z301" s="36">
        <f>IFERROR(IF(Y301=0,"",ROUNDUP(Y301/H301,0)*0.00651),"")</f>
        <v>5.8590000000000003E-2</v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16.900000000000002</v>
      </c>
      <c r="BN301" s="64">
        <f t="shared" si="29"/>
        <v>18.251999999999999</v>
      </c>
      <c r="BO301" s="64">
        <f t="shared" si="30"/>
        <v>4.5787545787545791E-2</v>
      </c>
      <c r="BP301" s="64">
        <f t="shared" si="31"/>
        <v>4.9450549450549455E-2</v>
      </c>
    </row>
    <row r="302" spans="1:68" x14ac:dyDescent="0.2">
      <c r="A302" s="569"/>
      <c r="B302" s="556"/>
      <c r="C302" s="556"/>
      <c r="D302" s="556"/>
      <c r="E302" s="556"/>
      <c r="F302" s="556"/>
      <c r="G302" s="556"/>
      <c r="H302" s="556"/>
      <c r="I302" s="556"/>
      <c r="J302" s="556"/>
      <c r="K302" s="556"/>
      <c r="L302" s="556"/>
      <c r="M302" s="556"/>
      <c r="N302" s="556"/>
      <c r="O302" s="570"/>
      <c r="P302" s="557" t="s">
        <v>70</v>
      </c>
      <c r="Q302" s="558"/>
      <c r="R302" s="558"/>
      <c r="S302" s="558"/>
      <c r="T302" s="558"/>
      <c r="U302" s="558"/>
      <c r="V302" s="559"/>
      <c r="W302" s="37" t="s">
        <v>71</v>
      </c>
      <c r="X302" s="545">
        <f>IFERROR(X295/H295,"0")+IFERROR(X296/H296,"0")+IFERROR(X297/H297,"0")+IFERROR(X298/H298,"0")+IFERROR(X299/H299,"0")+IFERROR(X300/H300,"0")+IFERROR(X301/H301,"0")</f>
        <v>41.666666666666664</v>
      </c>
      <c r="Y302" s="545">
        <f>IFERROR(Y295/H295,"0")+IFERROR(Y296/H296,"0")+IFERROR(Y297/H297,"0")+IFERROR(Y298/H298,"0")+IFERROR(Y299/H299,"0")+IFERROR(Y300/H300,"0")+IFERROR(Y301/H301,"0")</f>
        <v>43</v>
      </c>
      <c r="Z302" s="545">
        <f>IFERROR(IF(Z295="",0,Z295),"0")+IFERROR(IF(Z296="",0,Z296),"0")+IFERROR(IF(Z297="",0,Z297),"0")+IFERROR(IF(Z298="",0,Z298),"0")+IFERROR(IF(Z299="",0,Z299),"0")+IFERROR(IF(Z300="",0,Z300),"0")+IFERROR(IF(Z301="",0,Z301),"0")</f>
        <v>0.22927</v>
      </c>
      <c r="AA302" s="546"/>
      <c r="AB302" s="546"/>
      <c r="AC302" s="546"/>
    </row>
    <row r="303" spans="1:68" x14ac:dyDescent="0.2">
      <c r="A303" s="556"/>
      <c r="B303" s="556"/>
      <c r="C303" s="556"/>
      <c r="D303" s="556"/>
      <c r="E303" s="556"/>
      <c r="F303" s="556"/>
      <c r="G303" s="556"/>
      <c r="H303" s="556"/>
      <c r="I303" s="556"/>
      <c r="J303" s="556"/>
      <c r="K303" s="556"/>
      <c r="L303" s="556"/>
      <c r="M303" s="556"/>
      <c r="N303" s="556"/>
      <c r="O303" s="570"/>
      <c r="P303" s="557" t="s">
        <v>70</v>
      </c>
      <c r="Q303" s="558"/>
      <c r="R303" s="558"/>
      <c r="S303" s="558"/>
      <c r="T303" s="558"/>
      <c r="U303" s="558"/>
      <c r="V303" s="559"/>
      <c r="W303" s="37" t="s">
        <v>68</v>
      </c>
      <c r="X303" s="545">
        <f>IFERROR(SUM(X295:X301),"0")</f>
        <v>85</v>
      </c>
      <c r="Y303" s="545">
        <f>IFERROR(SUM(Y295:Y301),"0")</f>
        <v>87.600000000000009</v>
      </c>
      <c r="Z303" s="37"/>
      <c r="AA303" s="546"/>
      <c r="AB303" s="546"/>
      <c r="AC303" s="546"/>
    </row>
    <row r="304" spans="1:68" ht="14.25" customHeight="1" x14ac:dyDescent="0.25">
      <c r="A304" s="555" t="s">
        <v>72</v>
      </c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56"/>
      <c r="P304" s="556"/>
      <c r="Q304" s="556"/>
      <c r="R304" s="556"/>
      <c r="S304" s="556"/>
      <c r="T304" s="556"/>
      <c r="U304" s="556"/>
      <c r="V304" s="556"/>
      <c r="W304" s="556"/>
      <c r="X304" s="556"/>
      <c r="Y304" s="556"/>
      <c r="Z304" s="556"/>
      <c r="AA304" s="539"/>
      <c r="AB304" s="539"/>
      <c r="AC304" s="539"/>
    </row>
    <row r="305" spans="1:68" ht="27" customHeight="1" x14ac:dyDescent="0.25">
      <c r="A305" s="54" t="s">
        <v>476</v>
      </c>
      <c r="B305" s="54" t="s">
        <v>477</v>
      </c>
      <c r="C305" s="31">
        <v>4301051100</v>
      </c>
      <c r="D305" s="547">
        <v>4607091387766</v>
      </c>
      <c r="E305" s="548"/>
      <c r="F305" s="542">
        <v>1.3</v>
      </c>
      <c r="G305" s="32">
        <v>6</v>
      </c>
      <c r="H305" s="542">
        <v>7.8</v>
      </c>
      <c r="I305" s="542">
        <v>8.3130000000000006</v>
      </c>
      <c r="J305" s="32">
        <v>64</v>
      </c>
      <c r="K305" s="32" t="s">
        <v>101</v>
      </c>
      <c r="L305" s="32"/>
      <c r="M305" s="33" t="s">
        <v>76</v>
      </c>
      <c r="N305" s="33"/>
      <c r="O305" s="32">
        <v>40</v>
      </c>
      <c r="P305" s="6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50"/>
      <c r="R305" s="550"/>
      <c r="S305" s="550"/>
      <c r="T305" s="551"/>
      <c r="U305" s="34"/>
      <c r="V305" s="34"/>
      <c r="W305" s="35" t="s">
        <v>68</v>
      </c>
      <c r="X305" s="543">
        <v>0</v>
      </c>
      <c r="Y305" s="54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49" t="s">
        <v>478</v>
      </c>
      <c r="AG305" s="64"/>
      <c r="AJ305" s="68"/>
      <c r="AK305" s="68">
        <v>0</v>
      </c>
      <c r="BB305" s="35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479</v>
      </c>
      <c r="B306" s="54" t="s">
        <v>480</v>
      </c>
      <c r="C306" s="31">
        <v>4301051818</v>
      </c>
      <c r="D306" s="547">
        <v>4607091387957</v>
      </c>
      <c r="E306" s="548"/>
      <c r="F306" s="542">
        <v>1.3</v>
      </c>
      <c r="G306" s="32">
        <v>6</v>
      </c>
      <c r="H306" s="542">
        <v>7.8</v>
      </c>
      <c r="I306" s="542">
        <v>8.3190000000000008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50"/>
      <c r="R306" s="550"/>
      <c r="S306" s="550"/>
      <c r="T306" s="551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482</v>
      </c>
      <c r="B307" s="54" t="s">
        <v>483</v>
      </c>
      <c r="C307" s="31">
        <v>4301051819</v>
      </c>
      <c r="D307" s="547">
        <v>4607091387964</v>
      </c>
      <c r="E307" s="548"/>
      <c r="F307" s="542">
        <v>1.35</v>
      </c>
      <c r="G307" s="32">
        <v>6</v>
      </c>
      <c r="H307" s="542">
        <v>8.1</v>
      </c>
      <c r="I307" s="542">
        <v>8.6010000000000009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50"/>
      <c r="R307" s="550"/>
      <c r="S307" s="550"/>
      <c r="T307" s="551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485</v>
      </c>
      <c r="B308" s="54" t="s">
        <v>486</v>
      </c>
      <c r="C308" s="31">
        <v>4301051734</v>
      </c>
      <c r="D308" s="547">
        <v>4680115884588</v>
      </c>
      <c r="E308" s="548"/>
      <c r="F308" s="542">
        <v>0.5</v>
      </c>
      <c r="G308" s="32">
        <v>6</v>
      </c>
      <c r="H308" s="542">
        <v>3</v>
      </c>
      <c r="I308" s="542">
        <v>3.246</v>
      </c>
      <c r="J308" s="32">
        <v>182</v>
      </c>
      <c r="K308" s="32" t="s">
        <v>75</v>
      </c>
      <c r="L308" s="32"/>
      <c r="M308" s="33" t="s">
        <v>76</v>
      </c>
      <c r="N308" s="33"/>
      <c r="O308" s="32">
        <v>40</v>
      </c>
      <c r="P308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50"/>
      <c r="R308" s="550"/>
      <c r="S308" s="550"/>
      <c r="T308" s="551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4301051578</v>
      </c>
      <c r="D309" s="547">
        <v>4607091387513</v>
      </c>
      <c r="E309" s="548"/>
      <c r="F309" s="542">
        <v>0.45</v>
      </c>
      <c r="G309" s="32">
        <v>6</v>
      </c>
      <c r="H309" s="542">
        <v>2.7</v>
      </c>
      <c r="I309" s="542">
        <v>2.9580000000000002</v>
      </c>
      <c r="J309" s="32">
        <v>182</v>
      </c>
      <c r="K309" s="32" t="s">
        <v>75</v>
      </c>
      <c r="L309" s="32"/>
      <c r="M309" s="33" t="s">
        <v>83</v>
      </c>
      <c r="N309" s="33"/>
      <c r="O309" s="32">
        <v>40</v>
      </c>
      <c r="P309" s="7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50"/>
      <c r="R309" s="550"/>
      <c r="S309" s="550"/>
      <c r="T309" s="551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69"/>
      <c r="B310" s="556"/>
      <c r="C310" s="556"/>
      <c r="D310" s="556"/>
      <c r="E310" s="556"/>
      <c r="F310" s="556"/>
      <c r="G310" s="556"/>
      <c r="H310" s="556"/>
      <c r="I310" s="556"/>
      <c r="J310" s="556"/>
      <c r="K310" s="556"/>
      <c r="L310" s="556"/>
      <c r="M310" s="556"/>
      <c r="N310" s="556"/>
      <c r="O310" s="570"/>
      <c r="P310" s="557" t="s">
        <v>70</v>
      </c>
      <c r="Q310" s="558"/>
      <c r="R310" s="558"/>
      <c r="S310" s="558"/>
      <c r="T310" s="558"/>
      <c r="U310" s="558"/>
      <c r="V310" s="559"/>
      <c r="W310" s="37" t="s">
        <v>71</v>
      </c>
      <c r="X310" s="545">
        <f>IFERROR(X305/H305,"0")+IFERROR(X306/H306,"0")+IFERROR(X307/H307,"0")+IFERROR(X308/H308,"0")+IFERROR(X309/H309,"0")</f>
        <v>0</v>
      </c>
      <c r="Y310" s="545">
        <f>IFERROR(Y305/H305,"0")+IFERROR(Y306/H306,"0")+IFERROR(Y307/H307,"0")+IFERROR(Y308/H308,"0")+IFERROR(Y309/H309,"0")</f>
        <v>0</v>
      </c>
      <c r="Z310" s="545">
        <f>IFERROR(IF(Z305="",0,Z305),"0")+IFERROR(IF(Z306="",0,Z306),"0")+IFERROR(IF(Z307="",0,Z307),"0")+IFERROR(IF(Z308="",0,Z308),"0")+IFERROR(IF(Z309="",0,Z309),"0")</f>
        <v>0</v>
      </c>
      <c r="AA310" s="546"/>
      <c r="AB310" s="546"/>
      <c r="AC310" s="546"/>
    </row>
    <row r="311" spans="1:68" x14ac:dyDescent="0.2">
      <c r="A311" s="556"/>
      <c r="B311" s="556"/>
      <c r="C311" s="556"/>
      <c r="D311" s="556"/>
      <c r="E311" s="556"/>
      <c r="F311" s="556"/>
      <c r="G311" s="556"/>
      <c r="H311" s="556"/>
      <c r="I311" s="556"/>
      <c r="J311" s="556"/>
      <c r="K311" s="556"/>
      <c r="L311" s="556"/>
      <c r="M311" s="556"/>
      <c r="N311" s="556"/>
      <c r="O311" s="570"/>
      <c r="P311" s="557" t="s">
        <v>70</v>
      </c>
      <c r="Q311" s="558"/>
      <c r="R311" s="558"/>
      <c r="S311" s="558"/>
      <c r="T311" s="558"/>
      <c r="U311" s="558"/>
      <c r="V311" s="559"/>
      <c r="W311" s="37" t="s">
        <v>68</v>
      </c>
      <c r="X311" s="545">
        <f>IFERROR(SUM(X305:X309),"0")</f>
        <v>0</v>
      </c>
      <c r="Y311" s="545">
        <f>IFERROR(SUM(Y305:Y309),"0")</f>
        <v>0</v>
      </c>
      <c r="Z311" s="37"/>
      <c r="AA311" s="546"/>
      <c r="AB311" s="546"/>
      <c r="AC311" s="546"/>
    </row>
    <row r="312" spans="1:68" ht="14.25" customHeight="1" x14ac:dyDescent="0.25">
      <c r="A312" s="555" t="s">
        <v>160</v>
      </c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56"/>
      <c r="P312" s="556"/>
      <c r="Q312" s="556"/>
      <c r="R312" s="556"/>
      <c r="S312" s="556"/>
      <c r="T312" s="556"/>
      <c r="U312" s="556"/>
      <c r="V312" s="556"/>
      <c r="W312" s="556"/>
      <c r="X312" s="556"/>
      <c r="Y312" s="556"/>
      <c r="Z312" s="556"/>
      <c r="AA312" s="539"/>
      <c r="AB312" s="539"/>
      <c r="AC312" s="539"/>
    </row>
    <row r="313" spans="1:68" ht="27" customHeight="1" x14ac:dyDescent="0.25">
      <c r="A313" s="54" t="s">
        <v>491</v>
      </c>
      <c r="B313" s="54" t="s">
        <v>492</v>
      </c>
      <c r="C313" s="31">
        <v>4301060387</v>
      </c>
      <c r="D313" s="547">
        <v>4607091380880</v>
      </c>
      <c r="E313" s="548"/>
      <c r="F313" s="542">
        <v>1.4</v>
      </c>
      <c r="G313" s="32">
        <v>6</v>
      </c>
      <c r="H313" s="542">
        <v>8.4</v>
      </c>
      <c r="I313" s="542">
        <v>8.9190000000000005</v>
      </c>
      <c r="J313" s="32">
        <v>64</v>
      </c>
      <c r="K313" s="32" t="s">
        <v>101</v>
      </c>
      <c r="L313" s="32"/>
      <c r="M313" s="33" t="s">
        <v>76</v>
      </c>
      <c r="N313" s="33"/>
      <c r="O313" s="32">
        <v>30</v>
      </c>
      <c r="P313" s="86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50"/>
      <c r="R313" s="550"/>
      <c r="S313" s="550"/>
      <c r="T313" s="551"/>
      <c r="U313" s="34"/>
      <c r="V313" s="34"/>
      <c r="W313" s="35" t="s">
        <v>68</v>
      </c>
      <c r="X313" s="543">
        <v>0</v>
      </c>
      <c r="Y313" s="54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59" t="s">
        <v>493</v>
      </c>
      <c r="AG313" s="64"/>
      <c r="AJ313" s="68"/>
      <c r="AK313" s="68">
        <v>0</v>
      </c>
      <c r="BB313" s="360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4301060406</v>
      </c>
      <c r="D314" s="547">
        <v>4607091384482</v>
      </c>
      <c r="E314" s="548"/>
      <c r="F314" s="542">
        <v>1.3</v>
      </c>
      <c r="G314" s="32">
        <v>6</v>
      </c>
      <c r="H314" s="542">
        <v>7.8</v>
      </c>
      <c r="I314" s="542">
        <v>8.3190000000000008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7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50"/>
      <c r="R314" s="550"/>
      <c r="S314" s="550"/>
      <c r="T314" s="551"/>
      <c r="U314" s="34"/>
      <c r="V314" s="34"/>
      <c r="W314" s="35" t="s">
        <v>68</v>
      </c>
      <c r="X314" s="543">
        <v>100</v>
      </c>
      <c r="Y314" s="544">
        <f>IFERROR(IF(X314="",0,CEILING((X314/$H314),1)*$H314),"")</f>
        <v>101.39999999999999</v>
      </c>
      <c r="Z314" s="36">
        <f>IFERROR(IF(Y314=0,"",ROUNDUP(Y314/H314,0)*0.01898),"")</f>
        <v>0.24674000000000001</v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106.65384615384617</v>
      </c>
      <c r="BN314" s="64">
        <f>IFERROR(Y314*I314/H314,"0")</f>
        <v>108.14700000000001</v>
      </c>
      <c r="BO314" s="64">
        <f>IFERROR(1/J314*(X314/H314),"0")</f>
        <v>0.20032051282051283</v>
      </c>
      <c r="BP314" s="64">
        <f>IFERROR(1/J314*(Y314/H314),"0")</f>
        <v>0.203125</v>
      </c>
    </row>
    <row r="315" spans="1:68" ht="16.5" customHeight="1" x14ac:dyDescent="0.25">
      <c r="A315" s="54" t="s">
        <v>497</v>
      </c>
      <c r="B315" s="54" t="s">
        <v>498</v>
      </c>
      <c r="C315" s="31">
        <v>4301060484</v>
      </c>
      <c r="D315" s="547">
        <v>4607091380897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101</v>
      </c>
      <c r="L315" s="32"/>
      <c r="M315" s="33" t="s">
        <v>83</v>
      </c>
      <c r="N315" s="33"/>
      <c r="O315" s="32">
        <v>30</v>
      </c>
      <c r="P315" s="5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50"/>
      <c r="R315" s="550"/>
      <c r="S315" s="550"/>
      <c r="T315" s="551"/>
      <c r="U315" s="34"/>
      <c r="V315" s="34"/>
      <c r="W315" s="35" t="s">
        <v>68</v>
      </c>
      <c r="X315" s="543">
        <v>500</v>
      </c>
      <c r="Y315" s="544">
        <f>IFERROR(IF(X315="",0,CEILING((X315/$H315),1)*$H315),"")</f>
        <v>504</v>
      </c>
      <c r="Z315" s="36">
        <f>IFERROR(IF(Y315=0,"",ROUNDUP(Y315/H315,0)*0.01898),"")</f>
        <v>1.1388</v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530.89285714285711</v>
      </c>
      <c r="BN315" s="64">
        <f>IFERROR(Y315*I315/H315,"0")</f>
        <v>535.14</v>
      </c>
      <c r="BO315" s="64">
        <f>IFERROR(1/J315*(X315/H315),"0")</f>
        <v>0.93005952380952372</v>
      </c>
      <c r="BP315" s="64">
        <f>IFERROR(1/J315*(Y315/H315),"0")</f>
        <v>0.9375</v>
      </c>
    </row>
    <row r="316" spans="1:68" x14ac:dyDescent="0.2">
      <c r="A316" s="569"/>
      <c r="B316" s="556"/>
      <c r="C316" s="556"/>
      <c r="D316" s="556"/>
      <c r="E316" s="556"/>
      <c r="F316" s="556"/>
      <c r="G316" s="556"/>
      <c r="H316" s="556"/>
      <c r="I316" s="556"/>
      <c r="J316" s="556"/>
      <c r="K316" s="556"/>
      <c r="L316" s="556"/>
      <c r="M316" s="556"/>
      <c r="N316" s="556"/>
      <c r="O316" s="570"/>
      <c r="P316" s="557" t="s">
        <v>70</v>
      </c>
      <c r="Q316" s="558"/>
      <c r="R316" s="558"/>
      <c r="S316" s="558"/>
      <c r="T316" s="558"/>
      <c r="U316" s="558"/>
      <c r="V316" s="559"/>
      <c r="W316" s="37" t="s">
        <v>71</v>
      </c>
      <c r="X316" s="545">
        <f>IFERROR(X313/H313,"0")+IFERROR(X314/H314,"0")+IFERROR(X315/H315,"0")</f>
        <v>72.344322344322336</v>
      </c>
      <c r="Y316" s="545">
        <f>IFERROR(Y313/H313,"0")+IFERROR(Y314/H314,"0")+IFERROR(Y315/H315,"0")</f>
        <v>73</v>
      </c>
      <c r="Z316" s="545">
        <f>IFERROR(IF(Z313="",0,Z313),"0")+IFERROR(IF(Z314="",0,Z314),"0")+IFERROR(IF(Z315="",0,Z315),"0")</f>
        <v>1.38554</v>
      </c>
      <c r="AA316" s="546"/>
      <c r="AB316" s="546"/>
      <c r="AC316" s="546"/>
    </row>
    <row r="317" spans="1:68" x14ac:dyDescent="0.2">
      <c r="A317" s="556"/>
      <c r="B317" s="556"/>
      <c r="C317" s="556"/>
      <c r="D317" s="556"/>
      <c r="E317" s="556"/>
      <c r="F317" s="556"/>
      <c r="G317" s="556"/>
      <c r="H317" s="556"/>
      <c r="I317" s="556"/>
      <c r="J317" s="556"/>
      <c r="K317" s="556"/>
      <c r="L317" s="556"/>
      <c r="M317" s="556"/>
      <c r="N317" s="556"/>
      <c r="O317" s="570"/>
      <c r="P317" s="557" t="s">
        <v>70</v>
      </c>
      <c r="Q317" s="558"/>
      <c r="R317" s="558"/>
      <c r="S317" s="558"/>
      <c r="T317" s="558"/>
      <c r="U317" s="558"/>
      <c r="V317" s="559"/>
      <c r="W317" s="37" t="s">
        <v>68</v>
      </c>
      <c r="X317" s="545">
        <f>IFERROR(SUM(X313:X315),"0")</f>
        <v>600</v>
      </c>
      <c r="Y317" s="545">
        <f>IFERROR(SUM(Y313:Y315),"0")</f>
        <v>605.4</v>
      </c>
      <c r="Z317" s="37"/>
      <c r="AA317" s="546"/>
      <c r="AB317" s="546"/>
      <c r="AC317" s="546"/>
    </row>
    <row r="318" spans="1:68" ht="14.25" customHeight="1" x14ac:dyDescent="0.25">
      <c r="A318" s="555" t="s">
        <v>90</v>
      </c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56"/>
      <c r="P318" s="556"/>
      <c r="Q318" s="556"/>
      <c r="R318" s="556"/>
      <c r="S318" s="556"/>
      <c r="T318" s="556"/>
      <c r="U318" s="556"/>
      <c r="V318" s="556"/>
      <c r="W318" s="556"/>
      <c r="X318" s="556"/>
      <c r="Y318" s="556"/>
      <c r="Z318" s="556"/>
      <c r="AA318" s="539"/>
      <c r="AB318" s="539"/>
      <c r="AC318" s="539"/>
    </row>
    <row r="319" spans="1:68" ht="27" customHeight="1" x14ac:dyDescent="0.25">
      <c r="A319" s="54" t="s">
        <v>500</v>
      </c>
      <c r="B319" s="54" t="s">
        <v>501</v>
      </c>
      <c r="C319" s="31">
        <v>4301030235</v>
      </c>
      <c r="D319" s="547">
        <v>4607091388381</v>
      </c>
      <c r="E319" s="548"/>
      <c r="F319" s="542">
        <v>0.38</v>
      </c>
      <c r="G319" s="32">
        <v>8</v>
      </c>
      <c r="H319" s="542">
        <v>3.04</v>
      </c>
      <c r="I319" s="542">
        <v>3.33</v>
      </c>
      <c r="J319" s="32">
        <v>132</v>
      </c>
      <c r="K319" s="32" t="s">
        <v>106</v>
      </c>
      <c r="L319" s="32"/>
      <c r="M319" s="33" t="s">
        <v>93</v>
      </c>
      <c r="N319" s="33"/>
      <c r="O319" s="32">
        <v>180</v>
      </c>
      <c r="P319" s="859" t="s">
        <v>502</v>
      </c>
      <c r="Q319" s="550"/>
      <c r="R319" s="550"/>
      <c r="S319" s="550"/>
      <c r="T319" s="551"/>
      <c r="U319" s="34"/>
      <c r="V319" s="34"/>
      <c r="W319" s="35" t="s">
        <v>68</v>
      </c>
      <c r="X319" s="543">
        <v>0</v>
      </c>
      <c r="Y319" s="54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5" t="s">
        <v>503</v>
      </c>
      <c r="AG319" s="64"/>
      <c r="AJ319" s="68"/>
      <c r="AK319" s="68">
        <v>0</v>
      </c>
      <c r="BB319" s="36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504</v>
      </c>
      <c r="B320" s="54" t="s">
        <v>505</v>
      </c>
      <c r="C320" s="31">
        <v>4301030232</v>
      </c>
      <c r="D320" s="547">
        <v>4607091388374</v>
      </c>
      <c r="E320" s="548"/>
      <c r="F320" s="542">
        <v>0.38</v>
      </c>
      <c r="G320" s="32">
        <v>8</v>
      </c>
      <c r="H320" s="542">
        <v>3.04</v>
      </c>
      <c r="I320" s="542">
        <v>3.29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73" t="s">
        <v>506</v>
      </c>
      <c r="Q320" s="550"/>
      <c r="R320" s="550"/>
      <c r="S320" s="550"/>
      <c r="T320" s="551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507</v>
      </c>
      <c r="B321" s="54" t="s">
        <v>508</v>
      </c>
      <c r="C321" s="31">
        <v>4301032015</v>
      </c>
      <c r="D321" s="547">
        <v>4607091383102</v>
      </c>
      <c r="E321" s="548"/>
      <c r="F321" s="542">
        <v>0.17</v>
      </c>
      <c r="G321" s="32">
        <v>15</v>
      </c>
      <c r="H321" s="542">
        <v>2.5499999999999998</v>
      </c>
      <c r="I321" s="542">
        <v>2.9550000000000001</v>
      </c>
      <c r="J321" s="32">
        <v>182</v>
      </c>
      <c r="K321" s="32" t="s">
        <v>75</v>
      </c>
      <c r="L321" s="32"/>
      <c r="M321" s="33" t="s">
        <v>93</v>
      </c>
      <c r="N321" s="33"/>
      <c r="O321" s="32">
        <v>180</v>
      </c>
      <c r="P321" s="80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50"/>
      <c r="R321" s="550"/>
      <c r="S321" s="550"/>
      <c r="T321" s="551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69" t="s">
        <v>509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510</v>
      </c>
      <c r="B322" s="54" t="s">
        <v>511</v>
      </c>
      <c r="C322" s="31">
        <v>4301030233</v>
      </c>
      <c r="D322" s="547">
        <v>4607091388404</v>
      </c>
      <c r="E322" s="548"/>
      <c r="F322" s="542">
        <v>0.17</v>
      </c>
      <c r="G322" s="32">
        <v>15</v>
      </c>
      <c r="H322" s="542">
        <v>2.5499999999999998</v>
      </c>
      <c r="I322" s="542">
        <v>2.88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50"/>
      <c r="R322" s="550"/>
      <c r="S322" s="550"/>
      <c r="T322" s="551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503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69"/>
      <c r="B323" s="556"/>
      <c r="C323" s="556"/>
      <c r="D323" s="556"/>
      <c r="E323" s="556"/>
      <c r="F323" s="556"/>
      <c r="G323" s="556"/>
      <c r="H323" s="556"/>
      <c r="I323" s="556"/>
      <c r="J323" s="556"/>
      <c r="K323" s="556"/>
      <c r="L323" s="556"/>
      <c r="M323" s="556"/>
      <c r="N323" s="556"/>
      <c r="O323" s="570"/>
      <c r="P323" s="557" t="s">
        <v>70</v>
      </c>
      <c r="Q323" s="558"/>
      <c r="R323" s="558"/>
      <c r="S323" s="558"/>
      <c r="T323" s="558"/>
      <c r="U323" s="558"/>
      <c r="V323" s="559"/>
      <c r="W323" s="37" t="s">
        <v>71</v>
      </c>
      <c r="X323" s="545">
        <f>IFERROR(X319/H319,"0")+IFERROR(X320/H320,"0")+IFERROR(X321/H321,"0")+IFERROR(X322/H322,"0")</f>
        <v>0</v>
      </c>
      <c r="Y323" s="545">
        <f>IFERROR(Y319/H319,"0")+IFERROR(Y320/H320,"0")+IFERROR(Y321/H321,"0")+IFERROR(Y322/H322,"0")</f>
        <v>0</v>
      </c>
      <c r="Z323" s="545">
        <f>IFERROR(IF(Z319="",0,Z319),"0")+IFERROR(IF(Z320="",0,Z320),"0")+IFERROR(IF(Z321="",0,Z321),"0")+IFERROR(IF(Z322="",0,Z322),"0")</f>
        <v>0</v>
      </c>
      <c r="AA323" s="546"/>
      <c r="AB323" s="546"/>
      <c r="AC323" s="546"/>
    </row>
    <row r="324" spans="1:68" x14ac:dyDescent="0.2">
      <c r="A324" s="556"/>
      <c r="B324" s="556"/>
      <c r="C324" s="556"/>
      <c r="D324" s="556"/>
      <c r="E324" s="556"/>
      <c r="F324" s="556"/>
      <c r="G324" s="556"/>
      <c r="H324" s="556"/>
      <c r="I324" s="556"/>
      <c r="J324" s="556"/>
      <c r="K324" s="556"/>
      <c r="L324" s="556"/>
      <c r="M324" s="556"/>
      <c r="N324" s="556"/>
      <c r="O324" s="570"/>
      <c r="P324" s="557" t="s">
        <v>70</v>
      </c>
      <c r="Q324" s="558"/>
      <c r="R324" s="558"/>
      <c r="S324" s="558"/>
      <c r="T324" s="558"/>
      <c r="U324" s="558"/>
      <c r="V324" s="559"/>
      <c r="W324" s="37" t="s">
        <v>68</v>
      </c>
      <c r="X324" s="545">
        <f>IFERROR(SUM(X319:X322),"0")</f>
        <v>0</v>
      </c>
      <c r="Y324" s="545">
        <f>IFERROR(SUM(Y319:Y322),"0")</f>
        <v>0</v>
      </c>
      <c r="Z324" s="37"/>
      <c r="AA324" s="546"/>
      <c r="AB324" s="546"/>
      <c r="AC324" s="546"/>
    </row>
    <row r="325" spans="1:68" ht="14.25" customHeight="1" x14ac:dyDescent="0.25">
      <c r="A325" s="555" t="s">
        <v>512</v>
      </c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56"/>
      <c r="P325" s="556"/>
      <c r="Q325" s="556"/>
      <c r="R325" s="556"/>
      <c r="S325" s="556"/>
      <c r="T325" s="556"/>
      <c r="U325" s="556"/>
      <c r="V325" s="556"/>
      <c r="W325" s="556"/>
      <c r="X325" s="556"/>
      <c r="Y325" s="556"/>
      <c r="Z325" s="556"/>
      <c r="AA325" s="539"/>
      <c r="AB325" s="539"/>
      <c r="AC325" s="539"/>
    </row>
    <row r="326" spans="1:68" ht="16.5" customHeight="1" x14ac:dyDescent="0.25">
      <c r="A326" s="54" t="s">
        <v>513</v>
      </c>
      <c r="B326" s="54" t="s">
        <v>514</v>
      </c>
      <c r="C326" s="31">
        <v>4301180007</v>
      </c>
      <c r="D326" s="547">
        <v>4680115881808</v>
      </c>
      <c r="E326" s="548"/>
      <c r="F326" s="542">
        <v>0.1</v>
      </c>
      <c r="G326" s="32">
        <v>20</v>
      </c>
      <c r="H326" s="542">
        <v>2</v>
      </c>
      <c r="I326" s="542">
        <v>2.2400000000000002</v>
      </c>
      <c r="J326" s="32">
        <v>238</v>
      </c>
      <c r="K326" s="32" t="s">
        <v>75</v>
      </c>
      <c r="L326" s="32"/>
      <c r="M326" s="33" t="s">
        <v>515</v>
      </c>
      <c r="N326" s="33"/>
      <c r="O326" s="32">
        <v>730</v>
      </c>
      <c r="P326" s="5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50"/>
      <c r="R326" s="550"/>
      <c r="S326" s="550"/>
      <c r="T326" s="551"/>
      <c r="U326" s="34"/>
      <c r="V326" s="34"/>
      <c r="W326" s="35" t="s">
        <v>68</v>
      </c>
      <c r="X326" s="543">
        <v>0</v>
      </c>
      <c r="Y326" s="54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3" t="s">
        <v>516</v>
      </c>
      <c r="AG326" s="64"/>
      <c r="AJ326" s="68"/>
      <c r="AK326" s="68">
        <v>0</v>
      </c>
      <c r="BB326" s="37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517</v>
      </c>
      <c r="B327" s="54" t="s">
        <v>518</v>
      </c>
      <c r="C327" s="31">
        <v>4301180006</v>
      </c>
      <c r="D327" s="547">
        <v>4680115881822</v>
      </c>
      <c r="E327" s="548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515</v>
      </c>
      <c r="N327" s="33"/>
      <c r="O327" s="32">
        <v>730</v>
      </c>
      <c r="P327" s="7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50"/>
      <c r="R327" s="550"/>
      <c r="S327" s="550"/>
      <c r="T327" s="551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4301180001</v>
      </c>
      <c r="D328" s="547">
        <v>4680115880016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515</v>
      </c>
      <c r="N328" s="33"/>
      <c r="O328" s="32">
        <v>730</v>
      </c>
      <c r="P328" s="57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50"/>
      <c r="R328" s="550"/>
      <c r="S328" s="550"/>
      <c r="T328" s="551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69"/>
      <c r="B329" s="556"/>
      <c r="C329" s="556"/>
      <c r="D329" s="556"/>
      <c r="E329" s="556"/>
      <c r="F329" s="556"/>
      <c r="G329" s="556"/>
      <c r="H329" s="556"/>
      <c r="I329" s="556"/>
      <c r="J329" s="556"/>
      <c r="K329" s="556"/>
      <c r="L329" s="556"/>
      <c r="M329" s="556"/>
      <c r="N329" s="556"/>
      <c r="O329" s="570"/>
      <c r="P329" s="557" t="s">
        <v>70</v>
      </c>
      <c r="Q329" s="558"/>
      <c r="R329" s="558"/>
      <c r="S329" s="558"/>
      <c r="T329" s="558"/>
      <c r="U329" s="558"/>
      <c r="V329" s="559"/>
      <c r="W329" s="37" t="s">
        <v>71</v>
      </c>
      <c r="X329" s="545">
        <f>IFERROR(X326/H326,"0")+IFERROR(X327/H327,"0")+IFERROR(X328/H328,"0")</f>
        <v>0</v>
      </c>
      <c r="Y329" s="545">
        <f>IFERROR(Y326/H326,"0")+IFERROR(Y327/H327,"0")+IFERROR(Y328/H328,"0")</f>
        <v>0</v>
      </c>
      <c r="Z329" s="545">
        <f>IFERROR(IF(Z326="",0,Z326),"0")+IFERROR(IF(Z327="",0,Z327),"0")+IFERROR(IF(Z328="",0,Z328),"0")</f>
        <v>0</v>
      </c>
      <c r="AA329" s="546"/>
      <c r="AB329" s="546"/>
      <c r="AC329" s="546"/>
    </row>
    <row r="330" spans="1:68" x14ac:dyDescent="0.2">
      <c r="A330" s="556"/>
      <c r="B330" s="556"/>
      <c r="C330" s="556"/>
      <c r="D330" s="556"/>
      <c r="E330" s="556"/>
      <c r="F330" s="556"/>
      <c r="G330" s="556"/>
      <c r="H330" s="556"/>
      <c r="I330" s="556"/>
      <c r="J330" s="556"/>
      <c r="K330" s="556"/>
      <c r="L330" s="556"/>
      <c r="M330" s="556"/>
      <c r="N330" s="556"/>
      <c r="O330" s="570"/>
      <c r="P330" s="557" t="s">
        <v>70</v>
      </c>
      <c r="Q330" s="558"/>
      <c r="R330" s="558"/>
      <c r="S330" s="558"/>
      <c r="T330" s="558"/>
      <c r="U330" s="558"/>
      <c r="V330" s="559"/>
      <c r="W330" s="37" t="s">
        <v>68</v>
      </c>
      <c r="X330" s="545">
        <f>IFERROR(SUM(X326:X328),"0")</f>
        <v>0</v>
      </c>
      <c r="Y330" s="545">
        <f>IFERROR(SUM(Y326:Y328),"0")</f>
        <v>0</v>
      </c>
      <c r="Z330" s="37"/>
      <c r="AA330" s="546"/>
      <c r="AB330" s="546"/>
      <c r="AC330" s="546"/>
    </row>
    <row r="331" spans="1:68" ht="16.5" customHeight="1" x14ac:dyDescent="0.25">
      <c r="A331" s="562" t="s">
        <v>521</v>
      </c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56"/>
      <c r="P331" s="556"/>
      <c r="Q331" s="556"/>
      <c r="R331" s="556"/>
      <c r="S331" s="556"/>
      <c r="T331" s="556"/>
      <c r="U331" s="556"/>
      <c r="V331" s="556"/>
      <c r="W331" s="556"/>
      <c r="X331" s="556"/>
      <c r="Y331" s="556"/>
      <c r="Z331" s="556"/>
      <c r="AA331" s="538"/>
      <c r="AB331" s="538"/>
      <c r="AC331" s="538"/>
    </row>
    <row r="332" spans="1:68" ht="14.25" customHeight="1" x14ac:dyDescent="0.25">
      <c r="A332" s="555" t="s">
        <v>72</v>
      </c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6"/>
      <c r="P332" s="556"/>
      <c r="Q332" s="556"/>
      <c r="R332" s="556"/>
      <c r="S332" s="556"/>
      <c r="T332" s="556"/>
      <c r="U332" s="556"/>
      <c r="V332" s="556"/>
      <c r="W332" s="556"/>
      <c r="X332" s="556"/>
      <c r="Y332" s="556"/>
      <c r="Z332" s="556"/>
      <c r="AA332" s="539"/>
      <c r="AB332" s="539"/>
      <c r="AC332" s="539"/>
    </row>
    <row r="333" spans="1:68" ht="27" customHeight="1" x14ac:dyDescent="0.25">
      <c r="A333" s="54" t="s">
        <v>522</v>
      </c>
      <c r="B333" s="54" t="s">
        <v>523</v>
      </c>
      <c r="C333" s="31">
        <v>4301051489</v>
      </c>
      <c r="D333" s="547">
        <v>4607091387919</v>
      </c>
      <c r="E333" s="548"/>
      <c r="F333" s="542">
        <v>1.35</v>
      </c>
      <c r="G333" s="32">
        <v>6</v>
      </c>
      <c r="H333" s="542">
        <v>8.1</v>
      </c>
      <c r="I333" s="542">
        <v>8.6189999999999998</v>
      </c>
      <c r="J333" s="32">
        <v>64</v>
      </c>
      <c r="K333" s="32" t="s">
        <v>101</v>
      </c>
      <c r="L333" s="32"/>
      <c r="M333" s="33" t="s">
        <v>83</v>
      </c>
      <c r="N333" s="33"/>
      <c r="O333" s="32">
        <v>45</v>
      </c>
      <c r="P333" s="7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50"/>
      <c r="R333" s="550"/>
      <c r="S333" s="550"/>
      <c r="T333" s="551"/>
      <c r="U333" s="34"/>
      <c r="V333" s="34"/>
      <c r="W333" s="35" t="s">
        <v>68</v>
      </c>
      <c r="X333" s="543">
        <v>0</v>
      </c>
      <c r="Y333" s="54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79" t="s">
        <v>524</v>
      </c>
      <c r="AG333" s="64"/>
      <c r="AJ333" s="68"/>
      <c r="AK333" s="68">
        <v>0</v>
      </c>
      <c r="BB333" s="38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525</v>
      </c>
      <c r="B334" s="54" t="s">
        <v>526</v>
      </c>
      <c r="C334" s="31">
        <v>4301051461</v>
      </c>
      <c r="D334" s="547">
        <v>4680115883604</v>
      </c>
      <c r="E334" s="548"/>
      <c r="F334" s="542">
        <v>0.35</v>
      </c>
      <c r="G334" s="32">
        <v>6</v>
      </c>
      <c r="H334" s="542">
        <v>2.1</v>
      </c>
      <c r="I334" s="542">
        <v>2.3519999999999999</v>
      </c>
      <c r="J334" s="32">
        <v>182</v>
      </c>
      <c r="K334" s="32" t="s">
        <v>75</v>
      </c>
      <c r="L334" s="32"/>
      <c r="M334" s="33" t="s">
        <v>76</v>
      </c>
      <c r="N334" s="33"/>
      <c r="O334" s="32">
        <v>45</v>
      </c>
      <c r="P334" s="61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50"/>
      <c r="R334" s="550"/>
      <c r="S334" s="550"/>
      <c r="T334" s="551"/>
      <c r="U334" s="34"/>
      <c r="V334" s="34"/>
      <c r="W334" s="35" t="s">
        <v>68</v>
      </c>
      <c r="X334" s="543">
        <v>210</v>
      </c>
      <c r="Y334" s="544">
        <f>IFERROR(IF(X334="",0,CEILING((X334/$H334),1)*$H334),"")</f>
        <v>210</v>
      </c>
      <c r="Z334" s="36">
        <f>IFERROR(IF(Y334=0,"",ROUNDUP(Y334/H334,0)*0.00651),"")</f>
        <v>0.65100000000000002</v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235.19999999999996</v>
      </c>
      <c r="BN334" s="64">
        <f>IFERROR(Y334*I334/H334,"0")</f>
        <v>235.19999999999996</v>
      </c>
      <c r="BO334" s="64">
        <f>IFERROR(1/J334*(X334/H334),"0")</f>
        <v>0.5494505494505495</v>
      </c>
      <c r="BP334" s="64">
        <f>IFERROR(1/J334*(Y334/H334),"0")</f>
        <v>0.5494505494505495</v>
      </c>
    </row>
    <row r="335" spans="1:68" ht="27" customHeight="1" x14ac:dyDescent="0.25">
      <c r="A335" s="54" t="s">
        <v>528</v>
      </c>
      <c r="B335" s="54" t="s">
        <v>529</v>
      </c>
      <c r="C335" s="31">
        <v>4301051864</v>
      </c>
      <c r="D335" s="547">
        <v>4680115883567</v>
      </c>
      <c r="E335" s="548"/>
      <c r="F335" s="542">
        <v>0.35</v>
      </c>
      <c r="G335" s="32">
        <v>6</v>
      </c>
      <c r="H335" s="542">
        <v>2.1</v>
      </c>
      <c r="I335" s="542">
        <v>2.34</v>
      </c>
      <c r="J335" s="32">
        <v>182</v>
      </c>
      <c r="K335" s="32" t="s">
        <v>75</v>
      </c>
      <c r="L335" s="32"/>
      <c r="M335" s="33" t="s">
        <v>83</v>
      </c>
      <c r="N335" s="33"/>
      <c r="O335" s="32">
        <v>40</v>
      </c>
      <c r="P335" s="7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50"/>
      <c r="R335" s="550"/>
      <c r="S335" s="550"/>
      <c r="T335" s="551"/>
      <c r="U335" s="34"/>
      <c r="V335" s="34"/>
      <c r="W335" s="35" t="s">
        <v>68</v>
      </c>
      <c r="X335" s="543">
        <v>140</v>
      </c>
      <c r="Y335" s="544">
        <f>IFERROR(IF(X335="",0,CEILING((X335/$H335),1)*$H335),"")</f>
        <v>140.70000000000002</v>
      </c>
      <c r="Z335" s="36">
        <f>IFERROR(IF(Y335=0,"",ROUNDUP(Y335/H335,0)*0.00651),"")</f>
        <v>0.43617</v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155.99999999999997</v>
      </c>
      <c r="BN335" s="64">
        <f>IFERROR(Y335*I335/H335,"0")</f>
        <v>156.78</v>
      </c>
      <c r="BO335" s="64">
        <f>IFERROR(1/J335*(X335/H335),"0")</f>
        <v>0.36630036630036628</v>
      </c>
      <c r="BP335" s="64">
        <f>IFERROR(1/J335*(Y335/H335),"0")</f>
        <v>0.36813186813186816</v>
      </c>
    </row>
    <row r="336" spans="1:68" x14ac:dyDescent="0.2">
      <c r="A336" s="569"/>
      <c r="B336" s="556"/>
      <c r="C336" s="556"/>
      <c r="D336" s="556"/>
      <c r="E336" s="556"/>
      <c r="F336" s="556"/>
      <c r="G336" s="556"/>
      <c r="H336" s="556"/>
      <c r="I336" s="556"/>
      <c r="J336" s="556"/>
      <c r="K336" s="556"/>
      <c r="L336" s="556"/>
      <c r="M336" s="556"/>
      <c r="N336" s="556"/>
      <c r="O336" s="570"/>
      <c r="P336" s="557" t="s">
        <v>70</v>
      </c>
      <c r="Q336" s="558"/>
      <c r="R336" s="558"/>
      <c r="S336" s="558"/>
      <c r="T336" s="558"/>
      <c r="U336" s="558"/>
      <c r="V336" s="559"/>
      <c r="W336" s="37" t="s">
        <v>71</v>
      </c>
      <c r="X336" s="545">
        <f>IFERROR(X333/H333,"0")+IFERROR(X334/H334,"0")+IFERROR(X335/H335,"0")</f>
        <v>166.66666666666666</v>
      </c>
      <c r="Y336" s="545">
        <f>IFERROR(Y333/H333,"0")+IFERROR(Y334/H334,"0")+IFERROR(Y335/H335,"0")</f>
        <v>167</v>
      </c>
      <c r="Z336" s="545">
        <f>IFERROR(IF(Z333="",0,Z333),"0")+IFERROR(IF(Z334="",0,Z334),"0")+IFERROR(IF(Z335="",0,Z335),"0")</f>
        <v>1.08717</v>
      </c>
      <c r="AA336" s="546"/>
      <c r="AB336" s="546"/>
      <c r="AC336" s="546"/>
    </row>
    <row r="337" spans="1:68" x14ac:dyDescent="0.2">
      <c r="A337" s="556"/>
      <c r="B337" s="556"/>
      <c r="C337" s="556"/>
      <c r="D337" s="556"/>
      <c r="E337" s="556"/>
      <c r="F337" s="556"/>
      <c r="G337" s="556"/>
      <c r="H337" s="556"/>
      <c r="I337" s="556"/>
      <c r="J337" s="556"/>
      <c r="K337" s="556"/>
      <c r="L337" s="556"/>
      <c r="M337" s="556"/>
      <c r="N337" s="556"/>
      <c r="O337" s="570"/>
      <c r="P337" s="557" t="s">
        <v>70</v>
      </c>
      <c r="Q337" s="558"/>
      <c r="R337" s="558"/>
      <c r="S337" s="558"/>
      <c r="T337" s="558"/>
      <c r="U337" s="558"/>
      <c r="V337" s="559"/>
      <c r="W337" s="37" t="s">
        <v>68</v>
      </c>
      <c r="X337" s="545">
        <f>IFERROR(SUM(X333:X335),"0")</f>
        <v>350</v>
      </c>
      <c r="Y337" s="545">
        <f>IFERROR(SUM(Y333:Y335),"0")</f>
        <v>350.70000000000005</v>
      </c>
      <c r="Z337" s="37"/>
      <c r="AA337" s="546"/>
      <c r="AB337" s="546"/>
      <c r="AC337" s="546"/>
    </row>
    <row r="338" spans="1:68" ht="27.75" customHeight="1" x14ac:dyDescent="0.2">
      <c r="A338" s="606" t="s">
        <v>531</v>
      </c>
      <c r="B338" s="607"/>
      <c r="C338" s="607"/>
      <c r="D338" s="607"/>
      <c r="E338" s="607"/>
      <c r="F338" s="607"/>
      <c r="G338" s="607"/>
      <c r="H338" s="607"/>
      <c r="I338" s="607"/>
      <c r="J338" s="607"/>
      <c r="K338" s="607"/>
      <c r="L338" s="607"/>
      <c r="M338" s="607"/>
      <c r="N338" s="607"/>
      <c r="O338" s="607"/>
      <c r="P338" s="607"/>
      <c r="Q338" s="607"/>
      <c r="R338" s="607"/>
      <c r="S338" s="607"/>
      <c r="T338" s="607"/>
      <c r="U338" s="607"/>
      <c r="V338" s="607"/>
      <c r="W338" s="607"/>
      <c r="X338" s="607"/>
      <c r="Y338" s="607"/>
      <c r="Z338" s="607"/>
      <c r="AA338" s="48"/>
      <c r="AB338" s="48"/>
      <c r="AC338" s="48"/>
    </row>
    <row r="339" spans="1:68" ht="16.5" customHeight="1" x14ac:dyDescent="0.25">
      <c r="A339" s="562" t="s">
        <v>532</v>
      </c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56"/>
      <c r="P339" s="556"/>
      <c r="Q339" s="556"/>
      <c r="R339" s="556"/>
      <c r="S339" s="556"/>
      <c r="T339" s="556"/>
      <c r="U339" s="556"/>
      <c r="V339" s="556"/>
      <c r="W339" s="556"/>
      <c r="X339" s="556"/>
      <c r="Y339" s="556"/>
      <c r="Z339" s="556"/>
      <c r="AA339" s="538"/>
      <c r="AB339" s="538"/>
      <c r="AC339" s="538"/>
    </row>
    <row r="340" spans="1:68" ht="14.25" customHeight="1" x14ac:dyDescent="0.25">
      <c r="A340" s="555" t="s">
        <v>98</v>
      </c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6"/>
      <c r="P340" s="556"/>
      <c r="Q340" s="556"/>
      <c r="R340" s="556"/>
      <c r="S340" s="556"/>
      <c r="T340" s="556"/>
      <c r="U340" s="556"/>
      <c r="V340" s="556"/>
      <c r="W340" s="556"/>
      <c r="X340" s="556"/>
      <c r="Y340" s="556"/>
      <c r="Z340" s="556"/>
      <c r="AA340" s="539"/>
      <c r="AB340" s="539"/>
      <c r="AC340" s="539"/>
    </row>
    <row r="341" spans="1:68" ht="37.5" customHeight="1" x14ac:dyDescent="0.25">
      <c r="A341" s="54" t="s">
        <v>533</v>
      </c>
      <c r="B341" s="54" t="s">
        <v>534</v>
      </c>
      <c r="C341" s="31">
        <v>4301011869</v>
      </c>
      <c r="D341" s="547">
        <v>4680115884847</v>
      </c>
      <c r="E341" s="548"/>
      <c r="F341" s="542">
        <v>2.5</v>
      </c>
      <c r="G341" s="32">
        <v>6</v>
      </c>
      <c r="H341" s="542">
        <v>15</v>
      </c>
      <c r="I341" s="542">
        <v>15.48</v>
      </c>
      <c r="J341" s="32">
        <v>48</v>
      </c>
      <c r="K341" s="32" t="s">
        <v>101</v>
      </c>
      <c r="L341" s="32"/>
      <c r="M341" s="33" t="s">
        <v>67</v>
      </c>
      <c r="N341" s="33"/>
      <c r="O341" s="32">
        <v>60</v>
      </c>
      <c r="P341" s="8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50"/>
      <c r="R341" s="550"/>
      <c r="S341" s="550"/>
      <c r="T341" s="551"/>
      <c r="U341" s="34"/>
      <c r="V341" s="34"/>
      <c r="W341" s="35" t="s">
        <v>68</v>
      </c>
      <c r="X341" s="543">
        <v>1100</v>
      </c>
      <c r="Y341" s="544">
        <f t="shared" ref="Y341:Y347" si="32">IFERROR(IF(X341="",0,CEILING((X341/$H341),1)*$H341),"")</f>
        <v>1110</v>
      </c>
      <c r="Z341" s="36">
        <f>IFERROR(IF(Y341=0,"",ROUNDUP(Y341/H341,0)*0.02175),"")</f>
        <v>1.6094999999999999</v>
      </c>
      <c r="AA341" s="56"/>
      <c r="AB341" s="57"/>
      <c r="AC341" s="385" t="s">
        <v>535</v>
      </c>
      <c r="AG341" s="64"/>
      <c r="AJ341" s="68"/>
      <c r="AK341" s="68">
        <v>0</v>
      </c>
      <c r="BB341" s="386" t="s">
        <v>1</v>
      </c>
      <c r="BM341" s="64">
        <f t="shared" ref="BM341:BM347" si="33">IFERROR(X341*I341/H341,"0")</f>
        <v>1135.2</v>
      </c>
      <c r="BN341" s="64">
        <f t="shared" ref="BN341:BN347" si="34">IFERROR(Y341*I341/H341,"0")</f>
        <v>1145.52</v>
      </c>
      <c r="BO341" s="64">
        <f t="shared" ref="BO341:BO347" si="35">IFERROR(1/J341*(X341/H341),"0")</f>
        <v>1.5277777777777777</v>
      </c>
      <c r="BP341" s="64">
        <f t="shared" ref="BP341:BP347" si="36">IFERROR(1/J341*(Y341/H341),"0")</f>
        <v>1.5416666666666665</v>
      </c>
    </row>
    <row r="342" spans="1:68" ht="27" customHeight="1" x14ac:dyDescent="0.25">
      <c r="A342" s="54" t="s">
        <v>536</v>
      </c>
      <c r="B342" s="54" t="s">
        <v>537</v>
      </c>
      <c r="C342" s="31">
        <v>4301011870</v>
      </c>
      <c r="D342" s="547">
        <v>4680115884854</v>
      </c>
      <c r="E342" s="548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50"/>
      <c r="R342" s="550"/>
      <c r="S342" s="550"/>
      <c r="T342" s="551"/>
      <c r="U342" s="34"/>
      <c r="V342" s="34"/>
      <c r="W342" s="35" t="s">
        <v>68</v>
      </c>
      <c r="X342" s="543">
        <v>500</v>
      </c>
      <c r="Y342" s="544">
        <f t="shared" si="32"/>
        <v>510</v>
      </c>
      <c r="Z342" s="36">
        <f>IFERROR(IF(Y342=0,"",ROUNDUP(Y342/H342,0)*0.02175),"")</f>
        <v>0.73949999999999994</v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si="33"/>
        <v>516</v>
      </c>
      <c r="BN342" s="64">
        <f t="shared" si="34"/>
        <v>526.32000000000005</v>
      </c>
      <c r="BO342" s="64">
        <f t="shared" si="35"/>
        <v>0.69444444444444442</v>
      </c>
      <c r="BP342" s="64">
        <f t="shared" si="36"/>
        <v>0.70833333333333326</v>
      </c>
    </row>
    <row r="343" spans="1:68" ht="37.5" customHeight="1" x14ac:dyDescent="0.25">
      <c r="A343" s="54" t="s">
        <v>539</v>
      </c>
      <c r="B343" s="54" t="s">
        <v>540</v>
      </c>
      <c r="C343" s="31">
        <v>4301011867</v>
      </c>
      <c r="D343" s="547">
        <v>4680115884830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101</v>
      </c>
      <c r="L343" s="32"/>
      <c r="M343" s="33" t="s">
        <v>67</v>
      </c>
      <c r="N343" s="33"/>
      <c r="O343" s="32">
        <v>60</v>
      </c>
      <c r="P343" s="7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3" s="550"/>
      <c r="R343" s="550"/>
      <c r="S343" s="550"/>
      <c r="T343" s="551"/>
      <c r="U343" s="34"/>
      <c r="V343" s="34"/>
      <c r="W343" s="35" t="s">
        <v>68</v>
      </c>
      <c r="X343" s="543">
        <v>500</v>
      </c>
      <c r="Y343" s="544">
        <f t="shared" si="32"/>
        <v>510</v>
      </c>
      <c r="Z343" s="36">
        <f>IFERROR(IF(Y343=0,"",ROUNDUP(Y343/H343,0)*0.02175),"")</f>
        <v>0.73949999999999994</v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3"/>
        <v>516</v>
      </c>
      <c r="BN343" s="64">
        <f t="shared" si="34"/>
        <v>526.32000000000005</v>
      </c>
      <c r="BO343" s="64">
        <f t="shared" si="35"/>
        <v>0.69444444444444442</v>
      </c>
      <c r="BP343" s="64">
        <f t="shared" si="36"/>
        <v>0.70833333333333326</v>
      </c>
    </row>
    <row r="344" spans="1:68" ht="27" customHeight="1" x14ac:dyDescent="0.25">
      <c r="A344" s="54" t="s">
        <v>542</v>
      </c>
      <c r="B344" s="54" t="s">
        <v>543</v>
      </c>
      <c r="C344" s="31">
        <v>4301011832</v>
      </c>
      <c r="D344" s="547">
        <v>4607091383997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101</v>
      </c>
      <c r="L344" s="32"/>
      <c r="M344" s="33" t="s">
        <v>83</v>
      </c>
      <c r="N344" s="33"/>
      <c r="O344" s="32">
        <v>60</v>
      </c>
      <c r="P344" s="8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0"/>
      <c r="R344" s="550"/>
      <c r="S344" s="550"/>
      <c r="T344" s="551"/>
      <c r="U344" s="34"/>
      <c r="V344" s="34"/>
      <c r="W344" s="35" t="s">
        <v>68</v>
      </c>
      <c r="X344" s="543">
        <v>100</v>
      </c>
      <c r="Y344" s="544">
        <f t="shared" si="32"/>
        <v>105</v>
      </c>
      <c r="Z344" s="36">
        <f>IFERROR(IF(Y344=0,"",ROUNDUP(Y344/H344,0)*0.02175),"")</f>
        <v>0.15225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3"/>
        <v>103.2</v>
      </c>
      <c r="BN344" s="64">
        <f t="shared" si="34"/>
        <v>108.36</v>
      </c>
      <c r="BO344" s="64">
        <f t="shared" si="35"/>
        <v>0.1388888888888889</v>
      </c>
      <c r="BP344" s="64">
        <f t="shared" si="36"/>
        <v>0.14583333333333331</v>
      </c>
    </row>
    <row r="345" spans="1:68" ht="27" customHeight="1" x14ac:dyDescent="0.25">
      <c r="A345" s="54" t="s">
        <v>545</v>
      </c>
      <c r="B345" s="54" t="s">
        <v>546</v>
      </c>
      <c r="C345" s="31">
        <v>4301011433</v>
      </c>
      <c r="D345" s="547">
        <v>4680115882638</v>
      </c>
      <c r="E345" s="548"/>
      <c r="F345" s="542">
        <v>0.4</v>
      </c>
      <c r="G345" s="32">
        <v>10</v>
      </c>
      <c r="H345" s="542">
        <v>4</v>
      </c>
      <c r="I345" s="542">
        <v>4.21</v>
      </c>
      <c r="J345" s="32">
        <v>132</v>
      </c>
      <c r="K345" s="32" t="s">
        <v>106</v>
      </c>
      <c r="L345" s="32"/>
      <c r="M345" s="33" t="s">
        <v>102</v>
      </c>
      <c r="N345" s="33"/>
      <c r="O345" s="32">
        <v>90</v>
      </c>
      <c r="P345" s="76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50"/>
      <c r="R345" s="550"/>
      <c r="S345" s="550"/>
      <c r="T345" s="551"/>
      <c r="U345" s="34"/>
      <c r="V345" s="34"/>
      <c r="W345" s="35" t="s">
        <v>68</v>
      </c>
      <c r="X345" s="543">
        <v>0</v>
      </c>
      <c r="Y345" s="544">
        <f t="shared" si="32"/>
        <v>0</v>
      </c>
      <c r="Z345" s="36" t="str">
        <f>IFERROR(IF(Y345=0,"",ROUNDUP(Y345/H345,0)*0.00902),"")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customHeight="1" x14ac:dyDescent="0.25">
      <c r="A346" s="54" t="s">
        <v>548</v>
      </c>
      <c r="B346" s="54" t="s">
        <v>549</v>
      </c>
      <c r="C346" s="31">
        <v>4301011952</v>
      </c>
      <c r="D346" s="547">
        <v>4680115884922</v>
      </c>
      <c r="E346" s="548"/>
      <c r="F346" s="542">
        <v>0.5</v>
      </c>
      <c r="G346" s="32">
        <v>10</v>
      </c>
      <c r="H346" s="542">
        <v>5</v>
      </c>
      <c r="I346" s="542">
        <v>5.21</v>
      </c>
      <c r="J346" s="32">
        <v>132</v>
      </c>
      <c r="K346" s="32" t="s">
        <v>106</v>
      </c>
      <c r="L346" s="32"/>
      <c r="M346" s="33" t="s">
        <v>67</v>
      </c>
      <c r="N346" s="33"/>
      <c r="O346" s="32">
        <v>60</v>
      </c>
      <c r="P346" s="7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50"/>
      <c r="R346" s="550"/>
      <c r="S346" s="550"/>
      <c r="T346" s="551"/>
      <c r="U346" s="34"/>
      <c r="V346" s="34"/>
      <c r="W346" s="35" t="s">
        <v>68</v>
      </c>
      <c r="X346" s="543">
        <v>0</v>
      </c>
      <c r="Y346" s="544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538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37.5" customHeight="1" x14ac:dyDescent="0.25">
      <c r="A347" s="54" t="s">
        <v>550</v>
      </c>
      <c r="B347" s="54" t="s">
        <v>551</v>
      </c>
      <c r="C347" s="31">
        <v>4301011868</v>
      </c>
      <c r="D347" s="547">
        <v>4680115884861</v>
      </c>
      <c r="E347" s="548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2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50"/>
      <c r="R347" s="550"/>
      <c r="S347" s="550"/>
      <c r="T347" s="551"/>
      <c r="U347" s="34"/>
      <c r="V347" s="34"/>
      <c r="W347" s="35" t="s">
        <v>68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541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x14ac:dyDescent="0.2">
      <c r="A348" s="569"/>
      <c r="B348" s="556"/>
      <c r="C348" s="556"/>
      <c r="D348" s="556"/>
      <c r="E348" s="556"/>
      <c r="F348" s="556"/>
      <c r="G348" s="556"/>
      <c r="H348" s="556"/>
      <c r="I348" s="556"/>
      <c r="J348" s="556"/>
      <c r="K348" s="556"/>
      <c r="L348" s="556"/>
      <c r="M348" s="556"/>
      <c r="N348" s="556"/>
      <c r="O348" s="570"/>
      <c r="P348" s="557" t="s">
        <v>70</v>
      </c>
      <c r="Q348" s="558"/>
      <c r="R348" s="558"/>
      <c r="S348" s="558"/>
      <c r="T348" s="558"/>
      <c r="U348" s="558"/>
      <c r="V348" s="559"/>
      <c r="W348" s="37" t="s">
        <v>71</v>
      </c>
      <c r="X348" s="545">
        <f>IFERROR(X341/H341,"0")+IFERROR(X342/H342,"0")+IFERROR(X343/H343,"0")+IFERROR(X344/H344,"0")+IFERROR(X345/H345,"0")+IFERROR(X346/H346,"0")+IFERROR(X347/H347,"0")</f>
        <v>146.66666666666666</v>
      </c>
      <c r="Y348" s="545">
        <f>IFERROR(Y341/H341,"0")+IFERROR(Y342/H342,"0")+IFERROR(Y343/H343,"0")+IFERROR(Y344/H344,"0")+IFERROR(Y345/H345,"0")+IFERROR(Y346/H346,"0")+IFERROR(Y347/H347,"0")</f>
        <v>149</v>
      </c>
      <c r="Z348" s="545">
        <f>IFERROR(IF(Z341="",0,Z341),"0")+IFERROR(IF(Z342="",0,Z342),"0")+IFERROR(IF(Z343="",0,Z343),"0")+IFERROR(IF(Z344="",0,Z344),"0")+IFERROR(IF(Z345="",0,Z345),"0")+IFERROR(IF(Z346="",0,Z346),"0")+IFERROR(IF(Z347="",0,Z347),"0")</f>
        <v>3.2407499999999998</v>
      </c>
      <c r="AA348" s="546"/>
      <c r="AB348" s="546"/>
      <c r="AC348" s="546"/>
    </row>
    <row r="349" spans="1:68" x14ac:dyDescent="0.2">
      <c r="A349" s="556"/>
      <c r="B349" s="556"/>
      <c r="C349" s="556"/>
      <c r="D349" s="556"/>
      <c r="E349" s="556"/>
      <c r="F349" s="556"/>
      <c r="G349" s="556"/>
      <c r="H349" s="556"/>
      <c r="I349" s="556"/>
      <c r="J349" s="556"/>
      <c r="K349" s="556"/>
      <c r="L349" s="556"/>
      <c r="M349" s="556"/>
      <c r="N349" s="556"/>
      <c r="O349" s="570"/>
      <c r="P349" s="557" t="s">
        <v>70</v>
      </c>
      <c r="Q349" s="558"/>
      <c r="R349" s="558"/>
      <c r="S349" s="558"/>
      <c r="T349" s="558"/>
      <c r="U349" s="558"/>
      <c r="V349" s="559"/>
      <c r="W349" s="37" t="s">
        <v>68</v>
      </c>
      <c r="X349" s="545">
        <f>IFERROR(SUM(X341:X347),"0")</f>
        <v>2200</v>
      </c>
      <c r="Y349" s="545">
        <f>IFERROR(SUM(Y341:Y347),"0")</f>
        <v>2235</v>
      </c>
      <c r="Z349" s="37"/>
      <c r="AA349" s="546"/>
      <c r="AB349" s="546"/>
      <c r="AC349" s="546"/>
    </row>
    <row r="350" spans="1:68" ht="14.25" customHeight="1" x14ac:dyDescent="0.25">
      <c r="A350" s="555" t="s">
        <v>130</v>
      </c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56"/>
      <c r="P350" s="556"/>
      <c r="Q350" s="556"/>
      <c r="R350" s="556"/>
      <c r="S350" s="556"/>
      <c r="T350" s="556"/>
      <c r="U350" s="556"/>
      <c r="V350" s="556"/>
      <c r="W350" s="556"/>
      <c r="X350" s="556"/>
      <c r="Y350" s="556"/>
      <c r="Z350" s="556"/>
      <c r="AA350" s="539"/>
      <c r="AB350" s="539"/>
      <c r="AC350" s="539"/>
    </row>
    <row r="351" spans="1:68" ht="27" customHeight="1" x14ac:dyDescent="0.25">
      <c r="A351" s="54" t="s">
        <v>552</v>
      </c>
      <c r="B351" s="54" t="s">
        <v>553</v>
      </c>
      <c r="C351" s="31">
        <v>4301020178</v>
      </c>
      <c r="D351" s="547">
        <v>4607091383980</v>
      </c>
      <c r="E351" s="548"/>
      <c r="F351" s="542">
        <v>2.5</v>
      </c>
      <c r="G351" s="32">
        <v>6</v>
      </c>
      <c r="H351" s="542">
        <v>15</v>
      </c>
      <c r="I351" s="542">
        <v>15.48</v>
      </c>
      <c r="J351" s="32">
        <v>48</v>
      </c>
      <c r="K351" s="32" t="s">
        <v>101</v>
      </c>
      <c r="L351" s="32"/>
      <c r="M351" s="33" t="s">
        <v>102</v>
      </c>
      <c r="N351" s="33"/>
      <c r="O351" s="32">
        <v>50</v>
      </c>
      <c r="P351" s="6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50"/>
      <c r="R351" s="550"/>
      <c r="S351" s="550"/>
      <c r="T351" s="551"/>
      <c r="U351" s="34"/>
      <c r="V351" s="34"/>
      <c r="W351" s="35" t="s">
        <v>68</v>
      </c>
      <c r="X351" s="543">
        <v>1500</v>
      </c>
      <c r="Y351" s="544">
        <f>IFERROR(IF(X351="",0,CEILING((X351/$H351),1)*$H351),"")</f>
        <v>1500</v>
      </c>
      <c r="Z351" s="36">
        <f>IFERROR(IF(Y351=0,"",ROUNDUP(Y351/H351,0)*0.02175),"")</f>
        <v>2.1749999999999998</v>
      </c>
      <c r="AA351" s="56"/>
      <c r="AB351" s="57"/>
      <c r="AC351" s="399" t="s">
        <v>554</v>
      </c>
      <c r="AG351" s="64"/>
      <c r="AJ351" s="68"/>
      <c r="AK351" s="68">
        <v>0</v>
      </c>
      <c r="BB351" s="400" t="s">
        <v>1</v>
      </c>
      <c r="BM351" s="64">
        <f>IFERROR(X351*I351/H351,"0")</f>
        <v>1548</v>
      </c>
      <c r="BN351" s="64">
        <f>IFERROR(Y351*I351/H351,"0")</f>
        <v>1548</v>
      </c>
      <c r="BO351" s="64">
        <f>IFERROR(1/J351*(X351/H351),"0")</f>
        <v>2.083333333333333</v>
      </c>
      <c r="BP351" s="64">
        <f>IFERROR(1/J351*(Y351/H351),"0")</f>
        <v>2.083333333333333</v>
      </c>
    </row>
    <row r="352" spans="1:68" ht="16.5" customHeight="1" x14ac:dyDescent="0.25">
      <c r="A352" s="54" t="s">
        <v>555</v>
      </c>
      <c r="B352" s="54" t="s">
        <v>556</v>
      </c>
      <c r="C352" s="31">
        <v>4301020179</v>
      </c>
      <c r="D352" s="547">
        <v>4607091384178</v>
      </c>
      <c r="E352" s="548"/>
      <c r="F352" s="542">
        <v>0.4</v>
      </c>
      <c r="G352" s="32">
        <v>10</v>
      </c>
      <c r="H352" s="542">
        <v>4</v>
      </c>
      <c r="I352" s="542">
        <v>4.21</v>
      </c>
      <c r="J352" s="32">
        <v>132</v>
      </c>
      <c r="K352" s="32" t="s">
        <v>106</v>
      </c>
      <c r="L352" s="32"/>
      <c r="M352" s="33" t="s">
        <v>102</v>
      </c>
      <c r="N352" s="33"/>
      <c r="O352" s="32">
        <v>50</v>
      </c>
      <c r="P352" s="6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50"/>
      <c r="R352" s="550"/>
      <c r="S352" s="550"/>
      <c r="T352" s="551"/>
      <c r="U352" s="34"/>
      <c r="V352" s="34"/>
      <c r="W352" s="35" t="s">
        <v>68</v>
      </c>
      <c r="X352" s="543">
        <v>0</v>
      </c>
      <c r="Y352" s="54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1" t="s">
        <v>554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69"/>
      <c r="B353" s="556"/>
      <c r="C353" s="556"/>
      <c r="D353" s="556"/>
      <c r="E353" s="556"/>
      <c r="F353" s="556"/>
      <c r="G353" s="556"/>
      <c r="H353" s="556"/>
      <c r="I353" s="556"/>
      <c r="J353" s="556"/>
      <c r="K353" s="556"/>
      <c r="L353" s="556"/>
      <c r="M353" s="556"/>
      <c r="N353" s="556"/>
      <c r="O353" s="570"/>
      <c r="P353" s="557" t="s">
        <v>70</v>
      </c>
      <c r="Q353" s="558"/>
      <c r="R353" s="558"/>
      <c r="S353" s="558"/>
      <c r="T353" s="558"/>
      <c r="U353" s="558"/>
      <c r="V353" s="559"/>
      <c r="W353" s="37" t="s">
        <v>71</v>
      </c>
      <c r="X353" s="545">
        <f>IFERROR(X351/H351,"0")+IFERROR(X352/H352,"0")</f>
        <v>100</v>
      </c>
      <c r="Y353" s="545">
        <f>IFERROR(Y351/H351,"0")+IFERROR(Y352/H352,"0")</f>
        <v>100</v>
      </c>
      <c r="Z353" s="545">
        <f>IFERROR(IF(Z351="",0,Z351),"0")+IFERROR(IF(Z352="",0,Z352),"0")</f>
        <v>2.1749999999999998</v>
      </c>
      <c r="AA353" s="546"/>
      <c r="AB353" s="546"/>
      <c r="AC353" s="546"/>
    </row>
    <row r="354" spans="1:68" x14ac:dyDescent="0.2">
      <c r="A354" s="556"/>
      <c r="B354" s="556"/>
      <c r="C354" s="556"/>
      <c r="D354" s="556"/>
      <c r="E354" s="556"/>
      <c r="F354" s="556"/>
      <c r="G354" s="556"/>
      <c r="H354" s="556"/>
      <c r="I354" s="556"/>
      <c r="J354" s="556"/>
      <c r="K354" s="556"/>
      <c r="L354" s="556"/>
      <c r="M354" s="556"/>
      <c r="N354" s="556"/>
      <c r="O354" s="570"/>
      <c r="P354" s="557" t="s">
        <v>70</v>
      </c>
      <c r="Q354" s="558"/>
      <c r="R354" s="558"/>
      <c r="S354" s="558"/>
      <c r="T354" s="558"/>
      <c r="U354" s="558"/>
      <c r="V354" s="559"/>
      <c r="W354" s="37" t="s">
        <v>68</v>
      </c>
      <c r="X354" s="545">
        <f>IFERROR(SUM(X351:X352),"0")</f>
        <v>1500</v>
      </c>
      <c r="Y354" s="545">
        <f>IFERROR(SUM(Y351:Y352),"0")</f>
        <v>1500</v>
      </c>
      <c r="Z354" s="37"/>
      <c r="AA354" s="546"/>
      <c r="AB354" s="546"/>
      <c r="AC354" s="546"/>
    </row>
    <row r="355" spans="1:68" ht="14.25" customHeight="1" x14ac:dyDescent="0.25">
      <c r="A355" s="555" t="s">
        <v>72</v>
      </c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56"/>
      <c r="P355" s="556"/>
      <c r="Q355" s="556"/>
      <c r="R355" s="556"/>
      <c r="S355" s="556"/>
      <c r="T355" s="556"/>
      <c r="U355" s="556"/>
      <c r="V355" s="556"/>
      <c r="W355" s="556"/>
      <c r="X355" s="556"/>
      <c r="Y355" s="556"/>
      <c r="Z355" s="556"/>
      <c r="AA355" s="539"/>
      <c r="AB355" s="539"/>
      <c r="AC355" s="539"/>
    </row>
    <row r="356" spans="1:68" ht="27" customHeight="1" x14ac:dyDescent="0.25">
      <c r="A356" s="54" t="s">
        <v>557</v>
      </c>
      <c r="B356" s="54" t="s">
        <v>558</v>
      </c>
      <c r="C356" s="31">
        <v>4301051903</v>
      </c>
      <c r="D356" s="547">
        <v>4607091383928</v>
      </c>
      <c r="E356" s="548"/>
      <c r="F356" s="542">
        <v>1.5</v>
      </c>
      <c r="G356" s="32">
        <v>6</v>
      </c>
      <c r="H356" s="542">
        <v>9</v>
      </c>
      <c r="I356" s="542">
        <v>9.5250000000000004</v>
      </c>
      <c r="J356" s="32">
        <v>64</v>
      </c>
      <c r="K356" s="32" t="s">
        <v>101</v>
      </c>
      <c r="L356" s="32"/>
      <c r="M356" s="33" t="s">
        <v>76</v>
      </c>
      <c r="N356" s="33"/>
      <c r="O356" s="32">
        <v>40</v>
      </c>
      <c r="P356" s="71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50"/>
      <c r="R356" s="550"/>
      <c r="S356" s="550"/>
      <c r="T356" s="551"/>
      <c r="U356" s="34"/>
      <c r="V356" s="34"/>
      <c r="W356" s="35" t="s">
        <v>68</v>
      </c>
      <c r="X356" s="543">
        <v>0</v>
      </c>
      <c r="Y356" s="54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3" t="s">
        <v>559</v>
      </c>
      <c r="AG356" s="64"/>
      <c r="AJ356" s="68"/>
      <c r="AK356" s="68">
        <v>0</v>
      </c>
      <c r="BB356" s="404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560</v>
      </c>
      <c r="B357" s="54" t="s">
        <v>561</v>
      </c>
      <c r="C357" s="31">
        <v>4301051897</v>
      </c>
      <c r="D357" s="547">
        <v>4607091384260</v>
      </c>
      <c r="E357" s="548"/>
      <c r="F357" s="542">
        <v>1.5</v>
      </c>
      <c r="G357" s="32">
        <v>6</v>
      </c>
      <c r="H357" s="542">
        <v>9</v>
      </c>
      <c r="I357" s="542">
        <v>9.5190000000000001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4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50"/>
      <c r="R357" s="550"/>
      <c r="S357" s="550"/>
      <c r="T357" s="551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69"/>
      <c r="B358" s="556"/>
      <c r="C358" s="556"/>
      <c r="D358" s="556"/>
      <c r="E358" s="556"/>
      <c r="F358" s="556"/>
      <c r="G358" s="556"/>
      <c r="H358" s="556"/>
      <c r="I358" s="556"/>
      <c r="J358" s="556"/>
      <c r="K358" s="556"/>
      <c r="L358" s="556"/>
      <c r="M358" s="556"/>
      <c r="N358" s="556"/>
      <c r="O358" s="570"/>
      <c r="P358" s="557" t="s">
        <v>70</v>
      </c>
      <c r="Q358" s="558"/>
      <c r="R358" s="558"/>
      <c r="S358" s="558"/>
      <c r="T358" s="558"/>
      <c r="U358" s="558"/>
      <c r="V358" s="559"/>
      <c r="W358" s="37" t="s">
        <v>71</v>
      </c>
      <c r="X358" s="545">
        <f>IFERROR(X356/H356,"0")+IFERROR(X357/H357,"0")</f>
        <v>0</v>
      </c>
      <c r="Y358" s="545">
        <f>IFERROR(Y356/H356,"0")+IFERROR(Y357/H357,"0")</f>
        <v>0</v>
      </c>
      <c r="Z358" s="545">
        <f>IFERROR(IF(Z356="",0,Z356),"0")+IFERROR(IF(Z357="",0,Z357),"0")</f>
        <v>0</v>
      </c>
      <c r="AA358" s="546"/>
      <c r="AB358" s="546"/>
      <c r="AC358" s="546"/>
    </row>
    <row r="359" spans="1:68" x14ac:dyDescent="0.2">
      <c r="A359" s="556"/>
      <c r="B359" s="556"/>
      <c r="C359" s="556"/>
      <c r="D359" s="556"/>
      <c r="E359" s="556"/>
      <c r="F359" s="556"/>
      <c r="G359" s="556"/>
      <c r="H359" s="556"/>
      <c r="I359" s="556"/>
      <c r="J359" s="556"/>
      <c r="K359" s="556"/>
      <c r="L359" s="556"/>
      <c r="M359" s="556"/>
      <c r="N359" s="556"/>
      <c r="O359" s="570"/>
      <c r="P359" s="557" t="s">
        <v>70</v>
      </c>
      <c r="Q359" s="558"/>
      <c r="R359" s="558"/>
      <c r="S359" s="558"/>
      <c r="T359" s="558"/>
      <c r="U359" s="558"/>
      <c r="V359" s="559"/>
      <c r="W359" s="37" t="s">
        <v>68</v>
      </c>
      <c r="X359" s="545">
        <f>IFERROR(SUM(X356:X357),"0")</f>
        <v>0</v>
      </c>
      <c r="Y359" s="545">
        <f>IFERROR(SUM(Y356:Y357),"0")</f>
        <v>0</v>
      </c>
      <c r="Z359" s="37"/>
      <c r="AA359" s="546"/>
      <c r="AB359" s="546"/>
      <c r="AC359" s="546"/>
    </row>
    <row r="360" spans="1:68" ht="14.25" customHeight="1" x14ac:dyDescent="0.25">
      <c r="A360" s="555" t="s">
        <v>160</v>
      </c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56"/>
      <c r="P360" s="556"/>
      <c r="Q360" s="556"/>
      <c r="R360" s="556"/>
      <c r="S360" s="556"/>
      <c r="T360" s="556"/>
      <c r="U360" s="556"/>
      <c r="V360" s="556"/>
      <c r="W360" s="556"/>
      <c r="X360" s="556"/>
      <c r="Y360" s="556"/>
      <c r="Z360" s="556"/>
      <c r="AA360" s="539"/>
      <c r="AB360" s="539"/>
      <c r="AC360" s="539"/>
    </row>
    <row r="361" spans="1:68" ht="16.5" customHeight="1" x14ac:dyDescent="0.25">
      <c r="A361" s="54" t="s">
        <v>563</v>
      </c>
      <c r="B361" s="54" t="s">
        <v>564</v>
      </c>
      <c r="C361" s="31">
        <v>4301060524</v>
      </c>
      <c r="D361" s="547">
        <v>4607091384673</v>
      </c>
      <c r="E361" s="548"/>
      <c r="F361" s="542">
        <v>1.5</v>
      </c>
      <c r="G361" s="32">
        <v>6</v>
      </c>
      <c r="H361" s="542">
        <v>9</v>
      </c>
      <c r="I361" s="542">
        <v>9.5190000000000001</v>
      </c>
      <c r="J361" s="32">
        <v>64</v>
      </c>
      <c r="K361" s="32" t="s">
        <v>101</v>
      </c>
      <c r="L361" s="32"/>
      <c r="M361" s="33" t="s">
        <v>76</v>
      </c>
      <c r="N361" s="33"/>
      <c r="O361" s="32">
        <v>40</v>
      </c>
      <c r="P361" s="712" t="s">
        <v>565</v>
      </c>
      <c r="Q361" s="550"/>
      <c r="R361" s="550"/>
      <c r="S361" s="550"/>
      <c r="T361" s="551"/>
      <c r="U361" s="34"/>
      <c r="V361" s="34"/>
      <c r="W361" s="35" t="s">
        <v>68</v>
      </c>
      <c r="X361" s="543">
        <v>0</v>
      </c>
      <c r="Y361" s="54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07" t="s">
        <v>566</v>
      </c>
      <c r="AG361" s="64"/>
      <c r="AJ361" s="68"/>
      <c r="AK361" s="68">
        <v>0</v>
      </c>
      <c r="BB361" s="40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69"/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70"/>
      <c r="P362" s="557" t="s">
        <v>70</v>
      </c>
      <c r="Q362" s="558"/>
      <c r="R362" s="558"/>
      <c r="S362" s="558"/>
      <c r="T362" s="558"/>
      <c r="U362" s="558"/>
      <c r="V362" s="559"/>
      <c r="W362" s="37" t="s">
        <v>71</v>
      </c>
      <c r="X362" s="545">
        <f>IFERROR(X361/H361,"0")</f>
        <v>0</v>
      </c>
      <c r="Y362" s="545">
        <f>IFERROR(Y361/H361,"0")</f>
        <v>0</v>
      </c>
      <c r="Z362" s="545">
        <f>IFERROR(IF(Z361="",0,Z361),"0")</f>
        <v>0</v>
      </c>
      <c r="AA362" s="546"/>
      <c r="AB362" s="546"/>
      <c r="AC362" s="546"/>
    </row>
    <row r="363" spans="1:68" x14ac:dyDescent="0.2">
      <c r="A363" s="556"/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70"/>
      <c r="P363" s="557" t="s">
        <v>70</v>
      </c>
      <c r="Q363" s="558"/>
      <c r="R363" s="558"/>
      <c r="S363" s="558"/>
      <c r="T363" s="558"/>
      <c r="U363" s="558"/>
      <c r="V363" s="559"/>
      <c r="W363" s="37" t="s">
        <v>68</v>
      </c>
      <c r="X363" s="545">
        <f>IFERROR(SUM(X361:X361),"0")</f>
        <v>0</v>
      </c>
      <c r="Y363" s="545">
        <f>IFERROR(SUM(Y361:Y361),"0")</f>
        <v>0</v>
      </c>
      <c r="Z363" s="37"/>
      <c r="AA363" s="546"/>
      <c r="AB363" s="546"/>
      <c r="AC363" s="546"/>
    </row>
    <row r="364" spans="1:68" ht="16.5" customHeight="1" x14ac:dyDescent="0.25">
      <c r="A364" s="562" t="s">
        <v>567</v>
      </c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56"/>
      <c r="P364" s="556"/>
      <c r="Q364" s="556"/>
      <c r="R364" s="556"/>
      <c r="S364" s="556"/>
      <c r="T364" s="556"/>
      <c r="U364" s="556"/>
      <c r="V364" s="556"/>
      <c r="W364" s="556"/>
      <c r="X364" s="556"/>
      <c r="Y364" s="556"/>
      <c r="Z364" s="556"/>
      <c r="AA364" s="538"/>
      <c r="AB364" s="538"/>
      <c r="AC364" s="538"/>
    </row>
    <row r="365" spans="1:68" ht="14.25" customHeight="1" x14ac:dyDescent="0.25">
      <c r="A365" s="555" t="s">
        <v>98</v>
      </c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6"/>
      <c r="P365" s="556"/>
      <c r="Q365" s="556"/>
      <c r="R365" s="556"/>
      <c r="S365" s="556"/>
      <c r="T365" s="556"/>
      <c r="U365" s="556"/>
      <c r="V365" s="556"/>
      <c r="W365" s="556"/>
      <c r="X365" s="556"/>
      <c r="Y365" s="556"/>
      <c r="Z365" s="556"/>
      <c r="AA365" s="539"/>
      <c r="AB365" s="539"/>
      <c r="AC365" s="539"/>
    </row>
    <row r="366" spans="1:68" ht="37.5" customHeight="1" x14ac:dyDescent="0.25">
      <c r="A366" s="54" t="s">
        <v>568</v>
      </c>
      <c r="B366" s="54" t="s">
        <v>569</v>
      </c>
      <c r="C366" s="31">
        <v>4301011873</v>
      </c>
      <c r="D366" s="547">
        <v>4680115881907</v>
      </c>
      <c r="E366" s="548"/>
      <c r="F366" s="542">
        <v>1.8</v>
      </c>
      <c r="G366" s="32">
        <v>6</v>
      </c>
      <c r="H366" s="542">
        <v>10.8</v>
      </c>
      <c r="I366" s="542">
        <v>11.234999999999999</v>
      </c>
      <c r="J366" s="32">
        <v>64</v>
      </c>
      <c r="K366" s="32" t="s">
        <v>101</v>
      </c>
      <c r="L366" s="32"/>
      <c r="M366" s="33" t="s">
        <v>67</v>
      </c>
      <c r="N366" s="33"/>
      <c r="O366" s="32">
        <v>60</v>
      </c>
      <c r="P366" s="59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50"/>
      <c r="R366" s="550"/>
      <c r="S366" s="550"/>
      <c r="T366" s="551"/>
      <c r="U366" s="34"/>
      <c r="V366" s="34"/>
      <c r="W366" s="35" t="s">
        <v>68</v>
      </c>
      <c r="X366" s="543">
        <v>0</v>
      </c>
      <c r="Y366" s="54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09" t="s">
        <v>570</v>
      </c>
      <c r="AG366" s="64"/>
      <c r="AJ366" s="68"/>
      <c r="AK366" s="68">
        <v>0</v>
      </c>
      <c r="BB366" s="410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571</v>
      </c>
      <c r="B367" s="54" t="s">
        <v>572</v>
      </c>
      <c r="C367" s="31">
        <v>4301011875</v>
      </c>
      <c r="D367" s="547">
        <v>4680115884885</v>
      </c>
      <c r="E367" s="548"/>
      <c r="F367" s="542">
        <v>0.8</v>
      </c>
      <c r="G367" s="32">
        <v>15</v>
      </c>
      <c r="H367" s="542">
        <v>12</v>
      </c>
      <c r="I367" s="542">
        <v>12.435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3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7" s="550"/>
      <c r="R367" s="550"/>
      <c r="S367" s="550"/>
      <c r="T367" s="551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574</v>
      </c>
      <c r="B368" s="54" t="s">
        <v>575</v>
      </c>
      <c r="C368" s="31">
        <v>4301011871</v>
      </c>
      <c r="D368" s="547">
        <v>4680115884908</v>
      </c>
      <c r="E368" s="548"/>
      <c r="F368" s="542">
        <v>0.4</v>
      </c>
      <c r="G368" s="32">
        <v>10</v>
      </c>
      <c r="H368" s="542">
        <v>4</v>
      </c>
      <c r="I368" s="542">
        <v>4.21</v>
      </c>
      <c r="J368" s="32">
        <v>132</v>
      </c>
      <c r="K368" s="32" t="s">
        <v>106</v>
      </c>
      <c r="L368" s="32"/>
      <c r="M368" s="33" t="s">
        <v>67</v>
      </c>
      <c r="N368" s="33"/>
      <c r="O368" s="32">
        <v>60</v>
      </c>
      <c r="P368" s="86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8" s="550"/>
      <c r="R368" s="550"/>
      <c r="S368" s="550"/>
      <c r="T368" s="551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13" t="s">
        <v>573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569"/>
      <c r="B369" s="556"/>
      <c r="C369" s="556"/>
      <c r="D369" s="556"/>
      <c r="E369" s="556"/>
      <c r="F369" s="556"/>
      <c r="G369" s="556"/>
      <c r="H369" s="556"/>
      <c r="I369" s="556"/>
      <c r="J369" s="556"/>
      <c r="K369" s="556"/>
      <c r="L369" s="556"/>
      <c r="M369" s="556"/>
      <c r="N369" s="556"/>
      <c r="O369" s="570"/>
      <c r="P369" s="557" t="s">
        <v>70</v>
      </c>
      <c r="Q369" s="558"/>
      <c r="R369" s="558"/>
      <c r="S369" s="558"/>
      <c r="T369" s="558"/>
      <c r="U369" s="558"/>
      <c r="V369" s="559"/>
      <c r="W369" s="37" t="s">
        <v>71</v>
      </c>
      <c r="X369" s="545">
        <f>IFERROR(X366/H366,"0")+IFERROR(X367/H367,"0")+IFERROR(X368/H368,"0")</f>
        <v>0</v>
      </c>
      <c r="Y369" s="545">
        <f>IFERROR(Y366/H366,"0")+IFERROR(Y367/H367,"0")+IFERROR(Y368/H368,"0")</f>
        <v>0</v>
      </c>
      <c r="Z369" s="545">
        <f>IFERROR(IF(Z366="",0,Z366),"0")+IFERROR(IF(Z367="",0,Z367),"0")+IFERROR(IF(Z368="",0,Z368),"0")</f>
        <v>0</v>
      </c>
      <c r="AA369" s="546"/>
      <c r="AB369" s="546"/>
      <c r="AC369" s="546"/>
    </row>
    <row r="370" spans="1:68" x14ac:dyDescent="0.2">
      <c r="A370" s="556"/>
      <c r="B370" s="556"/>
      <c r="C370" s="556"/>
      <c r="D370" s="556"/>
      <c r="E370" s="556"/>
      <c r="F370" s="556"/>
      <c r="G370" s="556"/>
      <c r="H370" s="556"/>
      <c r="I370" s="556"/>
      <c r="J370" s="556"/>
      <c r="K370" s="556"/>
      <c r="L370" s="556"/>
      <c r="M370" s="556"/>
      <c r="N370" s="556"/>
      <c r="O370" s="570"/>
      <c r="P370" s="557" t="s">
        <v>70</v>
      </c>
      <c r="Q370" s="558"/>
      <c r="R370" s="558"/>
      <c r="S370" s="558"/>
      <c r="T370" s="558"/>
      <c r="U370" s="558"/>
      <c r="V370" s="559"/>
      <c r="W370" s="37" t="s">
        <v>68</v>
      </c>
      <c r="X370" s="545">
        <f>IFERROR(SUM(X366:X368),"0")</f>
        <v>0</v>
      </c>
      <c r="Y370" s="545">
        <f>IFERROR(SUM(Y366:Y368),"0")</f>
        <v>0</v>
      </c>
      <c r="Z370" s="37"/>
      <c r="AA370" s="546"/>
      <c r="AB370" s="546"/>
      <c r="AC370" s="546"/>
    </row>
    <row r="371" spans="1:68" ht="14.25" customHeight="1" x14ac:dyDescent="0.25">
      <c r="A371" s="555" t="s">
        <v>63</v>
      </c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56"/>
      <c r="P371" s="556"/>
      <c r="Q371" s="556"/>
      <c r="R371" s="556"/>
      <c r="S371" s="556"/>
      <c r="T371" s="556"/>
      <c r="U371" s="556"/>
      <c r="V371" s="556"/>
      <c r="W371" s="556"/>
      <c r="X371" s="556"/>
      <c r="Y371" s="556"/>
      <c r="Z371" s="556"/>
      <c r="AA371" s="539"/>
      <c r="AB371" s="539"/>
      <c r="AC371" s="539"/>
    </row>
    <row r="372" spans="1:68" ht="27" customHeight="1" x14ac:dyDescent="0.25">
      <c r="A372" s="54" t="s">
        <v>576</v>
      </c>
      <c r="B372" s="54" t="s">
        <v>577</v>
      </c>
      <c r="C372" s="31">
        <v>4301031303</v>
      </c>
      <c r="D372" s="547">
        <v>4607091384802</v>
      </c>
      <c r="E372" s="548"/>
      <c r="F372" s="542">
        <v>0.73</v>
      </c>
      <c r="G372" s="32">
        <v>6</v>
      </c>
      <c r="H372" s="542">
        <v>4.38</v>
      </c>
      <c r="I372" s="542">
        <v>4.6500000000000004</v>
      </c>
      <c r="J372" s="32">
        <v>132</v>
      </c>
      <c r="K372" s="32" t="s">
        <v>106</v>
      </c>
      <c r="L372" s="32"/>
      <c r="M372" s="33" t="s">
        <v>67</v>
      </c>
      <c r="N372" s="33"/>
      <c r="O372" s="32">
        <v>35</v>
      </c>
      <c r="P372" s="7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2" s="550"/>
      <c r="R372" s="550"/>
      <c r="S372" s="550"/>
      <c r="T372" s="551"/>
      <c r="U372" s="34"/>
      <c r="V372" s="34"/>
      <c r="W372" s="35" t="s">
        <v>68</v>
      </c>
      <c r="X372" s="543">
        <v>0</v>
      </c>
      <c r="Y372" s="54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15" t="s">
        <v>578</v>
      </c>
      <c r="AG372" s="64"/>
      <c r="AJ372" s="68"/>
      <c r="AK372" s="68">
        <v>0</v>
      </c>
      <c r="BB372" s="41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69"/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70"/>
      <c r="P373" s="557" t="s">
        <v>70</v>
      </c>
      <c r="Q373" s="558"/>
      <c r="R373" s="558"/>
      <c r="S373" s="558"/>
      <c r="T373" s="558"/>
      <c r="U373" s="558"/>
      <c r="V373" s="559"/>
      <c r="W373" s="37" t="s">
        <v>71</v>
      </c>
      <c r="X373" s="545">
        <f>IFERROR(X372/H372,"0")</f>
        <v>0</v>
      </c>
      <c r="Y373" s="545">
        <f>IFERROR(Y372/H372,"0")</f>
        <v>0</v>
      </c>
      <c r="Z373" s="545">
        <f>IFERROR(IF(Z372="",0,Z372),"0")</f>
        <v>0</v>
      </c>
      <c r="AA373" s="546"/>
      <c r="AB373" s="546"/>
      <c r="AC373" s="546"/>
    </row>
    <row r="374" spans="1:68" x14ac:dyDescent="0.2">
      <c r="A374" s="556"/>
      <c r="B374" s="556"/>
      <c r="C374" s="556"/>
      <c r="D374" s="556"/>
      <c r="E374" s="556"/>
      <c r="F374" s="556"/>
      <c r="G374" s="556"/>
      <c r="H374" s="556"/>
      <c r="I374" s="556"/>
      <c r="J374" s="556"/>
      <c r="K374" s="556"/>
      <c r="L374" s="556"/>
      <c r="M374" s="556"/>
      <c r="N374" s="556"/>
      <c r="O374" s="570"/>
      <c r="P374" s="557" t="s">
        <v>70</v>
      </c>
      <c r="Q374" s="558"/>
      <c r="R374" s="558"/>
      <c r="S374" s="558"/>
      <c r="T374" s="558"/>
      <c r="U374" s="558"/>
      <c r="V374" s="559"/>
      <c r="W374" s="37" t="s">
        <v>68</v>
      </c>
      <c r="X374" s="545">
        <f>IFERROR(SUM(X372:X372),"0")</f>
        <v>0</v>
      </c>
      <c r="Y374" s="545">
        <f>IFERROR(SUM(Y372:Y372),"0")</f>
        <v>0</v>
      </c>
      <c r="Z374" s="37"/>
      <c r="AA374" s="546"/>
      <c r="AB374" s="546"/>
      <c r="AC374" s="546"/>
    </row>
    <row r="375" spans="1:68" ht="14.25" customHeight="1" x14ac:dyDescent="0.25">
      <c r="A375" s="555" t="s">
        <v>72</v>
      </c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56"/>
      <c r="P375" s="556"/>
      <c r="Q375" s="556"/>
      <c r="R375" s="556"/>
      <c r="S375" s="556"/>
      <c r="T375" s="556"/>
      <c r="U375" s="556"/>
      <c r="V375" s="556"/>
      <c r="W375" s="556"/>
      <c r="X375" s="556"/>
      <c r="Y375" s="556"/>
      <c r="Z375" s="556"/>
      <c r="AA375" s="539"/>
      <c r="AB375" s="539"/>
      <c r="AC375" s="539"/>
    </row>
    <row r="376" spans="1:68" ht="27" customHeight="1" x14ac:dyDescent="0.25">
      <c r="A376" s="54" t="s">
        <v>579</v>
      </c>
      <c r="B376" s="54" t="s">
        <v>580</v>
      </c>
      <c r="C376" s="31">
        <v>4301051899</v>
      </c>
      <c r="D376" s="547">
        <v>4607091384246</v>
      </c>
      <c r="E376" s="548"/>
      <c r="F376" s="542">
        <v>1.5</v>
      </c>
      <c r="G376" s="32">
        <v>6</v>
      </c>
      <c r="H376" s="542">
        <v>9</v>
      </c>
      <c r="I376" s="542">
        <v>9.5190000000000001</v>
      </c>
      <c r="J376" s="32">
        <v>64</v>
      </c>
      <c r="K376" s="32" t="s">
        <v>101</v>
      </c>
      <c r="L376" s="32"/>
      <c r="M376" s="33" t="s">
        <v>76</v>
      </c>
      <c r="N376" s="33"/>
      <c r="O376" s="32">
        <v>40</v>
      </c>
      <c r="P376" s="6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6" s="550"/>
      <c r="R376" s="550"/>
      <c r="S376" s="550"/>
      <c r="T376" s="551"/>
      <c r="U376" s="34"/>
      <c r="V376" s="34"/>
      <c r="W376" s="35" t="s">
        <v>68</v>
      </c>
      <c r="X376" s="543">
        <v>0</v>
      </c>
      <c r="Y376" s="54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17" t="s">
        <v>581</v>
      </c>
      <c r="AG376" s="64"/>
      <c r="AJ376" s="68"/>
      <c r="AK376" s="68">
        <v>0</v>
      </c>
      <c r="BB376" s="41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27" customHeight="1" x14ac:dyDescent="0.25">
      <c r="A377" s="54" t="s">
        <v>582</v>
      </c>
      <c r="B377" s="54" t="s">
        <v>583</v>
      </c>
      <c r="C377" s="31">
        <v>4301051660</v>
      </c>
      <c r="D377" s="547">
        <v>4607091384253</v>
      </c>
      <c r="E377" s="548"/>
      <c r="F377" s="542">
        <v>0.4</v>
      </c>
      <c r="G377" s="32">
        <v>6</v>
      </c>
      <c r="H377" s="542">
        <v>2.4</v>
      </c>
      <c r="I377" s="542">
        <v>2.6640000000000001</v>
      </c>
      <c r="J377" s="32">
        <v>182</v>
      </c>
      <c r="K377" s="32" t="s">
        <v>75</v>
      </c>
      <c r="L377" s="32"/>
      <c r="M377" s="33" t="s">
        <v>76</v>
      </c>
      <c r="N377" s="33"/>
      <c r="O377" s="32">
        <v>40</v>
      </c>
      <c r="P377" s="7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7" s="550"/>
      <c r="R377" s="550"/>
      <c r="S377" s="550"/>
      <c r="T377" s="551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IFERROR(IF(Y377=0,"",ROUNDUP(Y377/H377,0)*0.00651),"")</f>
        <v/>
      </c>
      <c r="AA377" s="56"/>
      <c r="AB377" s="57"/>
      <c r="AC377" s="419" t="s">
        <v>581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69"/>
      <c r="B378" s="556"/>
      <c r="C378" s="556"/>
      <c r="D378" s="556"/>
      <c r="E378" s="556"/>
      <c r="F378" s="556"/>
      <c r="G378" s="556"/>
      <c r="H378" s="556"/>
      <c r="I378" s="556"/>
      <c r="J378" s="556"/>
      <c r="K378" s="556"/>
      <c r="L378" s="556"/>
      <c r="M378" s="556"/>
      <c r="N378" s="556"/>
      <c r="O378" s="570"/>
      <c r="P378" s="557" t="s">
        <v>70</v>
      </c>
      <c r="Q378" s="558"/>
      <c r="R378" s="558"/>
      <c r="S378" s="558"/>
      <c r="T378" s="558"/>
      <c r="U378" s="558"/>
      <c r="V378" s="559"/>
      <c r="W378" s="37" t="s">
        <v>71</v>
      </c>
      <c r="X378" s="545">
        <f>IFERROR(X376/H376,"0")+IFERROR(X377/H377,"0")</f>
        <v>0</v>
      </c>
      <c r="Y378" s="545">
        <f>IFERROR(Y376/H376,"0")+IFERROR(Y377/H377,"0")</f>
        <v>0</v>
      </c>
      <c r="Z378" s="545">
        <f>IFERROR(IF(Z376="",0,Z376),"0")+IFERROR(IF(Z377="",0,Z377),"0")</f>
        <v>0</v>
      </c>
      <c r="AA378" s="546"/>
      <c r="AB378" s="546"/>
      <c r="AC378" s="546"/>
    </row>
    <row r="379" spans="1:68" x14ac:dyDescent="0.2">
      <c r="A379" s="556"/>
      <c r="B379" s="556"/>
      <c r="C379" s="556"/>
      <c r="D379" s="556"/>
      <c r="E379" s="556"/>
      <c r="F379" s="556"/>
      <c r="G379" s="556"/>
      <c r="H379" s="556"/>
      <c r="I379" s="556"/>
      <c r="J379" s="556"/>
      <c r="K379" s="556"/>
      <c r="L379" s="556"/>
      <c r="M379" s="556"/>
      <c r="N379" s="556"/>
      <c r="O379" s="570"/>
      <c r="P379" s="557" t="s">
        <v>70</v>
      </c>
      <c r="Q379" s="558"/>
      <c r="R379" s="558"/>
      <c r="S379" s="558"/>
      <c r="T379" s="558"/>
      <c r="U379" s="558"/>
      <c r="V379" s="559"/>
      <c r="W379" s="37" t="s">
        <v>68</v>
      </c>
      <c r="X379" s="545">
        <f>IFERROR(SUM(X376:X377),"0")</f>
        <v>0</v>
      </c>
      <c r="Y379" s="545">
        <f>IFERROR(SUM(Y376:Y377),"0")</f>
        <v>0</v>
      </c>
      <c r="Z379" s="37"/>
      <c r="AA379" s="546"/>
      <c r="AB379" s="546"/>
      <c r="AC379" s="546"/>
    </row>
    <row r="380" spans="1:68" ht="14.25" customHeight="1" x14ac:dyDescent="0.25">
      <c r="A380" s="555" t="s">
        <v>160</v>
      </c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56"/>
      <c r="P380" s="556"/>
      <c r="Q380" s="556"/>
      <c r="R380" s="556"/>
      <c r="S380" s="556"/>
      <c r="T380" s="556"/>
      <c r="U380" s="556"/>
      <c r="V380" s="556"/>
      <c r="W380" s="556"/>
      <c r="X380" s="556"/>
      <c r="Y380" s="556"/>
      <c r="Z380" s="556"/>
      <c r="AA380" s="539"/>
      <c r="AB380" s="539"/>
      <c r="AC380" s="539"/>
    </row>
    <row r="381" spans="1:68" ht="27" customHeight="1" x14ac:dyDescent="0.25">
      <c r="A381" s="54" t="s">
        <v>584</v>
      </c>
      <c r="B381" s="54" t="s">
        <v>585</v>
      </c>
      <c r="C381" s="31">
        <v>4301060441</v>
      </c>
      <c r="D381" s="547">
        <v>4607091389357</v>
      </c>
      <c r="E381" s="548"/>
      <c r="F381" s="542">
        <v>1.5</v>
      </c>
      <c r="G381" s="32">
        <v>6</v>
      </c>
      <c r="H381" s="542">
        <v>9</v>
      </c>
      <c r="I381" s="542">
        <v>9.4350000000000005</v>
      </c>
      <c r="J381" s="32">
        <v>64</v>
      </c>
      <c r="K381" s="32" t="s">
        <v>101</v>
      </c>
      <c r="L381" s="32"/>
      <c r="M381" s="33" t="s">
        <v>76</v>
      </c>
      <c r="N381" s="33"/>
      <c r="O381" s="32">
        <v>40</v>
      </c>
      <c r="P381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1" s="550"/>
      <c r="R381" s="550"/>
      <c r="S381" s="550"/>
      <c r="T381" s="551"/>
      <c r="U381" s="34"/>
      <c r="V381" s="34"/>
      <c r="W381" s="35" t="s">
        <v>68</v>
      </c>
      <c r="X381" s="543">
        <v>0</v>
      </c>
      <c r="Y381" s="544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1" t="s">
        <v>586</v>
      </c>
      <c r="AG381" s="64"/>
      <c r="AJ381" s="68"/>
      <c r="AK381" s="68">
        <v>0</v>
      </c>
      <c r="BB381" s="42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69"/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70"/>
      <c r="P382" s="557" t="s">
        <v>70</v>
      </c>
      <c r="Q382" s="558"/>
      <c r="R382" s="558"/>
      <c r="S382" s="558"/>
      <c r="T382" s="558"/>
      <c r="U382" s="558"/>
      <c r="V382" s="559"/>
      <c r="W382" s="37" t="s">
        <v>71</v>
      </c>
      <c r="X382" s="545">
        <f>IFERROR(X381/H381,"0")</f>
        <v>0</v>
      </c>
      <c r="Y382" s="545">
        <f>IFERROR(Y381/H381,"0")</f>
        <v>0</v>
      </c>
      <c r="Z382" s="545">
        <f>IFERROR(IF(Z381="",0,Z381),"0")</f>
        <v>0</v>
      </c>
      <c r="AA382" s="546"/>
      <c r="AB382" s="546"/>
      <c r="AC382" s="546"/>
    </row>
    <row r="383" spans="1:68" x14ac:dyDescent="0.2">
      <c r="A383" s="556"/>
      <c r="B383" s="556"/>
      <c r="C383" s="556"/>
      <c r="D383" s="556"/>
      <c r="E383" s="556"/>
      <c r="F383" s="556"/>
      <c r="G383" s="556"/>
      <c r="H383" s="556"/>
      <c r="I383" s="556"/>
      <c r="J383" s="556"/>
      <c r="K383" s="556"/>
      <c r="L383" s="556"/>
      <c r="M383" s="556"/>
      <c r="N383" s="556"/>
      <c r="O383" s="570"/>
      <c r="P383" s="557" t="s">
        <v>70</v>
      </c>
      <c r="Q383" s="558"/>
      <c r="R383" s="558"/>
      <c r="S383" s="558"/>
      <c r="T383" s="558"/>
      <c r="U383" s="558"/>
      <c r="V383" s="559"/>
      <c r="W383" s="37" t="s">
        <v>68</v>
      </c>
      <c r="X383" s="545">
        <f>IFERROR(SUM(X381:X381),"0")</f>
        <v>0</v>
      </c>
      <c r="Y383" s="545">
        <f>IFERROR(SUM(Y381:Y381),"0")</f>
        <v>0</v>
      </c>
      <c r="Z383" s="37"/>
      <c r="AA383" s="546"/>
      <c r="AB383" s="546"/>
      <c r="AC383" s="546"/>
    </row>
    <row r="384" spans="1:68" ht="27.75" customHeight="1" x14ac:dyDescent="0.2">
      <c r="A384" s="606" t="s">
        <v>587</v>
      </c>
      <c r="B384" s="607"/>
      <c r="C384" s="607"/>
      <c r="D384" s="607"/>
      <c r="E384" s="607"/>
      <c r="F384" s="607"/>
      <c r="G384" s="607"/>
      <c r="H384" s="607"/>
      <c r="I384" s="607"/>
      <c r="J384" s="607"/>
      <c r="K384" s="607"/>
      <c r="L384" s="607"/>
      <c r="M384" s="607"/>
      <c r="N384" s="607"/>
      <c r="O384" s="607"/>
      <c r="P384" s="607"/>
      <c r="Q384" s="607"/>
      <c r="R384" s="607"/>
      <c r="S384" s="607"/>
      <c r="T384" s="607"/>
      <c r="U384" s="607"/>
      <c r="V384" s="607"/>
      <c r="W384" s="607"/>
      <c r="X384" s="607"/>
      <c r="Y384" s="607"/>
      <c r="Z384" s="607"/>
      <c r="AA384" s="48"/>
      <c r="AB384" s="48"/>
      <c r="AC384" s="48"/>
    </row>
    <row r="385" spans="1:68" ht="16.5" customHeight="1" x14ac:dyDescent="0.25">
      <c r="A385" s="562" t="s">
        <v>588</v>
      </c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56"/>
      <c r="P385" s="556"/>
      <c r="Q385" s="556"/>
      <c r="R385" s="556"/>
      <c r="S385" s="556"/>
      <c r="T385" s="556"/>
      <c r="U385" s="556"/>
      <c r="V385" s="556"/>
      <c r="W385" s="556"/>
      <c r="X385" s="556"/>
      <c r="Y385" s="556"/>
      <c r="Z385" s="556"/>
      <c r="AA385" s="538"/>
      <c r="AB385" s="538"/>
      <c r="AC385" s="538"/>
    </row>
    <row r="386" spans="1:68" ht="14.25" customHeight="1" x14ac:dyDescent="0.25">
      <c r="A386" s="555" t="s">
        <v>63</v>
      </c>
      <c r="B386" s="556"/>
      <c r="C386" s="556"/>
      <c r="D386" s="556"/>
      <c r="E386" s="556"/>
      <c r="F386" s="556"/>
      <c r="G386" s="556"/>
      <c r="H386" s="556"/>
      <c r="I386" s="556"/>
      <c r="J386" s="556"/>
      <c r="K386" s="556"/>
      <c r="L386" s="556"/>
      <c r="M386" s="556"/>
      <c r="N386" s="556"/>
      <c r="O386" s="556"/>
      <c r="P386" s="556"/>
      <c r="Q386" s="556"/>
      <c r="R386" s="556"/>
      <c r="S386" s="556"/>
      <c r="T386" s="556"/>
      <c r="U386" s="556"/>
      <c r="V386" s="556"/>
      <c r="W386" s="556"/>
      <c r="X386" s="556"/>
      <c r="Y386" s="556"/>
      <c r="Z386" s="556"/>
      <c r="AA386" s="539"/>
      <c r="AB386" s="539"/>
      <c r="AC386" s="539"/>
    </row>
    <row r="387" spans="1:68" ht="27" customHeight="1" x14ac:dyDescent="0.25">
      <c r="A387" s="54" t="s">
        <v>589</v>
      </c>
      <c r="B387" s="54" t="s">
        <v>590</v>
      </c>
      <c r="C387" s="31">
        <v>4301031405</v>
      </c>
      <c r="D387" s="547">
        <v>4680115886100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106</v>
      </c>
      <c r="L387" s="32"/>
      <c r="M387" s="33" t="s">
        <v>67</v>
      </c>
      <c r="N387" s="33"/>
      <c r="O387" s="32">
        <v>50</v>
      </c>
      <c r="P387" s="7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68</v>
      </c>
      <c r="X387" s="543">
        <v>0</v>
      </c>
      <c r="Y387" s="544">
        <f t="shared" ref="Y387:Y396" si="37">IFERROR(IF(X387="",0,CEILING((X387/$H387),1)*$H387),"")</f>
        <v>0</v>
      </c>
      <c r="Z387" s="36" t="str">
        <f>IFERROR(IF(Y387=0,"",ROUNDUP(Y387/H387,0)*0.00902),"")</f>
        <v/>
      </c>
      <c r="AA387" s="56"/>
      <c r="AB387" s="57"/>
      <c r="AC387" s="423" t="s">
        <v>591</v>
      </c>
      <c r="AG387" s="64"/>
      <c r="AJ387" s="68"/>
      <c r="AK387" s="68">
        <v>0</v>
      </c>
      <c r="BB387" s="424" t="s">
        <v>1</v>
      </c>
      <c r="BM387" s="64">
        <f t="shared" ref="BM387:BM396" si="38">IFERROR(X387*I387/H387,"0")</f>
        <v>0</v>
      </c>
      <c r="BN387" s="64">
        <f t="shared" ref="BN387:BN396" si="39">IFERROR(Y387*I387/H387,"0")</f>
        <v>0</v>
      </c>
      <c r="BO387" s="64">
        <f t="shared" ref="BO387:BO396" si="40">IFERROR(1/J387*(X387/H387),"0")</f>
        <v>0</v>
      </c>
      <c r="BP387" s="64">
        <f t="shared" ref="BP387:BP396" si="41">IFERROR(1/J387*(Y387/H387),"0")</f>
        <v>0</v>
      </c>
    </row>
    <row r="388" spans="1:68" ht="27" customHeight="1" x14ac:dyDescent="0.25">
      <c r="A388" s="54" t="s">
        <v>592</v>
      </c>
      <c r="B388" s="54" t="s">
        <v>593</v>
      </c>
      <c r="C388" s="31">
        <v>4301031406</v>
      </c>
      <c r="D388" s="547">
        <v>4680115886117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4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68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customHeight="1" x14ac:dyDescent="0.25">
      <c r="A389" s="54" t="s">
        <v>592</v>
      </c>
      <c r="B389" s="54" t="s">
        <v>595</v>
      </c>
      <c r="C389" s="31">
        <v>4301031382</v>
      </c>
      <c r="D389" s="547">
        <v>4680115886117</v>
      </c>
      <c r="E389" s="548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0"/>
      <c r="R389" s="550"/>
      <c r="S389" s="550"/>
      <c r="T389" s="551"/>
      <c r="U389" s="34"/>
      <c r="V389" s="34"/>
      <c r="W389" s="35" t="s">
        <v>68</v>
      </c>
      <c r="X389" s="543">
        <v>0</v>
      </c>
      <c r="Y389" s="544">
        <f t="shared" si="37"/>
        <v>0</v>
      </c>
      <c r="Z389" s="36" t="str">
        <f>IFERROR(IF(Y389=0,"",ROUNDUP(Y389/H389,0)*0.00902),"")</f>
        <v/>
      </c>
      <c r="AA389" s="56"/>
      <c r="AB389" s="57"/>
      <c r="AC389" s="427" t="s">
        <v>594</v>
      </c>
      <c r="AG389" s="64"/>
      <c r="AJ389" s="68"/>
      <c r="AK389" s="68">
        <v>0</v>
      </c>
      <c r="BB389" s="428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customHeight="1" x14ac:dyDescent="0.25">
      <c r="A390" s="54" t="s">
        <v>596</v>
      </c>
      <c r="B390" s="54" t="s">
        <v>597</v>
      </c>
      <c r="C390" s="31">
        <v>4301031402</v>
      </c>
      <c r="D390" s="547">
        <v>4680115886124</v>
      </c>
      <c r="E390" s="548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0" s="550"/>
      <c r="R390" s="550"/>
      <c r="S390" s="550"/>
      <c r="T390" s="551"/>
      <c r="U390" s="34"/>
      <c r="V390" s="34"/>
      <c r="W390" s="35" t="s">
        <v>68</v>
      </c>
      <c r="X390" s="543">
        <v>0</v>
      </c>
      <c r="Y390" s="544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customHeight="1" x14ac:dyDescent="0.25">
      <c r="A391" s="54" t="s">
        <v>599</v>
      </c>
      <c r="B391" s="54" t="s">
        <v>600</v>
      </c>
      <c r="C391" s="31">
        <v>4301031366</v>
      </c>
      <c r="D391" s="547">
        <v>4680115883147</v>
      </c>
      <c r="E391" s="548"/>
      <c r="F391" s="542">
        <v>0.28000000000000003</v>
      </c>
      <c r="G391" s="32">
        <v>6</v>
      </c>
      <c r="H391" s="542">
        <v>1.68</v>
      </c>
      <c r="I391" s="542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56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1" s="550"/>
      <c r="R391" s="550"/>
      <c r="S391" s="550"/>
      <c r="T391" s="551"/>
      <c r="U391" s="34"/>
      <c r="V391" s="34"/>
      <c r="W391" s="35" t="s">
        <v>68</v>
      </c>
      <c r="X391" s="543">
        <v>0</v>
      </c>
      <c r="Y391" s="544">
        <f t="shared" si="37"/>
        <v>0</v>
      </c>
      <c r="Z391" s="36" t="str">
        <f t="shared" ref="Z391:Z396" si="42">IFERROR(IF(Y391=0,"",ROUNDUP(Y391/H391,0)*0.00502),"")</f>
        <v/>
      </c>
      <c r="AA391" s="56"/>
      <c r="AB391" s="57"/>
      <c r="AC391" s="431" t="s">
        <v>591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601</v>
      </c>
      <c r="B392" s="54" t="s">
        <v>602</v>
      </c>
      <c r="C392" s="31">
        <v>4301031362</v>
      </c>
      <c r="D392" s="547">
        <v>4607091384338</v>
      </c>
      <c r="E392" s="548"/>
      <c r="F392" s="542">
        <v>0.35</v>
      </c>
      <c r="G392" s="32">
        <v>6</v>
      </c>
      <c r="H392" s="542">
        <v>2.1</v>
      </c>
      <c r="I392" s="542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550"/>
      <c r="R392" s="550"/>
      <c r="S392" s="550"/>
      <c r="T392" s="551"/>
      <c r="U392" s="34"/>
      <c r="V392" s="34"/>
      <c r="W392" s="35" t="s">
        <v>68</v>
      </c>
      <c r="X392" s="543">
        <v>49</v>
      </c>
      <c r="Y392" s="544">
        <f t="shared" si="37"/>
        <v>50.400000000000006</v>
      </c>
      <c r="Z392" s="36">
        <f t="shared" si="42"/>
        <v>0.12048</v>
      </c>
      <c r="AA392" s="56"/>
      <c r="AB392" s="57"/>
      <c r="AC392" s="433" t="s">
        <v>591</v>
      </c>
      <c r="AG392" s="64"/>
      <c r="AJ392" s="68"/>
      <c r="AK392" s="68">
        <v>0</v>
      </c>
      <c r="BB392" s="434" t="s">
        <v>1</v>
      </c>
      <c r="BM392" s="64">
        <f t="shared" si="38"/>
        <v>52.033333333333331</v>
      </c>
      <c r="BN392" s="64">
        <f t="shared" si="39"/>
        <v>53.52</v>
      </c>
      <c r="BO392" s="64">
        <f t="shared" si="40"/>
        <v>9.9715099715099717E-2</v>
      </c>
      <c r="BP392" s="64">
        <f t="shared" si="41"/>
        <v>0.10256410256410257</v>
      </c>
    </row>
    <row r="393" spans="1:68" ht="37.5" customHeight="1" x14ac:dyDescent="0.25">
      <c r="A393" s="54" t="s">
        <v>603</v>
      </c>
      <c r="B393" s="54" t="s">
        <v>604</v>
      </c>
      <c r="C393" s="31">
        <v>4301031361</v>
      </c>
      <c r="D393" s="547">
        <v>4607091389524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50"/>
      <c r="R393" s="550"/>
      <c r="S393" s="550"/>
      <c r="T393" s="551"/>
      <c r="U393" s="34"/>
      <c r="V393" s="34"/>
      <c r="W393" s="35" t="s">
        <v>68</v>
      </c>
      <c r="X393" s="543">
        <v>35</v>
      </c>
      <c r="Y393" s="544">
        <f t="shared" si="37"/>
        <v>35.700000000000003</v>
      </c>
      <c r="Z393" s="36">
        <f t="shared" si="42"/>
        <v>8.5339999999999999E-2</v>
      </c>
      <c r="AA393" s="56"/>
      <c r="AB393" s="57"/>
      <c r="AC393" s="435" t="s">
        <v>605</v>
      </c>
      <c r="AG393" s="64"/>
      <c r="AJ393" s="68"/>
      <c r="AK393" s="68">
        <v>0</v>
      </c>
      <c r="BB393" s="436" t="s">
        <v>1</v>
      </c>
      <c r="BM393" s="64">
        <f t="shared" si="38"/>
        <v>37.166666666666664</v>
      </c>
      <c r="BN393" s="64">
        <f t="shared" si="39"/>
        <v>37.910000000000004</v>
      </c>
      <c r="BO393" s="64">
        <f t="shared" si="40"/>
        <v>7.1225071225071226E-2</v>
      </c>
      <c r="BP393" s="64">
        <f t="shared" si="41"/>
        <v>7.2649572649572655E-2</v>
      </c>
    </row>
    <row r="394" spans="1:68" ht="27" customHeight="1" x14ac:dyDescent="0.25">
      <c r="A394" s="54" t="s">
        <v>606</v>
      </c>
      <c r="B394" s="54" t="s">
        <v>607</v>
      </c>
      <c r="C394" s="31">
        <v>4301031364</v>
      </c>
      <c r="D394" s="547">
        <v>4680115883161</v>
      </c>
      <c r="E394" s="548"/>
      <c r="F394" s="542">
        <v>0.28000000000000003</v>
      </c>
      <c r="G394" s="32">
        <v>6</v>
      </c>
      <c r="H394" s="542">
        <v>1.68</v>
      </c>
      <c r="I394" s="542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50"/>
      <c r="R394" s="550"/>
      <c r="S394" s="550"/>
      <c r="T394" s="551"/>
      <c r="U394" s="34"/>
      <c r="V394" s="34"/>
      <c r="W394" s="35" t="s">
        <v>68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4301031358</v>
      </c>
      <c r="D395" s="547">
        <v>4607091389531</v>
      </c>
      <c r="E395" s="548"/>
      <c r="F395" s="542">
        <v>0.35</v>
      </c>
      <c r="G395" s="32">
        <v>6</v>
      </c>
      <c r="H395" s="542">
        <v>2.1</v>
      </c>
      <c r="I395" s="542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50"/>
      <c r="R395" s="550"/>
      <c r="S395" s="550"/>
      <c r="T395" s="551"/>
      <c r="U395" s="34"/>
      <c r="V395" s="34"/>
      <c r="W395" s="35" t="s">
        <v>68</v>
      </c>
      <c r="X395" s="543">
        <v>52.5</v>
      </c>
      <c r="Y395" s="544">
        <f t="shared" si="37"/>
        <v>52.5</v>
      </c>
      <c r="Z395" s="36">
        <f t="shared" si="42"/>
        <v>0.1255</v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38"/>
        <v>55.75</v>
      </c>
      <c r="BN395" s="64">
        <f t="shared" si="39"/>
        <v>55.75</v>
      </c>
      <c r="BO395" s="64">
        <f t="shared" si="40"/>
        <v>0.10683760683760685</v>
      </c>
      <c r="BP395" s="64">
        <f t="shared" si="41"/>
        <v>0.10683760683760685</v>
      </c>
    </row>
    <row r="396" spans="1:68" ht="37.5" customHeight="1" x14ac:dyDescent="0.25">
      <c r="A396" s="54" t="s">
        <v>612</v>
      </c>
      <c r="B396" s="54" t="s">
        <v>613</v>
      </c>
      <c r="C396" s="31">
        <v>4301031360</v>
      </c>
      <c r="D396" s="547">
        <v>4607091384345</v>
      </c>
      <c r="E396" s="548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50"/>
      <c r="R396" s="550"/>
      <c r="S396" s="550"/>
      <c r="T396" s="551"/>
      <c r="U396" s="34"/>
      <c r="V396" s="34"/>
      <c r="W396" s="35" t="s">
        <v>68</v>
      </c>
      <c r="X396" s="543">
        <v>0</v>
      </c>
      <c r="Y396" s="544">
        <f t="shared" si="37"/>
        <v>0</v>
      </c>
      <c r="Z396" s="36" t="str">
        <f t="shared" si="42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x14ac:dyDescent="0.2">
      <c r="A397" s="569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70"/>
      <c r="P397" s="557" t="s">
        <v>70</v>
      </c>
      <c r="Q397" s="558"/>
      <c r="R397" s="558"/>
      <c r="S397" s="558"/>
      <c r="T397" s="558"/>
      <c r="U397" s="558"/>
      <c r="V397" s="559"/>
      <c r="W397" s="37" t="s">
        <v>71</v>
      </c>
      <c r="X397" s="545">
        <f>IFERROR(X387/H387,"0")+IFERROR(X388/H388,"0")+IFERROR(X389/H389,"0")+IFERROR(X390/H390,"0")+IFERROR(X391/H391,"0")+IFERROR(X392/H392,"0")+IFERROR(X393/H393,"0")+IFERROR(X394/H394,"0")+IFERROR(X395/H395,"0")+IFERROR(X396/H396,"0")</f>
        <v>65</v>
      </c>
      <c r="Y397" s="545">
        <f>IFERROR(Y387/H387,"0")+IFERROR(Y388/H388,"0")+IFERROR(Y389/H389,"0")+IFERROR(Y390/H390,"0")+IFERROR(Y391/H391,"0")+IFERROR(Y392/H392,"0")+IFERROR(Y393/H393,"0")+IFERROR(Y394/H394,"0")+IFERROR(Y395/H395,"0")+IFERROR(Y396/H396,"0")</f>
        <v>66</v>
      </c>
      <c r="Z397" s="545">
        <f>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0.33132</v>
      </c>
      <c r="AA397" s="546"/>
      <c r="AB397" s="546"/>
      <c r="AC397" s="546"/>
    </row>
    <row r="398" spans="1:68" x14ac:dyDescent="0.2">
      <c r="A398" s="556"/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70"/>
      <c r="P398" s="557" t="s">
        <v>70</v>
      </c>
      <c r="Q398" s="558"/>
      <c r="R398" s="558"/>
      <c r="S398" s="558"/>
      <c r="T398" s="558"/>
      <c r="U398" s="558"/>
      <c r="V398" s="559"/>
      <c r="W398" s="37" t="s">
        <v>68</v>
      </c>
      <c r="X398" s="545">
        <f>IFERROR(SUM(X387:X396),"0")</f>
        <v>136.5</v>
      </c>
      <c r="Y398" s="545">
        <f>IFERROR(SUM(Y387:Y396),"0")</f>
        <v>138.60000000000002</v>
      </c>
      <c r="Z398" s="37"/>
      <c r="AA398" s="546"/>
      <c r="AB398" s="546"/>
      <c r="AC398" s="546"/>
    </row>
    <row r="399" spans="1:68" ht="14.25" customHeight="1" x14ac:dyDescent="0.25">
      <c r="A399" s="555" t="s">
        <v>72</v>
      </c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56"/>
      <c r="P399" s="556"/>
      <c r="Q399" s="556"/>
      <c r="R399" s="556"/>
      <c r="S399" s="556"/>
      <c r="T399" s="556"/>
      <c r="U399" s="556"/>
      <c r="V399" s="556"/>
      <c r="W399" s="556"/>
      <c r="X399" s="556"/>
      <c r="Y399" s="556"/>
      <c r="Z399" s="556"/>
      <c r="AA399" s="539"/>
      <c r="AB399" s="539"/>
      <c r="AC399" s="539"/>
    </row>
    <row r="400" spans="1:68" ht="27" customHeight="1" x14ac:dyDescent="0.25">
      <c r="A400" s="54" t="s">
        <v>614</v>
      </c>
      <c r="B400" s="54" t="s">
        <v>615</v>
      </c>
      <c r="C400" s="31">
        <v>4301051284</v>
      </c>
      <c r="D400" s="547">
        <v>4607091384352</v>
      </c>
      <c r="E400" s="548"/>
      <c r="F400" s="542">
        <v>0.6</v>
      </c>
      <c r="G400" s="32">
        <v>4</v>
      </c>
      <c r="H400" s="542">
        <v>2.4</v>
      </c>
      <c r="I400" s="542">
        <v>2.6459999999999999</v>
      </c>
      <c r="J400" s="32">
        <v>132</v>
      </c>
      <c r="K400" s="32" t="s">
        <v>106</v>
      </c>
      <c r="L400" s="32"/>
      <c r="M400" s="33" t="s">
        <v>76</v>
      </c>
      <c r="N400" s="33"/>
      <c r="O400" s="32">
        <v>45</v>
      </c>
      <c r="P400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50"/>
      <c r="R400" s="550"/>
      <c r="S400" s="550"/>
      <c r="T400" s="551"/>
      <c r="U400" s="34"/>
      <c r="V400" s="34"/>
      <c r="W400" s="35" t="s">
        <v>68</v>
      </c>
      <c r="X400" s="543">
        <v>0</v>
      </c>
      <c r="Y400" s="544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616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617</v>
      </c>
      <c r="B401" s="54" t="s">
        <v>618</v>
      </c>
      <c r="C401" s="31">
        <v>4301051431</v>
      </c>
      <c r="D401" s="547">
        <v>4607091389654</v>
      </c>
      <c r="E401" s="548"/>
      <c r="F401" s="542">
        <v>0.33</v>
      </c>
      <c r="G401" s="32">
        <v>6</v>
      </c>
      <c r="H401" s="542">
        <v>1.98</v>
      </c>
      <c r="I401" s="542">
        <v>2.238</v>
      </c>
      <c r="J401" s="32">
        <v>182</v>
      </c>
      <c r="K401" s="32" t="s">
        <v>75</v>
      </c>
      <c r="L401" s="32"/>
      <c r="M401" s="33" t="s">
        <v>76</v>
      </c>
      <c r="N401" s="33"/>
      <c r="O401" s="32">
        <v>45</v>
      </c>
      <c r="P401" s="6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50"/>
      <c r="R401" s="550"/>
      <c r="S401" s="550"/>
      <c r="T401" s="551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569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70"/>
      <c r="P402" s="557" t="s">
        <v>70</v>
      </c>
      <c r="Q402" s="558"/>
      <c r="R402" s="558"/>
      <c r="S402" s="558"/>
      <c r="T402" s="558"/>
      <c r="U402" s="558"/>
      <c r="V402" s="559"/>
      <c r="W402" s="37" t="s">
        <v>71</v>
      </c>
      <c r="X402" s="545">
        <f>IFERROR(X400/H400,"0")+IFERROR(X401/H401,"0")</f>
        <v>0</v>
      </c>
      <c r="Y402" s="545">
        <f>IFERROR(Y400/H400,"0")+IFERROR(Y401/H401,"0")</f>
        <v>0</v>
      </c>
      <c r="Z402" s="545">
        <f>IFERROR(IF(Z400="",0,Z400),"0")+IFERROR(IF(Z401="",0,Z401),"0")</f>
        <v>0</v>
      </c>
      <c r="AA402" s="546"/>
      <c r="AB402" s="546"/>
      <c r="AC402" s="546"/>
    </row>
    <row r="403" spans="1:68" x14ac:dyDescent="0.2">
      <c r="A403" s="556"/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70"/>
      <c r="P403" s="557" t="s">
        <v>70</v>
      </c>
      <c r="Q403" s="558"/>
      <c r="R403" s="558"/>
      <c r="S403" s="558"/>
      <c r="T403" s="558"/>
      <c r="U403" s="558"/>
      <c r="V403" s="559"/>
      <c r="W403" s="37" t="s">
        <v>68</v>
      </c>
      <c r="X403" s="545">
        <f>IFERROR(SUM(X400:X401),"0")</f>
        <v>0</v>
      </c>
      <c r="Y403" s="545">
        <f>IFERROR(SUM(Y400:Y401),"0")</f>
        <v>0</v>
      </c>
      <c r="Z403" s="37"/>
      <c r="AA403" s="546"/>
      <c r="AB403" s="546"/>
      <c r="AC403" s="546"/>
    </row>
    <row r="404" spans="1:68" ht="16.5" customHeight="1" x14ac:dyDescent="0.25">
      <c r="A404" s="562" t="s">
        <v>620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38"/>
      <c r="AB404" s="538"/>
      <c r="AC404" s="538"/>
    </row>
    <row r="405" spans="1:68" ht="14.25" customHeight="1" x14ac:dyDescent="0.25">
      <c r="A405" s="555" t="s">
        <v>130</v>
      </c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56"/>
      <c r="P405" s="556"/>
      <c r="Q405" s="556"/>
      <c r="R405" s="556"/>
      <c r="S405" s="556"/>
      <c r="T405" s="556"/>
      <c r="U405" s="556"/>
      <c r="V405" s="556"/>
      <c r="W405" s="556"/>
      <c r="X405" s="556"/>
      <c r="Y405" s="556"/>
      <c r="Z405" s="556"/>
      <c r="AA405" s="539"/>
      <c r="AB405" s="539"/>
      <c r="AC405" s="539"/>
    </row>
    <row r="406" spans="1:68" ht="27" customHeight="1" x14ac:dyDescent="0.25">
      <c r="A406" s="54" t="s">
        <v>621</v>
      </c>
      <c r="B406" s="54" t="s">
        <v>622</v>
      </c>
      <c r="C406" s="31">
        <v>4301020319</v>
      </c>
      <c r="D406" s="547">
        <v>4680115885240</v>
      </c>
      <c r="E406" s="548"/>
      <c r="F406" s="542">
        <v>0.35</v>
      </c>
      <c r="G406" s="32">
        <v>6</v>
      </c>
      <c r="H406" s="542">
        <v>2.1</v>
      </c>
      <c r="I406" s="542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8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50"/>
      <c r="R406" s="550"/>
      <c r="S406" s="550"/>
      <c r="T406" s="551"/>
      <c r="U406" s="34"/>
      <c r="V406" s="34"/>
      <c r="W406" s="35" t="s">
        <v>68</v>
      </c>
      <c r="X406" s="543">
        <v>0</v>
      </c>
      <c r="Y406" s="544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623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69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70"/>
      <c r="P407" s="557" t="s">
        <v>70</v>
      </c>
      <c r="Q407" s="558"/>
      <c r="R407" s="558"/>
      <c r="S407" s="558"/>
      <c r="T407" s="558"/>
      <c r="U407" s="558"/>
      <c r="V407" s="559"/>
      <c r="W407" s="37" t="s">
        <v>71</v>
      </c>
      <c r="X407" s="545">
        <f>IFERROR(X406/H406,"0")</f>
        <v>0</v>
      </c>
      <c r="Y407" s="545">
        <f>IFERROR(Y406/H406,"0")</f>
        <v>0</v>
      </c>
      <c r="Z407" s="545">
        <f>IFERROR(IF(Z406="",0,Z406),"0")</f>
        <v>0</v>
      </c>
      <c r="AA407" s="546"/>
      <c r="AB407" s="546"/>
      <c r="AC407" s="546"/>
    </row>
    <row r="408" spans="1:68" x14ac:dyDescent="0.2">
      <c r="A408" s="556"/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70"/>
      <c r="P408" s="557" t="s">
        <v>70</v>
      </c>
      <c r="Q408" s="558"/>
      <c r="R408" s="558"/>
      <c r="S408" s="558"/>
      <c r="T408" s="558"/>
      <c r="U408" s="558"/>
      <c r="V408" s="559"/>
      <c r="W408" s="37" t="s">
        <v>68</v>
      </c>
      <c r="X408" s="545">
        <f>IFERROR(SUM(X406:X406),"0")</f>
        <v>0</v>
      </c>
      <c r="Y408" s="545">
        <f>IFERROR(SUM(Y406:Y406),"0")</f>
        <v>0</v>
      </c>
      <c r="Z408" s="37"/>
      <c r="AA408" s="546"/>
      <c r="AB408" s="546"/>
      <c r="AC408" s="546"/>
    </row>
    <row r="409" spans="1:68" ht="14.25" customHeight="1" x14ac:dyDescent="0.25">
      <c r="A409" s="555" t="s">
        <v>63</v>
      </c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56"/>
      <c r="P409" s="556"/>
      <c r="Q409" s="556"/>
      <c r="R409" s="556"/>
      <c r="S409" s="556"/>
      <c r="T409" s="556"/>
      <c r="U409" s="556"/>
      <c r="V409" s="556"/>
      <c r="W409" s="556"/>
      <c r="X409" s="556"/>
      <c r="Y409" s="556"/>
      <c r="Z409" s="556"/>
      <c r="AA409" s="539"/>
      <c r="AB409" s="539"/>
      <c r="AC409" s="539"/>
    </row>
    <row r="410" spans="1:68" ht="27" customHeight="1" x14ac:dyDescent="0.25">
      <c r="A410" s="54" t="s">
        <v>624</v>
      </c>
      <c r="B410" s="54" t="s">
        <v>625</v>
      </c>
      <c r="C410" s="31">
        <v>4301031403</v>
      </c>
      <c r="D410" s="547">
        <v>4680115886094</v>
      </c>
      <c r="E410" s="548"/>
      <c r="F410" s="542">
        <v>0.9</v>
      </c>
      <c r="G410" s="32">
        <v>6</v>
      </c>
      <c r="H410" s="542">
        <v>5.4</v>
      </c>
      <c r="I410" s="542">
        <v>5.61</v>
      </c>
      <c r="J410" s="32">
        <v>132</v>
      </c>
      <c r="K410" s="32" t="s">
        <v>106</v>
      </c>
      <c r="L410" s="32"/>
      <c r="M410" s="33" t="s">
        <v>102</v>
      </c>
      <c r="N410" s="33"/>
      <c r="O410" s="32">
        <v>50</v>
      </c>
      <c r="P410" s="8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50"/>
      <c r="R410" s="550"/>
      <c r="S410" s="550"/>
      <c r="T410" s="551"/>
      <c r="U410" s="34"/>
      <c r="V410" s="34"/>
      <c r="W410" s="35" t="s">
        <v>68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626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627</v>
      </c>
      <c r="B411" s="54" t="s">
        <v>628</v>
      </c>
      <c r="C411" s="31">
        <v>4301031363</v>
      </c>
      <c r="D411" s="547">
        <v>4607091389425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7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50"/>
      <c r="R411" s="550"/>
      <c r="S411" s="550"/>
      <c r="T411" s="551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630</v>
      </c>
      <c r="B412" s="54" t="s">
        <v>631</v>
      </c>
      <c r="C412" s="31">
        <v>4301031373</v>
      </c>
      <c r="D412" s="547">
        <v>4680115880771</v>
      </c>
      <c r="E412" s="548"/>
      <c r="F412" s="542">
        <v>0.28000000000000003</v>
      </c>
      <c r="G412" s="32">
        <v>6</v>
      </c>
      <c r="H412" s="542">
        <v>1.68</v>
      </c>
      <c r="I412" s="542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50"/>
      <c r="R412" s="550"/>
      <c r="S412" s="550"/>
      <c r="T412" s="551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633</v>
      </c>
      <c r="B413" s="54" t="s">
        <v>634</v>
      </c>
      <c r="C413" s="31">
        <v>4301031359</v>
      </c>
      <c r="D413" s="547">
        <v>4607091389500</v>
      </c>
      <c r="E413" s="548"/>
      <c r="F413" s="542">
        <v>0.35</v>
      </c>
      <c r="G413" s="32">
        <v>6</v>
      </c>
      <c r="H413" s="542">
        <v>2.1</v>
      </c>
      <c r="I413" s="542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50"/>
      <c r="R413" s="550"/>
      <c r="S413" s="550"/>
      <c r="T413" s="551"/>
      <c r="U413" s="34"/>
      <c r="V413" s="34"/>
      <c r="W413" s="35" t="s">
        <v>68</v>
      </c>
      <c r="X413" s="543">
        <v>7</v>
      </c>
      <c r="Y413" s="544">
        <f>IFERROR(IF(X413="",0,CEILING((X413/$H413),1)*$H413),"")</f>
        <v>8.4</v>
      </c>
      <c r="Z413" s="36">
        <f>IFERROR(IF(Y413=0,"",ROUNDUP(Y413/H413,0)*0.00502),"")</f>
        <v>2.0080000000000001E-2</v>
      </c>
      <c r="AA413" s="56"/>
      <c r="AB413" s="57"/>
      <c r="AC413" s="455" t="s">
        <v>632</v>
      </c>
      <c r="AG413" s="64"/>
      <c r="AJ413" s="68"/>
      <c r="AK413" s="68">
        <v>0</v>
      </c>
      <c r="BB413" s="456" t="s">
        <v>1</v>
      </c>
      <c r="BM413" s="64">
        <f>IFERROR(X413*I413/H413,"0")</f>
        <v>7.4333333333333327</v>
      </c>
      <c r="BN413" s="64">
        <f>IFERROR(Y413*I413/H413,"0")</f>
        <v>8.92</v>
      </c>
      <c r="BO413" s="64">
        <f>IFERROR(1/J413*(X413/H413),"0")</f>
        <v>1.4245014245014245E-2</v>
      </c>
      <c r="BP413" s="64">
        <f>IFERROR(1/J413*(Y413/H413),"0")</f>
        <v>1.7094017094017096E-2</v>
      </c>
    </row>
    <row r="414" spans="1:68" x14ac:dyDescent="0.2">
      <c r="A414" s="569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70"/>
      <c r="P414" s="557" t="s">
        <v>70</v>
      </c>
      <c r="Q414" s="558"/>
      <c r="R414" s="558"/>
      <c r="S414" s="558"/>
      <c r="T414" s="558"/>
      <c r="U414" s="558"/>
      <c r="V414" s="559"/>
      <c r="W414" s="37" t="s">
        <v>71</v>
      </c>
      <c r="X414" s="545">
        <f>IFERROR(X410/H410,"0")+IFERROR(X411/H411,"0")+IFERROR(X412/H412,"0")+IFERROR(X413/H413,"0")</f>
        <v>3.333333333333333</v>
      </c>
      <c r="Y414" s="545">
        <f>IFERROR(Y410/H410,"0")+IFERROR(Y411/H411,"0")+IFERROR(Y412/H412,"0")+IFERROR(Y413/H413,"0")</f>
        <v>4</v>
      </c>
      <c r="Z414" s="545">
        <f>IFERROR(IF(Z410="",0,Z410),"0")+IFERROR(IF(Z411="",0,Z411),"0")+IFERROR(IF(Z412="",0,Z412),"0")+IFERROR(IF(Z413="",0,Z413),"0")</f>
        <v>2.0080000000000001E-2</v>
      </c>
      <c r="AA414" s="546"/>
      <c r="AB414" s="546"/>
      <c r="AC414" s="546"/>
    </row>
    <row r="415" spans="1:68" x14ac:dyDescent="0.2">
      <c r="A415" s="556"/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70"/>
      <c r="P415" s="557" t="s">
        <v>70</v>
      </c>
      <c r="Q415" s="558"/>
      <c r="R415" s="558"/>
      <c r="S415" s="558"/>
      <c r="T415" s="558"/>
      <c r="U415" s="558"/>
      <c r="V415" s="559"/>
      <c r="W415" s="37" t="s">
        <v>68</v>
      </c>
      <c r="X415" s="545">
        <f>IFERROR(SUM(X410:X413),"0")</f>
        <v>7</v>
      </c>
      <c r="Y415" s="545">
        <f>IFERROR(SUM(Y410:Y413),"0")</f>
        <v>8.4</v>
      </c>
      <c r="Z415" s="37"/>
      <c r="AA415" s="546"/>
      <c r="AB415" s="546"/>
      <c r="AC415" s="546"/>
    </row>
    <row r="416" spans="1:68" ht="16.5" customHeight="1" x14ac:dyDescent="0.25">
      <c r="A416" s="562" t="s">
        <v>635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38"/>
      <c r="AB416" s="538"/>
      <c r="AC416" s="538"/>
    </row>
    <row r="417" spans="1:68" ht="14.25" customHeight="1" x14ac:dyDescent="0.25">
      <c r="A417" s="555" t="s">
        <v>63</v>
      </c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56"/>
      <c r="P417" s="556"/>
      <c r="Q417" s="556"/>
      <c r="R417" s="556"/>
      <c r="S417" s="556"/>
      <c r="T417" s="556"/>
      <c r="U417" s="556"/>
      <c r="V417" s="556"/>
      <c r="W417" s="556"/>
      <c r="X417" s="556"/>
      <c r="Y417" s="556"/>
      <c r="Z417" s="556"/>
      <c r="AA417" s="539"/>
      <c r="AB417" s="539"/>
      <c r="AC417" s="539"/>
    </row>
    <row r="418" spans="1:68" ht="27" customHeight="1" x14ac:dyDescent="0.25">
      <c r="A418" s="54" t="s">
        <v>636</v>
      </c>
      <c r="B418" s="54" t="s">
        <v>637</v>
      </c>
      <c r="C418" s="31">
        <v>4301031347</v>
      </c>
      <c r="D418" s="547">
        <v>4680115885110</v>
      </c>
      <c r="E418" s="548"/>
      <c r="F418" s="542">
        <v>0.2</v>
      </c>
      <c r="G418" s="32">
        <v>6</v>
      </c>
      <c r="H418" s="542">
        <v>1.2</v>
      </c>
      <c r="I418" s="542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2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50"/>
      <c r="R418" s="550"/>
      <c r="S418" s="550"/>
      <c r="T418" s="551"/>
      <c r="U418" s="34"/>
      <c r="V418" s="34"/>
      <c r="W418" s="35" t="s">
        <v>68</v>
      </c>
      <c r="X418" s="543">
        <v>20</v>
      </c>
      <c r="Y418" s="544">
        <f>IFERROR(IF(X418="",0,CEILING((X418/$H418),1)*$H418),"")</f>
        <v>20.399999999999999</v>
      </c>
      <c r="Z418" s="36">
        <f>IFERROR(IF(Y418=0,"",ROUNDUP(Y418/H418,0)*0.00651),"")</f>
        <v>0.11067</v>
      </c>
      <c r="AA418" s="56"/>
      <c r="AB418" s="57"/>
      <c r="AC418" s="457" t="s">
        <v>638</v>
      </c>
      <c r="AG418" s="64"/>
      <c r="AJ418" s="68"/>
      <c r="AK418" s="68">
        <v>0</v>
      </c>
      <c r="BB418" s="458" t="s">
        <v>1</v>
      </c>
      <c r="BM418" s="64">
        <f>IFERROR(X418*I418/H418,"0")</f>
        <v>35</v>
      </c>
      <c r="BN418" s="64">
        <f>IFERROR(Y418*I418/H418,"0")</f>
        <v>35.699999999999996</v>
      </c>
      <c r="BO418" s="64">
        <f>IFERROR(1/J418*(X418/H418),"0")</f>
        <v>9.1575091575091583E-2</v>
      </c>
      <c r="BP418" s="64">
        <f>IFERROR(1/J418*(Y418/H418),"0")</f>
        <v>9.3406593406593408E-2</v>
      </c>
    </row>
    <row r="419" spans="1:68" x14ac:dyDescent="0.2">
      <c r="A419" s="569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70"/>
      <c r="P419" s="557" t="s">
        <v>70</v>
      </c>
      <c r="Q419" s="558"/>
      <c r="R419" s="558"/>
      <c r="S419" s="558"/>
      <c r="T419" s="558"/>
      <c r="U419" s="558"/>
      <c r="V419" s="559"/>
      <c r="W419" s="37" t="s">
        <v>71</v>
      </c>
      <c r="X419" s="545">
        <f>IFERROR(X418/H418,"0")</f>
        <v>16.666666666666668</v>
      </c>
      <c r="Y419" s="545">
        <f>IFERROR(Y418/H418,"0")</f>
        <v>17</v>
      </c>
      <c r="Z419" s="545">
        <f>IFERROR(IF(Z418="",0,Z418),"0")</f>
        <v>0.11067</v>
      </c>
      <c r="AA419" s="546"/>
      <c r="AB419" s="546"/>
      <c r="AC419" s="546"/>
    </row>
    <row r="420" spans="1:68" x14ac:dyDescent="0.2">
      <c r="A420" s="556"/>
      <c r="B420" s="556"/>
      <c r="C420" s="556"/>
      <c r="D420" s="556"/>
      <c r="E420" s="556"/>
      <c r="F420" s="556"/>
      <c r="G420" s="556"/>
      <c r="H420" s="556"/>
      <c r="I420" s="556"/>
      <c r="J420" s="556"/>
      <c r="K420" s="556"/>
      <c r="L420" s="556"/>
      <c r="M420" s="556"/>
      <c r="N420" s="556"/>
      <c r="O420" s="570"/>
      <c r="P420" s="557" t="s">
        <v>70</v>
      </c>
      <c r="Q420" s="558"/>
      <c r="R420" s="558"/>
      <c r="S420" s="558"/>
      <c r="T420" s="558"/>
      <c r="U420" s="558"/>
      <c r="V420" s="559"/>
      <c r="W420" s="37" t="s">
        <v>68</v>
      </c>
      <c r="X420" s="545">
        <f>IFERROR(SUM(X418:X418),"0")</f>
        <v>20</v>
      </c>
      <c r="Y420" s="545">
        <f>IFERROR(SUM(Y418:Y418),"0")</f>
        <v>20.399999999999999</v>
      </c>
      <c r="Z420" s="37"/>
      <c r="AA420" s="546"/>
      <c r="AB420" s="546"/>
      <c r="AC420" s="546"/>
    </row>
    <row r="421" spans="1:68" ht="16.5" customHeight="1" x14ac:dyDescent="0.25">
      <c r="A421" s="562" t="s">
        <v>639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38"/>
      <c r="AB421" s="538"/>
      <c r="AC421" s="538"/>
    </row>
    <row r="422" spans="1:68" ht="14.25" customHeight="1" x14ac:dyDescent="0.25">
      <c r="A422" s="555" t="s">
        <v>63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39"/>
      <c r="AB422" s="539"/>
      <c r="AC422" s="539"/>
    </row>
    <row r="423" spans="1:68" ht="27" customHeight="1" x14ac:dyDescent="0.25">
      <c r="A423" s="54" t="s">
        <v>640</v>
      </c>
      <c r="B423" s="54" t="s">
        <v>641</v>
      </c>
      <c r="C423" s="31">
        <v>4301031261</v>
      </c>
      <c r="D423" s="547">
        <v>4680115885103</v>
      </c>
      <c r="E423" s="548"/>
      <c r="F423" s="542">
        <v>0.27</v>
      </c>
      <c r="G423" s="32">
        <v>6</v>
      </c>
      <c r="H423" s="542">
        <v>1.62</v>
      </c>
      <c r="I423" s="542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50"/>
      <c r="R423" s="550"/>
      <c r="S423" s="550"/>
      <c r="T423" s="551"/>
      <c r="U423" s="34"/>
      <c r="V423" s="34"/>
      <c r="W423" s="35" t="s">
        <v>68</v>
      </c>
      <c r="X423" s="543">
        <v>0</v>
      </c>
      <c r="Y423" s="544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642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69"/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70"/>
      <c r="P424" s="557" t="s">
        <v>70</v>
      </c>
      <c r="Q424" s="558"/>
      <c r="R424" s="558"/>
      <c r="S424" s="558"/>
      <c r="T424" s="558"/>
      <c r="U424" s="558"/>
      <c r="V424" s="559"/>
      <c r="W424" s="37" t="s">
        <v>71</v>
      </c>
      <c r="X424" s="545">
        <f>IFERROR(X423/H423,"0")</f>
        <v>0</v>
      </c>
      <c r="Y424" s="545">
        <f>IFERROR(Y423/H423,"0")</f>
        <v>0</v>
      </c>
      <c r="Z424" s="545">
        <f>IFERROR(IF(Z423="",0,Z423),"0")</f>
        <v>0</v>
      </c>
      <c r="AA424" s="546"/>
      <c r="AB424" s="546"/>
      <c r="AC424" s="546"/>
    </row>
    <row r="425" spans="1:68" x14ac:dyDescent="0.2">
      <c r="A425" s="556"/>
      <c r="B425" s="556"/>
      <c r="C425" s="556"/>
      <c r="D425" s="556"/>
      <c r="E425" s="556"/>
      <c r="F425" s="556"/>
      <c r="G425" s="556"/>
      <c r="H425" s="556"/>
      <c r="I425" s="556"/>
      <c r="J425" s="556"/>
      <c r="K425" s="556"/>
      <c r="L425" s="556"/>
      <c r="M425" s="556"/>
      <c r="N425" s="556"/>
      <c r="O425" s="570"/>
      <c r="P425" s="557" t="s">
        <v>70</v>
      </c>
      <c r="Q425" s="558"/>
      <c r="R425" s="558"/>
      <c r="S425" s="558"/>
      <c r="T425" s="558"/>
      <c r="U425" s="558"/>
      <c r="V425" s="559"/>
      <c r="W425" s="37" t="s">
        <v>68</v>
      </c>
      <c r="X425" s="545">
        <f>IFERROR(SUM(X423:X423),"0")</f>
        <v>0</v>
      </c>
      <c r="Y425" s="545">
        <f>IFERROR(SUM(Y423:Y423),"0")</f>
        <v>0</v>
      </c>
      <c r="Z425" s="37"/>
      <c r="AA425" s="546"/>
      <c r="AB425" s="546"/>
      <c r="AC425" s="546"/>
    </row>
    <row r="426" spans="1:68" ht="27.75" customHeight="1" x14ac:dyDescent="0.2">
      <c r="A426" s="606" t="s">
        <v>643</v>
      </c>
      <c r="B426" s="607"/>
      <c r="C426" s="607"/>
      <c r="D426" s="607"/>
      <c r="E426" s="607"/>
      <c r="F426" s="607"/>
      <c r="G426" s="607"/>
      <c r="H426" s="607"/>
      <c r="I426" s="607"/>
      <c r="J426" s="607"/>
      <c r="K426" s="607"/>
      <c r="L426" s="607"/>
      <c r="M426" s="607"/>
      <c r="N426" s="607"/>
      <c r="O426" s="607"/>
      <c r="P426" s="607"/>
      <c r="Q426" s="607"/>
      <c r="R426" s="607"/>
      <c r="S426" s="607"/>
      <c r="T426" s="607"/>
      <c r="U426" s="607"/>
      <c r="V426" s="607"/>
      <c r="W426" s="607"/>
      <c r="X426" s="607"/>
      <c r="Y426" s="607"/>
      <c r="Z426" s="607"/>
      <c r="AA426" s="48"/>
      <c r="AB426" s="48"/>
      <c r="AC426" s="48"/>
    </row>
    <row r="427" spans="1:68" ht="16.5" customHeight="1" x14ac:dyDescent="0.25">
      <c r="A427" s="562" t="s">
        <v>643</v>
      </c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56"/>
      <c r="P427" s="556"/>
      <c r="Q427" s="556"/>
      <c r="R427" s="556"/>
      <c r="S427" s="556"/>
      <c r="T427" s="556"/>
      <c r="U427" s="556"/>
      <c r="V427" s="556"/>
      <c r="W427" s="556"/>
      <c r="X427" s="556"/>
      <c r="Y427" s="556"/>
      <c r="Z427" s="556"/>
      <c r="AA427" s="538"/>
      <c r="AB427" s="538"/>
      <c r="AC427" s="538"/>
    </row>
    <row r="428" spans="1:68" ht="14.25" customHeight="1" x14ac:dyDescent="0.25">
      <c r="A428" s="555" t="s">
        <v>98</v>
      </c>
      <c r="B428" s="556"/>
      <c r="C428" s="556"/>
      <c r="D428" s="556"/>
      <c r="E428" s="556"/>
      <c r="F428" s="556"/>
      <c r="G428" s="556"/>
      <c r="H428" s="556"/>
      <c r="I428" s="556"/>
      <c r="J428" s="556"/>
      <c r="K428" s="556"/>
      <c r="L428" s="556"/>
      <c r="M428" s="556"/>
      <c r="N428" s="556"/>
      <c r="O428" s="556"/>
      <c r="P428" s="556"/>
      <c r="Q428" s="556"/>
      <c r="R428" s="556"/>
      <c r="S428" s="556"/>
      <c r="T428" s="556"/>
      <c r="U428" s="556"/>
      <c r="V428" s="556"/>
      <c r="W428" s="556"/>
      <c r="X428" s="556"/>
      <c r="Y428" s="556"/>
      <c r="Z428" s="556"/>
      <c r="AA428" s="539"/>
      <c r="AB428" s="539"/>
      <c r="AC428" s="539"/>
    </row>
    <row r="429" spans="1:68" ht="27" customHeight="1" x14ac:dyDescent="0.25">
      <c r="A429" s="54" t="s">
        <v>644</v>
      </c>
      <c r="B429" s="54" t="s">
        <v>645</v>
      </c>
      <c r="C429" s="31">
        <v>4301011795</v>
      </c>
      <c r="D429" s="547">
        <v>4607091389067</v>
      </c>
      <c r="E429" s="548"/>
      <c r="F429" s="542">
        <v>0.88</v>
      </c>
      <c r="G429" s="32">
        <v>6</v>
      </c>
      <c r="H429" s="542">
        <v>5.28</v>
      </c>
      <c r="I429" s="542">
        <v>5.64</v>
      </c>
      <c r="J429" s="32">
        <v>104</v>
      </c>
      <c r="K429" s="32" t="s">
        <v>101</v>
      </c>
      <c r="L429" s="32"/>
      <c r="M429" s="33" t="s">
        <v>102</v>
      </c>
      <c r="N429" s="33"/>
      <c r="O429" s="32">
        <v>60</v>
      </c>
      <c r="P429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50"/>
      <c r="R429" s="550"/>
      <c r="S429" s="550"/>
      <c r="T429" s="551"/>
      <c r="U429" s="34"/>
      <c r="V429" s="34"/>
      <c r="W429" s="35" t="s">
        <v>68</v>
      </c>
      <c r="X429" s="543">
        <v>80</v>
      </c>
      <c r="Y429" s="544">
        <f t="shared" ref="Y429:Y440" si="43">IFERROR(IF(X429="",0,CEILING((X429/$H429),1)*$H429),"")</f>
        <v>84.48</v>
      </c>
      <c r="Z429" s="36">
        <f t="shared" ref="Z429:Z435" si="44">IFERROR(IF(Y429=0,"",ROUNDUP(Y429/H429,0)*0.01196),"")</f>
        <v>0.19136</v>
      </c>
      <c r="AA429" s="56"/>
      <c r="AB429" s="57"/>
      <c r="AC429" s="461" t="s">
        <v>646</v>
      </c>
      <c r="AG429" s="64"/>
      <c r="AJ429" s="68"/>
      <c r="AK429" s="68">
        <v>0</v>
      </c>
      <c r="BB429" s="462" t="s">
        <v>1</v>
      </c>
      <c r="BM429" s="64">
        <f t="shared" ref="BM429:BM440" si="45">IFERROR(X429*I429/H429,"0")</f>
        <v>85.454545454545453</v>
      </c>
      <c r="BN429" s="64">
        <f t="shared" ref="BN429:BN440" si="46">IFERROR(Y429*I429/H429,"0")</f>
        <v>90.24</v>
      </c>
      <c r="BO429" s="64">
        <f t="shared" ref="BO429:BO440" si="47">IFERROR(1/J429*(X429/H429),"0")</f>
        <v>0.14568764568764569</v>
      </c>
      <c r="BP429" s="64">
        <f t="shared" ref="BP429:BP440" si="48">IFERROR(1/J429*(Y429/H429),"0")</f>
        <v>0.15384615384615385</v>
      </c>
    </row>
    <row r="430" spans="1:68" ht="27" customHeight="1" x14ac:dyDescent="0.25">
      <c r="A430" s="54" t="s">
        <v>647</v>
      </c>
      <c r="B430" s="54" t="s">
        <v>648</v>
      </c>
      <c r="C430" s="31">
        <v>4301011961</v>
      </c>
      <c r="D430" s="547">
        <v>4680115885271</v>
      </c>
      <c r="E430" s="548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50"/>
      <c r="R430" s="550"/>
      <c r="S430" s="550"/>
      <c r="T430" s="551"/>
      <c r="U430" s="34"/>
      <c r="V430" s="34"/>
      <c r="W430" s="35" t="s">
        <v>68</v>
      </c>
      <c r="X430" s="543">
        <v>0</v>
      </c>
      <c r="Y430" s="544">
        <f t="shared" si="43"/>
        <v>0</v>
      </c>
      <c r="Z430" s="36" t="str">
        <f t="shared" si="44"/>
        <v/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650</v>
      </c>
      <c r="B431" s="54" t="s">
        <v>651</v>
      </c>
      <c r="C431" s="31">
        <v>4301011376</v>
      </c>
      <c r="D431" s="547">
        <v>4680115885226</v>
      </c>
      <c r="E431" s="548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101</v>
      </c>
      <c r="L431" s="32"/>
      <c r="M431" s="33" t="s">
        <v>76</v>
      </c>
      <c r="N431" s="33"/>
      <c r="O431" s="32">
        <v>60</v>
      </c>
      <c r="P431" s="68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550"/>
      <c r="R431" s="550"/>
      <c r="S431" s="550"/>
      <c r="T431" s="551"/>
      <c r="U431" s="34"/>
      <c r="V431" s="34"/>
      <c r="W431" s="35" t="s">
        <v>68</v>
      </c>
      <c r="X431" s="543">
        <v>120</v>
      </c>
      <c r="Y431" s="544">
        <f t="shared" si="43"/>
        <v>121.44000000000001</v>
      </c>
      <c r="Z431" s="36">
        <f t="shared" si="44"/>
        <v>0.27507999999999999</v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45"/>
        <v>128.18181818181816</v>
      </c>
      <c r="BN431" s="64">
        <f t="shared" si="46"/>
        <v>129.72</v>
      </c>
      <c r="BO431" s="64">
        <f t="shared" si="47"/>
        <v>0.21853146853146854</v>
      </c>
      <c r="BP431" s="64">
        <f t="shared" si="48"/>
        <v>0.22115384615384617</v>
      </c>
    </row>
    <row r="432" spans="1:68" ht="27" customHeight="1" x14ac:dyDescent="0.25">
      <c r="A432" s="54" t="s">
        <v>653</v>
      </c>
      <c r="B432" s="54" t="s">
        <v>654</v>
      </c>
      <c r="C432" s="31">
        <v>4301012145</v>
      </c>
      <c r="D432" s="547">
        <v>4607091383522</v>
      </c>
      <c r="E432" s="548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101</v>
      </c>
      <c r="L432" s="32"/>
      <c r="M432" s="33" t="s">
        <v>102</v>
      </c>
      <c r="N432" s="33"/>
      <c r="O432" s="32">
        <v>60</v>
      </c>
      <c r="P432" s="584" t="s">
        <v>655</v>
      </c>
      <c r="Q432" s="550"/>
      <c r="R432" s="550"/>
      <c r="S432" s="550"/>
      <c r="T432" s="551"/>
      <c r="U432" s="34"/>
      <c r="V432" s="34"/>
      <c r="W432" s="35" t="s">
        <v>68</v>
      </c>
      <c r="X432" s="543">
        <v>0</v>
      </c>
      <c r="Y432" s="544">
        <f t="shared" si="43"/>
        <v>0</v>
      </c>
      <c r="Z432" s="36" t="str">
        <f t="shared" si="44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16.5" customHeight="1" x14ac:dyDescent="0.25">
      <c r="A433" s="54" t="s">
        <v>657</v>
      </c>
      <c r="B433" s="54" t="s">
        <v>658</v>
      </c>
      <c r="C433" s="31">
        <v>4301011774</v>
      </c>
      <c r="D433" s="547">
        <v>4680115884502</v>
      </c>
      <c r="E433" s="548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50"/>
      <c r="R433" s="550"/>
      <c r="S433" s="550"/>
      <c r="T433" s="551"/>
      <c r="U433" s="34"/>
      <c r="V433" s="34"/>
      <c r="W433" s="35" t="s">
        <v>68</v>
      </c>
      <c r="X433" s="543">
        <v>0</v>
      </c>
      <c r="Y433" s="544">
        <f t="shared" si="43"/>
        <v>0</v>
      </c>
      <c r="Z433" s="36" t="str">
        <f t="shared" si="44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660</v>
      </c>
      <c r="B434" s="54" t="s">
        <v>661</v>
      </c>
      <c r="C434" s="31">
        <v>4301011771</v>
      </c>
      <c r="D434" s="547">
        <v>4607091389104</v>
      </c>
      <c r="E434" s="548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50"/>
      <c r="R434" s="550"/>
      <c r="S434" s="550"/>
      <c r="T434" s="551"/>
      <c r="U434" s="34"/>
      <c r="V434" s="34"/>
      <c r="W434" s="35" t="s">
        <v>68</v>
      </c>
      <c r="X434" s="543">
        <v>180</v>
      </c>
      <c r="Y434" s="544">
        <f t="shared" si="43"/>
        <v>184.8</v>
      </c>
      <c r="Z434" s="36">
        <f t="shared" si="44"/>
        <v>0.41860000000000003</v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45"/>
        <v>192.27272727272725</v>
      </c>
      <c r="BN434" s="64">
        <f t="shared" si="46"/>
        <v>197.39999999999998</v>
      </c>
      <c r="BO434" s="64">
        <f t="shared" si="47"/>
        <v>0.32779720279720276</v>
      </c>
      <c r="BP434" s="64">
        <f t="shared" si="48"/>
        <v>0.33653846153846156</v>
      </c>
    </row>
    <row r="435" spans="1:68" ht="16.5" customHeight="1" x14ac:dyDescent="0.25">
      <c r="A435" s="54" t="s">
        <v>663</v>
      </c>
      <c r="B435" s="54" t="s">
        <v>664</v>
      </c>
      <c r="C435" s="31">
        <v>4301011799</v>
      </c>
      <c r="D435" s="547">
        <v>4680115884519</v>
      </c>
      <c r="E435" s="548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101</v>
      </c>
      <c r="L435" s="32"/>
      <c r="M435" s="33" t="s">
        <v>76</v>
      </c>
      <c r="N435" s="33"/>
      <c r="O435" s="32">
        <v>60</v>
      </c>
      <c r="P435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5" s="550"/>
      <c r="R435" s="550"/>
      <c r="S435" s="550"/>
      <c r="T435" s="551"/>
      <c r="U435" s="34"/>
      <c r="V435" s="34"/>
      <c r="W435" s="35" t="s">
        <v>68</v>
      </c>
      <c r="X435" s="543">
        <v>0</v>
      </c>
      <c r="Y435" s="544">
        <f t="shared" si="43"/>
        <v>0</v>
      </c>
      <c r="Z435" s="36" t="str">
        <f t="shared" si="44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customHeight="1" x14ac:dyDescent="0.25">
      <c r="A436" s="54" t="s">
        <v>666</v>
      </c>
      <c r="B436" s="54" t="s">
        <v>667</v>
      </c>
      <c r="C436" s="31">
        <v>4301012125</v>
      </c>
      <c r="D436" s="547">
        <v>4680115886391</v>
      </c>
      <c r="E436" s="548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76</v>
      </c>
      <c r="N436" s="33"/>
      <c r="O436" s="32">
        <v>60</v>
      </c>
      <c r="P436" s="8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50"/>
      <c r="R436" s="550"/>
      <c r="S436" s="550"/>
      <c r="T436" s="551"/>
      <c r="U436" s="34"/>
      <c r="V436" s="34"/>
      <c r="W436" s="35" t="s">
        <v>68</v>
      </c>
      <c r="X436" s="543">
        <v>0</v>
      </c>
      <c r="Y436" s="544">
        <f t="shared" si="43"/>
        <v>0</v>
      </c>
      <c r="Z436" s="36" t="str">
        <f>IFERROR(IF(Y436=0,"",ROUNDUP(Y436/H436,0)*0.00651),"")</f>
        <v/>
      </c>
      <c r="AA436" s="56"/>
      <c r="AB436" s="57"/>
      <c r="AC436" s="475" t="s">
        <v>646</v>
      </c>
      <c r="AG436" s="64"/>
      <c r="AJ436" s="68"/>
      <c r="AK436" s="68">
        <v>0</v>
      </c>
      <c r="BB436" s="476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4301012035</v>
      </c>
      <c r="D437" s="547">
        <v>4680115880603</v>
      </c>
      <c r="E437" s="548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106</v>
      </c>
      <c r="L437" s="32"/>
      <c r="M437" s="33" t="s">
        <v>102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50"/>
      <c r="R437" s="550"/>
      <c r="S437" s="550"/>
      <c r="T437" s="551"/>
      <c r="U437" s="34"/>
      <c r="V437" s="34"/>
      <c r="W437" s="35" t="s">
        <v>68</v>
      </c>
      <c r="X437" s="543">
        <v>150</v>
      </c>
      <c r="Y437" s="544">
        <f t="shared" si="43"/>
        <v>153.6</v>
      </c>
      <c r="Z437" s="36">
        <f>IFERROR(IF(Y437=0,"",ROUNDUP(Y437/H437,0)*0.00902),"")</f>
        <v>0.28864000000000001</v>
      </c>
      <c r="AA437" s="56"/>
      <c r="AB437" s="57"/>
      <c r="AC437" s="477" t="s">
        <v>646</v>
      </c>
      <c r="AG437" s="64"/>
      <c r="AJ437" s="68"/>
      <c r="AK437" s="68">
        <v>0</v>
      </c>
      <c r="BB437" s="478" t="s">
        <v>1</v>
      </c>
      <c r="BM437" s="64">
        <f t="shared" si="45"/>
        <v>216.5625</v>
      </c>
      <c r="BN437" s="64">
        <f t="shared" si="46"/>
        <v>221.76</v>
      </c>
      <c r="BO437" s="64">
        <f t="shared" si="47"/>
        <v>0.23674242424242425</v>
      </c>
      <c r="BP437" s="64">
        <f t="shared" si="48"/>
        <v>0.24242424242424243</v>
      </c>
    </row>
    <row r="438" spans="1:68" ht="27" customHeight="1" x14ac:dyDescent="0.25">
      <c r="A438" s="54" t="s">
        <v>670</v>
      </c>
      <c r="B438" s="54" t="s">
        <v>671</v>
      </c>
      <c r="C438" s="31">
        <v>4301012036</v>
      </c>
      <c r="D438" s="547">
        <v>4680115882782</v>
      </c>
      <c r="E438" s="548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106</v>
      </c>
      <c r="L438" s="32"/>
      <c r="M438" s="33" t="s">
        <v>102</v>
      </c>
      <c r="N438" s="33"/>
      <c r="O438" s="32">
        <v>60</v>
      </c>
      <c r="P438" s="71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50"/>
      <c r="R438" s="550"/>
      <c r="S438" s="550"/>
      <c r="T438" s="551"/>
      <c r="U438" s="34"/>
      <c r="V438" s="34"/>
      <c r="W438" s="35" t="s">
        <v>68</v>
      </c>
      <c r="X438" s="543">
        <v>0</v>
      </c>
      <c r="Y438" s="544">
        <f t="shared" si="43"/>
        <v>0</v>
      </c>
      <c r="Z438" s="36" t="str">
        <f>IFERROR(IF(Y438=0,"",ROUNDUP(Y438/H438,0)*0.00937),"")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45"/>
        <v>0</v>
      </c>
      <c r="BN438" s="64">
        <f t="shared" si="46"/>
        <v>0</v>
      </c>
      <c r="BO438" s="64">
        <f t="shared" si="47"/>
        <v>0</v>
      </c>
      <c r="BP438" s="64">
        <f t="shared" si="48"/>
        <v>0</v>
      </c>
    </row>
    <row r="439" spans="1:68" ht="27" customHeight="1" x14ac:dyDescent="0.25">
      <c r="A439" s="54" t="s">
        <v>672</v>
      </c>
      <c r="B439" s="54" t="s">
        <v>673</v>
      </c>
      <c r="C439" s="31">
        <v>4301012050</v>
      </c>
      <c r="D439" s="547">
        <v>4680115885479</v>
      </c>
      <c r="E439" s="548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102</v>
      </c>
      <c r="N439" s="33"/>
      <c r="O439" s="32">
        <v>60</v>
      </c>
      <c r="P439" s="8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50"/>
      <c r="R439" s="550"/>
      <c r="S439" s="550"/>
      <c r="T439" s="551"/>
      <c r="U439" s="34"/>
      <c r="V439" s="34"/>
      <c r="W439" s="35" t="s">
        <v>68</v>
      </c>
      <c r="X439" s="543">
        <v>0</v>
      </c>
      <c r="Y439" s="544">
        <f t="shared" si="43"/>
        <v>0</v>
      </c>
      <c r="Z439" s="36" t="str">
        <f>IFERROR(IF(Y439=0,"",ROUNDUP(Y439/H439,0)*0.00651),"")</f>
        <v/>
      </c>
      <c r="AA439" s="56"/>
      <c r="AB439" s="57"/>
      <c r="AC439" s="481" t="s">
        <v>662</v>
      </c>
      <c r="AG439" s="64"/>
      <c r="AJ439" s="68"/>
      <c r="AK439" s="68">
        <v>0</v>
      </c>
      <c r="BB439" s="482" t="s">
        <v>1</v>
      </c>
      <c r="BM439" s="64">
        <f t="shared" si="45"/>
        <v>0</v>
      </c>
      <c r="BN439" s="64">
        <f t="shared" si="46"/>
        <v>0</v>
      </c>
      <c r="BO439" s="64">
        <f t="shared" si="47"/>
        <v>0</v>
      </c>
      <c r="BP439" s="64">
        <f t="shared" si="48"/>
        <v>0</v>
      </c>
    </row>
    <row r="440" spans="1:68" ht="27" customHeight="1" x14ac:dyDescent="0.25">
      <c r="A440" s="54" t="s">
        <v>674</v>
      </c>
      <c r="B440" s="54" t="s">
        <v>675</v>
      </c>
      <c r="C440" s="31">
        <v>4301012034</v>
      </c>
      <c r="D440" s="547">
        <v>4607091389982</v>
      </c>
      <c r="E440" s="548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106</v>
      </c>
      <c r="L440" s="32"/>
      <c r="M440" s="33" t="s">
        <v>102</v>
      </c>
      <c r="N440" s="33"/>
      <c r="O440" s="32">
        <v>60</v>
      </c>
      <c r="P440" s="7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50"/>
      <c r="R440" s="550"/>
      <c r="S440" s="550"/>
      <c r="T440" s="551"/>
      <c r="U440" s="34"/>
      <c r="V440" s="34"/>
      <c r="W440" s="35" t="s">
        <v>68</v>
      </c>
      <c r="X440" s="543">
        <v>180</v>
      </c>
      <c r="Y440" s="544">
        <f t="shared" si="43"/>
        <v>182.4</v>
      </c>
      <c r="Z440" s="36">
        <f>IFERROR(IF(Y440=0,"",ROUNDUP(Y440/H440,0)*0.00937),"")</f>
        <v>0.35605999999999999</v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45"/>
        <v>261</v>
      </c>
      <c r="BN440" s="64">
        <f t="shared" si="46"/>
        <v>264.48</v>
      </c>
      <c r="BO440" s="64">
        <f t="shared" si="47"/>
        <v>0.3125</v>
      </c>
      <c r="BP440" s="64">
        <f t="shared" si="48"/>
        <v>0.31666666666666665</v>
      </c>
    </row>
    <row r="441" spans="1:68" x14ac:dyDescent="0.2">
      <c r="A441" s="569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70"/>
      <c r="P441" s="557" t="s">
        <v>70</v>
      </c>
      <c r="Q441" s="558"/>
      <c r="R441" s="558"/>
      <c r="S441" s="558"/>
      <c r="T441" s="558"/>
      <c r="U441" s="558"/>
      <c r="V441" s="559"/>
      <c r="W441" s="37" t="s">
        <v>71</v>
      </c>
      <c r="X441" s="545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</f>
        <v>140.71969696969697</v>
      </c>
      <c r="Y441" s="545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</f>
        <v>144</v>
      </c>
      <c r="Z441" s="545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1.5297400000000001</v>
      </c>
      <c r="AA441" s="546"/>
      <c r="AB441" s="546"/>
      <c r="AC441" s="546"/>
    </row>
    <row r="442" spans="1:68" x14ac:dyDescent="0.2">
      <c r="A442" s="556"/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70"/>
      <c r="P442" s="557" t="s">
        <v>70</v>
      </c>
      <c r="Q442" s="558"/>
      <c r="R442" s="558"/>
      <c r="S442" s="558"/>
      <c r="T442" s="558"/>
      <c r="U442" s="558"/>
      <c r="V442" s="559"/>
      <c r="W442" s="37" t="s">
        <v>68</v>
      </c>
      <c r="X442" s="545">
        <f>IFERROR(SUM(X429:X440),"0")</f>
        <v>710</v>
      </c>
      <c r="Y442" s="545">
        <f>IFERROR(SUM(Y429:Y440),"0")</f>
        <v>726.72</v>
      </c>
      <c r="Z442" s="37"/>
      <c r="AA442" s="546"/>
      <c r="AB442" s="546"/>
      <c r="AC442" s="546"/>
    </row>
    <row r="443" spans="1:68" ht="14.25" customHeight="1" x14ac:dyDescent="0.25">
      <c r="A443" s="555" t="s">
        <v>130</v>
      </c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6"/>
      <c r="P443" s="556"/>
      <c r="Q443" s="556"/>
      <c r="R443" s="556"/>
      <c r="S443" s="556"/>
      <c r="T443" s="556"/>
      <c r="U443" s="556"/>
      <c r="V443" s="556"/>
      <c r="W443" s="556"/>
      <c r="X443" s="556"/>
      <c r="Y443" s="556"/>
      <c r="Z443" s="556"/>
      <c r="AA443" s="539"/>
      <c r="AB443" s="539"/>
      <c r="AC443" s="539"/>
    </row>
    <row r="444" spans="1:68" ht="16.5" customHeight="1" x14ac:dyDescent="0.25">
      <c r="A444" s="54" t="s">
        <v>676</v>
      </c>
      <c r="B444" s="54" t="s">
        <v>677</v>
      </c>
      <c r="C444" s="31">
        <v>4301020334</v>
      </c>
      <c r="D444" s="547">
        <v>4607091388930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101</v>
      </c>
      <c r="L444" s="32"/>
      <c r="M444" s="33" t="s">
        <v>76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50"/>
      <c r="R444" s="550"/>
      <c r="S444" s="550"/>
      <c r="T444" s="551"/>
      <c r="U444" s="34"/>
      <c r="V444" s="34"/>
      <c r="W444" s="35" t="s">
        <v>68</v>
      </c>
      <c r="X444" s="543">
        <v>150</v>
      </c>
      <c r="Y444" s="544">
        <f>IFERROR(IF(X444="",0,CEILING((X444/$H444),1)*$H444),"")</f>
        <v>153.12</v>
      </c>
      <c r="Z444" s="36">
        <f>IFERROR(IF(Y444=0,"",ROUNDUP(Y444/H444,0)*0.01196),"")</f>
        <v>0.34683999999999998</v>
      </c>
      <c r="AA444" s="56"/>
      <c r="AB444" s="57"/>
      <c r="AC444" s="485" t="s">
        <v>678</v>
      </c>
      <c r="AG444" s="64"/>
      <c r="AJ444" s="68"/>
      <c r="AK444" s="68">
        <v>0</v>
      </c>
      <c r="BB444" s="486" t="s">
        <v>1</v>
      </c>
      <c r="BM444" s="64">
        <f>IFERROR(X444*I444/H444,"0")</f>
        <v>160.22727272727272</v>
      </c>
      <c r="BN444" s="64">
        <f>IFERROR(Y444*I444/H444,"0")</f>
        <v>163.56</v>
      </c>
      <c r="BO444" s="64">
        <f>IFERROR(1/J444*(X444/H444),"0")</f>
        <v>0.27316433566433568</v>
      </c>
      <c r="BP444" s="64">
        <f>IFERROR(1/J444*(Y444/H444),"0")</f>
        <v>0.27884615384615385</v>
      </c>
    </row>
    <row r="445" spans="1:68" ht="16.5" customHeight="1" x14ac:dyDescent="0.25">
      <c r="A445" s="54" t="s">
        <v>679</v>
      </c>
      <c r="B445" s="54" t="s">
        <v>680</v>
      </c>
      <c r="C445" s="31">
        <v>4301020384</v>
      </c>
      <c r="D445" s="547">
        <v>4680115886407</v>
      </c>
      <c r="E445" s="548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70</v>
      </c>
      <c r="P445" s="60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50"/>
      <c r="R445" s="550"/>
      <c r="S445" s="550"/>
      <c r="T445" s="551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678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681</v>
      </c>
      <c r="B446" s="54" t="s">
        <v>682</v>
      </c>
      <c r="C446" s="31">
        <v>4301020385</v>
      </c>
      <c r="D446" s="547">
        <v>4680115880054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106</v>
      </c>
      <c r="L446" s="32"/>
      <c r="M446" s="33" t="s">
        <v>102</v>
      </c>
      <c r="N446" s="33"/>
      <c r="O446" s="32">
        <v>70</v>
      </c>
      <c r="P446" s="73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50"/>
      <c r="R446" s="550"/>
      <c r="S446" s="550"/>
      <c r="T446" s="551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678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69"/>
      <c r="B447" s="556"/>
      <c r="C447" s="556"/>
      <c r="D447" s="556"/>
      <c r="E447" s="556"/>
      <c r="F447" s="556"/>
      <c r="G447" s="556"/>
      <c r="H447" s="556"/>
      <c r="I447" s="556"/>
      <c r="J447" s="556"/>
      <c r="K447" s="556"/>
      <c r="L447" s="556"/>
      <c r="M447" s="556"/>
      <c r="N447" s="556"/>
      <c r="O447" s="570"/>
      <c r="P447" s="557" t="s">
        <v>70</v>
      </c>
      <c r="Q447" s="558"/>
      <c r="R447" s="558"/>
      <c r="S447" s="558"/>
      <c r="T447" s="558"/>
      <c r="U447" s="558"/>
      <c r="V447" s="559"/>
      <c r="W447" s="37" t="s">
        <v>71</v>
      </c>
      <c r="X447" s="545">
        <f>IFERROR(X444/H444,"0")+IFERROR(X445/H445,"0")+IFERROR(X446/H446,"0")</f>
        <v>28.409090909090907</v>
      </c>
      <c r="Y447" s="545">
        <f>IFERROR(Y444/H444,"0")+IFERROR(Y445/H445,"0")+IFERROR(Y446/H446,"0")</f>
        <v>29</v>
      </c>
      <c r="Z447" s="545">
        <f>IFERROR(IF(Z444="",0,Z444),"0")+IFERROR(IF(Z445="",0,Z445),"0")+IFERROR(IF(Z446="",0,Z446),"0")</f>
        <v>0.34683999999999998</v>
      </c>
      <c r="AA447" s="546"/>
      <c r="AB447" s="546"/>
      <c r="AC447" s="546"/>
    </row>
    <row r="448" spans="1:68" x14ac:dyDescent="0.2">
      <c r="A448" s="556"/>
      <c r="B448" s="556"/>
      <c r="C448" s="556"/>
      <c r="D448" s="556"/>
      <c r="E448" s="556"/>
      <c r="F448" s="556"/>
      <c r="G448" s="556"/>
      <c r="H448" s="556"/>
      <c r="I448" s="556"/>
      <c r="J448" s="556"/>
      <c r="K448" s="556"/>
      <c r="L448" s="556"/>
      <c r="M448" s="556"/>
      <c r="N448" s="556"/>
      <c r="O448" s="570"/>
      <c r="P448" s="557" t="s">
        <v>70</v>
      </c>
      <c r="Q448" s="558"/>
      <c r="R448" s="558"/>
      <c r="S448" s="558"/>
      <c r="T448" s="558"/>
      <c r="U448" s="558"/>
      <c r="V448" s="559"/>
      <c r="W448" s="37" t="s">
        <v>68</v>
      </c>
      <c r="X448" s="545">
        <f>IFERROR(SUM(X444:X446),"0")</f>
        <v>150</v>
      </c>
      <c r="Y448" s="545">
        <f>IFERROR(SUM(Y444:Y446),"0")</f>
        <v>153.12</v>
      </c>
      <c r="Z448" s="37"/>
      <c r="AA448" s="546"/>
      <c r="AB448" s="546"/>
      <c r="AC448" s="546"/>
    </row>
    <row r="449" spans="1:68" ht="14.25" customHeight="1" x14ac:dyDescent="0.25">
      <c r="A449" s="555" t="s">
        <v>63</v>
      </c>
      <c r="B449" s="556"/>
      <c r="C449" s="556"/>
      <c r="D449" s="556"/>
      <c r="E449" s="556"/>
      <c r="F449" s="556"/>
      <c r="G449" s="556"/>
      <c r="H449" s="556"/>
      <c r="I449" s="556"/>
      <c r="J449" s="556"/>
      <c r="K449" s="556"/>
      <c r="L449" s="556"/>
      <c r="M449" s="556"/>
      <c r="N449" s="556"/>
      <c r="O449" s="556"/>
      <c r="P449" s="556"/>
      <c r="Q449" s="556"/>
      <c r="R449" s="556"/>
      <c r="S449" s="556"/>
      <c r="T449" s="556"/>
      <c r="U449" s="556"/>
      <c r="V449" s="556"/>
      <c r="W449" s="556"/>
      <c r="X449" s="556"/>
      <c r="Y449" s="556"/>
      <c r="Z449" s="556"/>
      <c r="AA449" s="539"/>
      <c r="AB449" s="539"/>
      <c r="AC449" s="539"/>
    </row>
    <row r="450" spans="1:68" ht="27" customHeight="1" x14ac:dyDescent="0.25">
      <c r="A450" s="54" t="s">
        <v>683</v>
      </c>
      <c r="B450" s="54" t="s">
        <v>684</v>
      </c>
      <c r="C450" s="31">
        <v>4301031349</v>
      </c>
      <c r="D450" s="547">
        <v>4680115883116</v>
      </c>
      <c r="E450" s="548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101</v>
      </c>
      <c r="L450" s="32"/>
      <c r="M450" s="33" t="s">
        <v>102</v>
      </c>
      <c r="N450" s="33"/>
      <c r="O450" s="32">
        <v>70</v>
      </c>
      <c r="P450" s="69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50"/>
      <c r="R450" s="550"/>
      <c r="S450" s="550"/>
      <c r="T450" s="551"/>
      <c r="U450" s="34"/>
      <c r="V450" s="34"/>
      <c r="W450" s="35" t="s">
        <v>68</v>
      </c>
      <c r="X450" s="543">
        <v>0</v>
      </c>
      <c r="Y450" s="544">
        <f t="shared" ref="Y450:Y455" si="49"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1" t="s">
        <v>685</v>
      </c>
      <c r="AG450" s="64"/>
      <c r="AJ450" s="68"/>
      <c r="AK450" s="68">
        <v>0</v>
      </c>
      <c r="BB450" s="492" t="s">
        <v>1</v>
      </c>
      <c r="BM450" s="64">
        <f t="shared" ref="BM450:BM455" si="50">IFERROR(X450*I450/H450,"0")</f>
        <v>0</v>
      </c>
      <c r="BN450" s="64">
        <f t="shared" ref="BN450:BN455" si="51">IFERROR(Y450*I450/H450,"0")</f>
        <v>0</v>
      </c>
      <c r="BO450" s="64">
        <f t="shared" ref="BO450:BO455" si="52">IFERROR(1/J450*(X450/H450),"0")</f>
        <v>0</v>
      </c>
      <c r="BP450" s="64">
        <f t="shared" ref="BP450:BP455" si="53">IFERROR(1/J450*(Y450/H450),"0")</f>
        <v>0</v>
      </c>
    </row>
    <row r="451" spans="1:68" ht="27" customHeight="1" x14ac:dyDescent="0.25">
      <c r="A451" s="54" t="s">
        <v>686</v>
      </c>
      <c r="B451" s="54" t="s">
        <v>687</v>
      </c>
      <c r="C451" s="31">
        <v>4301031350</v>
      </c>
      <c r="D451" s="547">
        <v>4680115883093</v>
      </c>
      <c r="E451" s="548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101</v>
      </c>
      <c r="L451" s="32"/>
      <c r="M451" s="33" t="s">
        <v>67</v>
      </c>
      <c r="N451" s="33"/>
      <c r="O451" s="32">
        <v>70</v>
      </c>
      <c r="P451" s="72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50"/>
      <c r="R451" s="550"/>
      <c r="S451" s="550"/>
      <c r="T451" s="551"/>
      <c r="U451" s="34"/>
      <c r="V451" s="34"/>
      <c r="W451" s="35" t="s">
        <v>68</v>
      </c>
      <c r="X451" s="543">
        <v>50</v>
      </c>
      <c r="Y451" s="544">
        <f t="shared" si="49"/>
        <v>52.800000000000004</v>
      </c>
      <c r="Z451" s="36">
        <f>IFERROR(IF(Y451=0,"",ROUNDUP(Y451/H451,0)*0.01196),"")</f>
        <v>0.1196</v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si="50"/>
        <v>53.409090909090907</v>
      </c>
      <c r="BN451" s="64">
        <f t="shared" si="51"/>
        <v>56.400000000000006</v>
      </c>
      <c r="BO451" s="64">
        <f t="shared" si="52"/>
        <v>9.1054778554778545E-2</v>
      </c>
      <c r="BP451" s="64">
        <f t="shared" si="53"/>
        <v>9.6153846153846159E-2</v>
      </c>
    </row>
    <row r="452" spans="1:68" ht="27" customHeight="1" x14ac:dyDescent="0.25">
      <c r="A452" s="54" t="s">
        <v>689</v>
      </c>
      <c r="B452" s="54" t="s">
        <v>690</v>
      </c>
      <c r="C452" s="31">
        <v>4301031353</v>
      </c>
      <c r="D452" s="547">
        <v>4680115883109</v>
      </c>
      <c r="E452" s="548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50"/>
      <c r="R452" s="550"/>
      <c r="S452" s="550"/>
      <c r="T452" s="551"/>
      <c r="U452" s="34"/>
      <c r="V452" s="34"/>
      <c r="W452" s="35" t="s">
        <v>68</v>
      </c>
      <c r="X452" s="543">
        <v>0</v>
      </c>
      <c r="Y452" s="544">
        <f t="shared" si="49"/>
        <v>0</v>
      </c>
      <c r="Z452" s="36" t="str">
        <f>IFERROR(IF(Y452=0,"",ROUNDUP(Y452/H452,0)*0.01196),"")</f>
        <v/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0"/>
        <v>0</v>
      </c>
      <c r="BN452" s="64">
        <f t="shared" si="51"/>
        <v>0</v>
      </c>
      <c r="BO452" s="64">
        <f t="shared" si="52"/>
        <v>0</v>
      </c>
      <c r="BP452" s="64">
        <f t="shared" si="53"/>
        <v>0</v>
      </c>
    </row>
    <row r="453" spans="1:68" ht="27" customHeight="1" x14ac:dyDescent="0.25">
      <c r="A453" s="54" t="s">
        <v>692</v>
      </c>
      <c r="B453" s="54" t="s">
        <v>693</v>
      </c>
      <c r="C453" s="31">
        <v>4301031419</v>
      </c>
      <c r="D453" s="547">
        <v>4680115882072</v>
      </c>
      <c r="E453" s="548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106</v>
      </c>
      <c r="L453" s="32"/>
      <c r="M453" s="33" t="s">
        <v>102</v>
      </c>
      <c r="N453" s="33"/>
      <c r="O453" s="32">
        <v>70</v>
      </c>
      <c r="P453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50"/>
      <c r="R453" s="550"/>
      <c r="S453" s="550"/>
      <c r="T453" s="551"/>
      <c r="U453" s="34"/>
      <c r="V453" s="34"/>
      <c r="W453" s="35" t="s">
        <v>68</v>
      </c>
      <c r="X453" s="543">
        <v>30</v>
      </c>
      <c r="Y453" s="544">
        <f t="shared" si="49"/>
        <v>33.6</v>
      </c>
      <c r="Z453" s="36">
        <f>IFERROR(IF(Y453=0,"",ROUNDUP(Y453/H453,0)*0.00902),"")</f>
        <v>6.3140000000000002E-2</v>
      </c>
      <c r="AA453" s="56"/>
      <c r="AB453" s="57"/>
      <c r="AC453" s="497" t="s">
        <v>685</v>
      </c>
      <c r="AG453" s="64"/>
      <c r="AJ453" s="68"/>
      <c r="AK453" s="68">
        <v>0</v>
      </c>
      <c r="BB453" s="498" t="s">
        <v>1</v>
      </c>
      <c r="BM453" s="64">
        <f t="shared" si="50"/>
        <v>43.3125</v>
      </c>
      <c r="BN453" s="64">
        <f t="shared" si="51"/>
        <v>48.510000000000005</v>
      </c>
      <c r="BO453" s="64">
        <f t="shared" si="52"/>
        <v>4.7348484848484848E-2</v>
      </c>
      <c r="BP453" s="64">
        <f t="shared" si="53"/>
        <v>5.3030303030303039E-2</v>
      </c>
    </row>
    <row r="454" spans="1:68" ht="27" customHeight="1" x14ac:dyDescent="0.25">
      <c r="A454" s="54" t="s">
        <v>694</v>
      </c>
      <c r="B454" s="54" t="s">
        <v>695</v>
      </c>
      <c r="C454" s="31">
        <v>4301031418</v>
      </c>
      <c r="D454" s="547">
        <v>4680115882102</v>
      </c>
      <c r="E454" s="548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106</v>
      </c>
      <c r="L454" s="32"/>
      <c r="M454" s="33" t="s">
        <v>67</v>
      </c>
      <c r="N454" s="33"/>
      <c r="O454" s="32">
        <v>70</v>
      </c>
      <c r="P454" s="5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50"/>
      <c r="R454" s="550"/>
      <c r="S454" s="550"/>
      <c r="T454" s="551"/>
      <c r="U454" s="34"/>
      <c r="V454" s="34"/>
      <c r="W454" s="35" t="s">
        <v>68</v>
      </c>
      <c r="X454" s="543">
        <v>18</v>
      </c>
      <c r="Y454" s="544">
        <f t="shared" si="49"/>
        <v>19.2</v>
      </c>
      <c r="Z454" s="36">
        <f>IFERROR(IF(Y454=0,"",ROUNDUP(Y454/H454,0)*0.00902),"")</f>
        <v>3.6080000000000001E-2</v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0"/>
        <v>25.087500000000002</v>
      </c>
      <c r="BN454" s="64">
        <f t="shared" si="51"/>
        <v>26.76</v>
      </c>
      <c r="BO454" s="64">
        <f t="shared" si="52"/>
        <v>2.8409090909090912E-2</v>
      </c>
      <c r="BP454" s="64">
        <f t="shared" si="53"/>
        <v>3.0303030303030304E-2</v>
      </c>
    </row>
    <row r="455" spans="1:68" ht="27" customHeight="1" x14ac:dyDescent="0.25">
      <c r="A455" s="54" t="s">
        <v>696</v>
      </c>
      <c r="B455" s="54" t="s">
        <v>697</v>
      </c>
      <c r="C455" s="31">
        <v>4301031417</v>
      </c>
      <c r="D455" s="547">
        <v>4680115882096</v>
      </c>
      <c r="E455" s="548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7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50"/>
      <c r="R455" s="550"/>
      <c r="S455" s="550"/>
      <c r="T455" s="551"/>
      <c r="U455" s="34"/>
      <c r="V455" s="34"/>
      <c r="W455" s="35" t="s">
        <v>68</v>
      </c>
      <c r="X455" s="543">
        <v>90</v>
      </c>
      <c r="Y455" s="544">
        <f t="shared" si="49"/>
        <v>91.2</v>
      </c>
      <c r="Z455" s="36">
        <f>IFERROR(IF(Y455=0,"",ROUNDUP(Y455/H455,0)*0.00902),"")</f>
        <v>0.17138</v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0"/>
        <v>125.43750000000001</v>
      </c>
      <c r="BN455" s="64">
        <f t="shared" si="51"/>
        <v>127.11000000000001</v>
      </c>
      <c r="BO455" s="64">
        <f t="shared" si="52"/>
        <v>0.14204545454545456</v>
      </c>
      <c r="BP455" s="64">
        <f t="shared" si="53"/>
        <v>0.14393939393939395</v>
      </c>
    </row>
    <row r="456" spans="1:68" x14ac:dyDescent="0.2">
      <c r="A456" s="569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70"/>
      <c r="P456" s="557" t="s">
        <v>70</v>
      </c>
      <c r="Q456" s="558"/>
      <c r="R456" s="558"/>
      <c r="S456" s="558"/>
      <c r="T456" s="558"/>
      <c r="U456" s="558"/>
      <c r="V456" s="559"/>
      <c r="W456" s="37" t="s">
        <v>71</v>
      </c>
      <c r="X456" s="545">
        <f>IFERROR(X450/H450,"0")+IFERROR(X451/H451,"0")+IFERROR(X452/H452,"0")+IFERROR(X453/H453,"0")+IFERROR(X454/H454,"0")+IFERROR(X455/H455,"0")</f>
        <v>38.219696969696969</v>
      </c>
      <c r="Y456" s="545">
        <f>IFERROR(Y450/H450,"0")+IFERROR(Y451/H451,"0")+IFERROR(Y452/H452,"0")+IFERROR(Y453/H453,"0")+IFERROR(Y454/H454,"0")+IFERROR(Y455/H455,"0")</f>
        <v>40</v>
      </c>
      <c r="Z456" s="545">
        <f>IFERROR(IF(Z450="",0,Z450),"0")+IFERROR(IF(Z451="",0,Z451),"0")+IFERROR(IF(Z452="",0,Z452),"0")+IFERROR(IF(Z453="",0,Z453),"0")+IFERROR(IF(Z454="",0,Z454),"0")+IFERROR(IF(Z455="",0,Z455),"0")</f>
        <v>0.39019999999999999</v>
      </c>
      <c r="AA456" s="546"/>
      <c r="AB456" s="546"/>
      <c r="AC456" s="546"/>
    </row>
    <row r="457" spans="1:68" x14ac:dyDescent="0.2">
      <c r="A457" s="556"/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70"/>
      <c r="P457" s="557" t="s">
        <v>70</v>
      </c>
      <c r="Q457" s="558"/>
      <c r="R457" s="558"/>
      <c r="S457" s="558"/>
      <c r="T457" s="558"/>
      <c r="U457" s="558"/>
      <c r="V457" s="559"/>
      <c r="W457" s="37" t="s">
        <v>68</v>
      </c>
      <c r="X457" s="545">
        <f>IFERROR(SUM(X450:X455),"0")</f>
        <v>188</v>
      </c>
      <c r="Y457" s="545">
        <f>IFERROR(SUM(Y450:Y455),"0")</f>
        <v>196.8</v>
      </c>
      <c r="Z457" s="37"/>
      <c r="AA457" s="546"/>
      <c r="AB457" s="546"/>
      <c r="AC457" s="546"/>
    </row>
    <row r="458" spans="1:68" ht="14.25" customHeight="1" x14ac:dyDescent="0.25">
      <c r="A458" s="555" t="s">
        <v>72</v>
      </c>
      <c r="B458" s="556"/>
      <c r="C458" s="556"/>
      <c r="D458" s="556"/>
      <c r="E458" s="556"/>
      <c r="F458" s="556"/>
      <c r="G458" s="556"/>
      <c r="H458" s="556"/>
      <c r="I458" s="556"/>
      <c r="J458" s="556"/>
      <c r="K458" s="556"/>
      <c r="L458" s="556"/>
      <c r="M458" s="556"/>
      <c r="N458" s="556"/>
      <c r="O458" s="556"/>
      <c r="P458" s="556"/>
      <c r="Q458" s="556"/>
      <c r="R458" s="556"/>
      <c r="S458" s="556"/>
      <c r="T458" s="556"/>
      <c r="U458" s="556"/>
      <c r="V458" s="556"/>
      <c r="W458" s="556"/>
      <c r="X458" s="556"/>
      <c r="Y458" s="556"/>
      <c r="Z458" s="556"/>
      <c r="AA458" s="539"/>
      <c r="AB458" s="539"/>
      <c r="AC458" s="539"/>
    </row>
    <row r="459" spans="1:68" ht="16.5" customHeight="1" x14ac:dyDescent="0.25">
      <c r="A459" s="54" t="s">
        <v>698</v>
      </c>
      <c r="B459" s="54" t="s">
        <v>699</v>
      </c>
      <c r="C459" s="31">
        <v>4301051232</v>
      </c>
      <c r="D459" s="547">
        <v>4607091383409</v>
      </c>
      <c r="E459" s="548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101</v>
      </c>
      <c r="L459" s="32"/>
      <c r="M459" s="33" t="s">
        <v>76</v>
      </c>
      <c r="N459" s="33"/>
      <c r="O459" s="32">
        <v>45</v>
      </c>
      <c r="P459" s="75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50"/>
      <c r="R459" s="550"/>
      <c r="S459" s="550"/>
      <c r="T459" s="551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700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701</v>
      </c>
      <c r="B460" s="54" t="s">
        <v>702</v>
      </c>
      <c r="C460" s="31">
        <v>4301051233</v>
      </c>
      <c r="D460" s="547">
        <v>4607091383416</v>
      </c>
      <c r="E460" s="548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50"/>
      <c r="R460" s="550"/>
      <c r="S460" s="550"/>
      <c r="T460" s="551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704</v>
      </c>
      <c r="B461" s="54" t="s">
        <v>705</v>
      </c>
      <c r="C461" s="31">
        <v>4301051064</v>
      </c>
      <c r="D461" s="547">
        <v>4680115883536</v>
      </c>
      <c r="E461" s="548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76</v>
      </c>
      <c r="N461" s="33"/>
      <c r="O461" s="32">
        <v>45</v>
      </c>
      <c r="P461" s="78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50"/>
      <c r="R461" s="550"/>
      <c r="S461" s="550"/>
      <c r="T461" s="551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69"/>
      <c r="B462" s="556"/>
      <c r="C462" s="556"/>
      <c r="D462" s="556"/>
      <c r="E462" s="556"/>
      <c r="F462" s="556"/>
      <c r="G462" s="556"/>
      <c r="H462" s="556"/>
      <c r="I462" s="556"/>
      <c r="J462" s="556"/>
      <c r="K462" s="556"/>
      <c r="L462" s="556"/>
      <c r="M462" s="556"/>
      <c r="N462" s="556"/>
      <c r="O462" s="570"/>
      <c r="P462" s="557" t="s">
        <v>70</v>
      </c>
      <c r="Q462" s="558"/>
      <c r="R462" s="558"/>
      <c r="S462" s="558"/>
      <c r="T462" s="558"/>
      <c r="U462" s="558"/>
      <c r="V462" s="559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6"/>
      <c r="B463" s="556"/>
      <c r="C463" s="556"/>
      <c r="D463" s="556"/>
      <c r="E463" s="556"/>
      <c r="F463" s="556"/>
      <c r="G463" s="556"/>
      <c r="H463" s="556"/>
      <c r="I463" s="556"/>
      <c r="J463" s="556"/>
      <c r="K463" s="556"/>
      <c r="L463" s="556"/>
      <c r="M463" s="556"/>
      <c r="N463" s="556"/>
      <c r="O463" s="570"/>
      <c r="P463" s="557" t="s">
        <v>70</v>
      </c>
      <c r="Q463" s="558"/>
      <c r="R463" s="558"/>
      <c r="S463" s="558"/>
      <c r="T463" s="558"/>
      <c r="U463" s="558"/>
      <c r="V463" s="559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606" t="s">
        <v>707</v>
      </c>
      <c r="B464" s="607"/>
      <c r="C464" s="607"/>
      <c r="D464" s="607"/>
      <c r="E464" s="607"/>
      <c r="F464" s="607"/>
      <c r="G464" s="607"/>
      <c r="H464" s="607"/>
      <c r="I464" s="607"/>
      <c r="J464" s="607"/>
      <c r="K464" s="607"/>
      <c r="L464" s="607"/>
      <c r="M464" s="607"/>
      <c r="N464" s="607"/>
      <c r="O464" s="607"/>
      <c r="P464" s="607"/>
      <c r="Q464" s="607"/>
      <c r="R464" s="607"/>
      <c r="S464" s="607"/>
      <c r="T464" s="607"/>
      <c r="U464" s="607"/>
      <c r="V464" s="607"/>
      <c r="W464" s="607"/>
      <c r="X464" s="607"/>
      <c r="Y464" s="607"/>
      <c r="Z464" s="607"/>
      <c r="AA464" s="48"/>
      <c r="AB464" s="48"/>
      <c r="AC464" s="48"/>
    </row>
    <row r="465" spans="1:68" ht="16.5" customHeight="1" x14ac:dyDescent="0.25">
      <c r="A465" s="562" t="s">
        <v>707</v>
      </c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6"/>
      <c r="P465" s="556"/>
      <c r="Q465" s="556"/>
      <c r="R465" s="556"/>
      <c r="S465" s="556"/>
      <c r="T465" s="556"/>
      <c r="U465" s="556"/>
      <c r="V465" s="556"/>
      <c r="W465" s="556"/>
      <c r="X465" s="556"/>
      <c r="Y465" s="556"/>
      <c r="Z465" s="556"/>
      <c r="AA465" s="538"/>
      <c r="AB465" s="538"/>
      <c r="AC465" s="538"/>
    </row>
    <row r="466" spans="1:68" ht="14.25" customHeight="1" x14ac:dyDescent="0.25">
      <c r="A466" s="555" t="s">
        <v>98</v>
      </c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56"/>
      <c r="P466" s="556"/>
      <c r="Q466" s="556"/>
      <c r="R466" s="556"/>
      <c r="S466" s="556"/>
      <c r="T466" s="556"/>
      <c r="U466" s="556"/>
      <c r="V466" s="556"/>
      <c r="W466" s="556"/>
      <c r="X466" s="556"/>
      <c r="Y466" s="556"/>
      <c r="Z466" s="556"/>
      <c r="AA466" s="539"/>
      <c r="AB466" s="539"/>
      <c r="AC466" s="539"/>
    </row>
    <row r="467" spans="1:68" ht="27" customHeight="1" x14ac:dyDescent="0.25">
      <c r="A467" s="54" t="s">
        <v>708</v>
      </c>
      <c r="B467" s="54" t="s">
        <v>709</v>
      </c>
      <c r="C467" s="31">
        <v>4301011763</v>
      </c>
      <c r="D467" s="547">
        <v>4640242181011</v>
      </c>
      <c r="E467" s="548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101</v>
      </c>
      <c r="L467" s="32"/>
      <c r="M467" s="33" t="s">
        <v>76</v>
      </c>
      <c r="N467" s="33"/>
      <c r="O467" s="32">
        <v>55</v>
      </c>
      <c r="P467" s="67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50"/>
      <c r="R467" s="550"/>
      <c r="S467" s="550"/>
      <c r="T467" s="551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710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711</v>
      </c>
      <c r="B468" s="54" t="s">
        <v>712</v>
      </c>
      <c r="C468" s="31">
        <v>4301011585</v>
      </c>
      <c r="D468" s="547">
        <v>4640242180441</v>
      </c>
      <c r="E468" s="548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101</v>
      </c>
      <c r="L468" s="32"/>
      <c r="M468" s="33" t="s">
        <v>102</v>
      </c>
      <c r="N468" s="33"/>
      <c r="O468" s="32">
        <v>50</v>
      </c>
      <c r="P468" s="59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50"/>
      <c r="R468" s="550"/>
      <c r="S468" s="550"/>
      <c r="T468" s="551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714</v>
      </c>
      <c r="B469" s="54" t="s">
        <v>715</v>
      </c>
      <c r="C469" s="31">
        <v>4301011584</v>
      </c>
      <c r="D469" s="547">
        <v>4640242180564</v>
      </c>
      <c r="E469" s="548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8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50"/>
      <c r="R469" s="550"/>
      <c r="S469" s="550"/>
      <c r="T469" s="551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717</v>
      </c>
      <c r="B470" s="54" t="s">
        <v>718</v>
      </c>
      <c r="C470" s="31">
        <v>4301011764</v>
      </c>
      <c r="D470" s="547">
        <v>4640242181189</v>
      </c>
      <c r="E470" s="548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106</v>
      </c>
      <c r="L470" s="32"/>
      <c r="M470" s="33" t="s">
        <v>76</v>
      </c>
      <c r="N470" s="33"/>
      <c r="O470" s="32">
        <v>55</v>
      </c>
      <c r="P470" s="80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50"/>
      <c r="R470" s="550"/>
      <c r="S470" s="550"/>
      <c r="T470" s="551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69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70"/>
      <c r="P471" s="557" t="s">
        <v>70</v>
      </c>
      <c r="Q471" s="558"/>
      <c r="R471" s="558"/>
      <c r="S471" s="558"/>
      <c r="T471" s="558"/>
      <c r="U471" s="558"/>
      <c r="V471" s="559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x14ac:dyDescent="0.2">
      <c r="A472" s="556"/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70"/>
      <c r="P472" s="557" t="s">
        <v>70</v>
      </c>
      <c r="Q472" s="558"/>
      <c r="R472" s="558"/>
      <c r="S472" s="558"/>
      <c r="T472" s="558"/>
      <c r="U472" s="558"/>
      <c r="V472" s="559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customHeight="1" x14ac:dyDescent="0.25">
      <c r="A473" s="555" t="s">
        <v>130</v>
      </c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6"/>
      <c r="P473" s="556"/>
      <c r="Q473" s="556"/>
      <c r="R473" s="556"/>
      <c r="S473" s="556"/>
      <c r="T473" s="556"/>
      <c r="U473" s="556"/>
      <c r="V473" s="556"/>
      <c r="W473" s="556"/>
      <c r="X473" s="556"/>
      <c r="Y473" s="556"/>
      <c r="Z473" s="556"/>
      <c r="AA473" s="539"/>
      <c r="AB473" s="539"/>
      <c r="AC473" s="539"/>
    </row>
    <row r="474" spans="1:68" ht="27" customHeight="1" x14ac:dyDescent="0.25">
      <c r="A474" s="54" t="s">
        <v>719</v>
      </c>
      <c r="B474" s="54" t="s">
        <v>720</v>
      </c>
      <c r="C474" s="31">
        <v>4301020400</v>
      </c>
      <c r="D474" s="547">
        <v>4640242180519</v>
      </c>
      <c r="E474" s="548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101</v>
      </c>
      <c r="L474" s="32"/>
      <c r="M474" s="33" t="s">
        <v>102</v>
      </c>
      <c r="N474" s="33"/>
      <c r="O474" s="32">
        <v>50</v>
      </c>
      <c r="P474" s="64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50"/>
      <c r="R474" s="550"/>
      <c r="S474" s="550"/>
      <c r="T474" s="551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721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722</v>
      </c>
      <c r="B475" s="54" t="s">
        <v>723</v>
      </c>
      <c r="C475" s="31">
        <v>4301020260</v>
      </c>
      <c r="D475" s="547">
        <v>4640242180526</v>
      </c>
      <c r="E475" s="548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88" t="s">
        <v>724</v>
      </c>
      <c r="Q475" s="550"/>
      <c r="R475" s="550"/>
      <c r="S475" s="550"/>
      <c r="T475" s="551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725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726</v>
      </c>
      <c r="B476" s="54" t="s">
        <v>727</v>
      </c>
      <c r="C476" s="31">
        <v>4301020295</v>
      </c>
      <c r="D476" s="547">
        <v>4640242181363</v>
      </c>
      <c r="E476" s="548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106</v>
      </c>
      <c r="L476" s="32"/>
      <c r="M476" s="33" t="s">
        <v>102</v>
      </c>
      <c r="N476" s="33"/>
      <c r="O476" s="32">
        <v>50</v>
      </c>
      <c r="P476" s="62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50"/>
      <c r="R476" s="550"/>
      <c r="S476" s="550"/>
      <c r="T476" s="551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9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70"/>
      <c r="P477" s="557" t="s">
        <v>70</v>
      </c>
      <c r="Q477" s="558"/>
      <c r="R477" s="558"/>
      <c r="S477" s="558"/>
      <c r="T477" s="558"/>
      <c r="U477" s="558"/>
      <c r="V477" s="559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x14ac:dyDescent="0.2">
      <c r="A478" s="556"/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70"/>
      <c r="P478" s="557" t="s">
        <v>70</v>
      </c>
      <c r="Q478" s="558"/>
      <c r="R478" s="558"/>
      <c r="S478" s="558"/>
      <c r="T478" s="558"/>
      <c r="U478" s="558"/>
      <c r="V478" s="559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customHeight="1" x14ac:dyDescent="0.25">
      <c r="A479" s="555" t="s">
        <v>63</v>
      </c>
      <c r="B479" s="556"/>
      <c r="C479" s="556"/>
      <c r="D479" s="556"/>
      <c r="E479" s="556"/>
      <c r="F479" s="556"/>
      <c r="G479" s="556"/>
      <c r="H479" s="556"/>
      <c r="I479" s="556"/>
      <c r="J479" s="556"/>
      <c r="K479" s="556"/>
      <c r="L479" s="556"/>
      <c r="M479" s="556"/>
      <c r="N479" s="556"/>
      <c r="O479" s="556"/>
      <c r="P479" s="556"/>
      <c r="Q479" s="556"/>
      <c r="R479" s="556"/>
      <c r="S479" s="556"/>
      <c r="T479" s="556"/>
      <c r="U479" s="556"/>
      <c r="V479" s="556"/>
      <c r="W479" s="556"/>
      <c r="X479" s="556"/>
      <c r="Y479" s="556"/>
      <c r="Z479" s="556"/>
      <c r="AA479" s="539"/>
      <c r="AB479" s="539"/>
      <c r="AC479" s="539"/>
    </row>
    <row r="480" spans="1:68" ht="27" customHeight="1" x14ac:dyDescent="0.25">
      <c r="A480" s="54" t="s">
        <v>729</v>
      </c>
      <c r="B480" s="54" t="s">
        <v>730</v>
      </c>
      <c r="C480" s="31">
        <v>4301031280</v>
      </c>
      <c r="D480" s="547">
        <v>4640242180816</v>
      </c>
      <c r="E480" s="548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106</v>
      </c>
      <c r="L480" s="32"/>
      <c r="M480" s="33" t="s">
        <v>67</v>
      </c>
      <c r="N480" s="33"/>
      <c r="O480" s="32">
        <v>40</v>
      </c>
      <c r="P480" s="67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50"/>
      <c r="R480" s="550"/>
      <c r="S480" s="550"/>
      <c r="T480" s="551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731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732</v>
      </c>
      <c r="B481" s="54" t="s">
        <v>733</v>
      </c>
      <c r="C481" s="31">
        <v>4301031244</v>
      </c>
      <c r="D481" s="547">
        <v>4640242180595</v>
      </c>
      <c r="E481" s="548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66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50"/>
      <c r="R481" s="550"/>
      <c r="S481" s="550"/>
      <c r="T481" s="551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69"/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70"/>
      <c r="P482" s="557" t="s">
        <v>70</v>
      </c>
      <c r="Q482" s="558"/>
      <c r="R482" s="558"/>
      <c r="S482" s="558"/>
      <c r="T482" s="558"/>
      <c r="U482" s="558"/>
      <c r="V482" s="559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x14ac:dyDescent="0.2">
      <c r="A483" s="556"/>
      <c r="B483" s="556"/>
      <c r="C483" s="556"/>
      <c r="D483" s="556"/>
      <c r="E483" s="556"/>
      <c r="F483" s="556"/>
      <c r="G483" s="556"/>
      <c r="H483" s="556"/>
      <c r="I483" s="556"/>
      <c r="J483" s="556"/>
      <c r="K483" s="556"/>
      <c r="L483" s="556"/>
      <c r="M483" s="556"/>
      <c r="N483" s="556"/>
      <c r="O483" s="570"/>
      <c r="P483" s="557" t="s">
        <v>70</v>
      </c>
      <c r="Q483" s="558"/>
      <c r="R483" s="558"/>
      <c r="S483" s="558"/>
      <c r="T483" s="558"/>
      <c r="U483" s="558"/>
      <c r="V483" s="559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customHeight="1" x14ac:dyDescent="0.25">
      <c r="A484" s="555" t="s">
        <v>72</v>
      </c>
      <c r="B484" s="556"/>
      <c r="C484" s="556"/>
      <c r="D484" s="556"/>
      <c r="E484" s="556"/>
      <c r="F484" s="556"/>
      <c r="G484" s="556"/>
      <c r="H484" s="556"/>
      <c r="I484" s="556"/>
      <c r="J484" s="556"/>
      <c r="K484" s="556"/>
      <c r="L484" s="556"/>
      <c r="M484" s="556"/>
      <c r="N484" s="556"/>
      <c r="O484" s="556"/>
      <c r="P484" s="556"/>
      <c r="Q484" s="556"/>
      <c r="R484" s="556"/>
      <c r="S484" s="556"/>
      <c r="T484" s="556"/>
      <c r="U484" s="556"/>
      <c r="V484" s="556"/>
      <c r="W484" s="556"/>
      <c r="X484" s="556"/>
      <c r="Y484" s="556"/>
      <c r="Z484" s="556"/>
      <c r="AA484" s="539"/>
      <c r="AB484" s="539"/>
      <c r="AC484" s="539"/>
    </row>
    <row r="485" spans="1:68" ht="27" customHeight="1" x14ac:dyDescent="0.25">
      <c r="A485" s="54" t="s">
        <v>735</v>
      </c>
      <c r="B485" s="54" t="s">
        <v>736</v>
      </c>
      <c r="C485" s="31">
        <v>4301052046</v>
      </c>
      <c r="D485" s="547">
        <v>4640242180533</v>
      </c>
      <c r="E485" s="548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101</v>
      </c>
      <c r="L485" s="32"/>
      <c r="M485" s="33" t="s">
        <v>83</v>
      </c>
      <c r="N485" s="33"/>
      <c r="O485" s="32">
        <v>45</v>
      </c>
      <c r="P485" s="75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50"/>
      <c r="R485" s="550"/>
      <c r="S485" s="550"/>
      <c r="T485" s="551"/>
      <c r="U485" s="34"/>
      <c r="V485" s="34"/>
      <c r="W485" s="35" t="s">
        <v>68</v>
      </c>
      <c r="X485" s="543">
        <v>1300</v>
      </c>
      <c r="Y485" s="544">
        <f>IFERROR(IF(X485="",0,CEILING((X485/$H485),1)*$H485),"")</f>
        <v>1305</v>
      </c>
      <c r="Z485" s="36">
        <f>IFERROR(IF(Y485=0,"",ROUNDUP(Y485/H485,0)*0.01898),"")</f>
        <v>2.7521</v>
      </c>
      <c r="AA485" s="56"/>
      <c r="AB485" s="57"/>
      <c r="AC485" s="527" t="s">
        <v>737</v>
      </c>
      <c r="AG485" s="64"/>
      <c r="AJ485" s="68"/>
      <c r="AK485" s="68">
        <v>0</v>
      </c>
      <c r="BB485" s="528" t="s">
        <v>1</v>
      </c>
      <c r="BM485" s="64">
        <f>IFERROR(X485*I485/H485,"0")</f>
        <v>1374.9666666666667</v>
      </c>
      <c r="BN485" s="64">
        <f>IFERROR(Y485*I485/H485,"0")</f>
        <v>1380.2550000000001</v>
      </c>
      <c r="BO485" s="64">
        <f>IFERROR(1/J485*(X485/H485),"0")</f>
        <v>2.2569444444444446</v>
      </c>
      <c r="BP485" s="64">
        <f>IFERROR(1/J485*(Y485/H485),"0")</f>
        <v>2.265625</v>
      </c>
    </row>
    <row r="486" spans="1:68" x14ac:dyDescent="0.2">
      <c r="A486" s="569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70"/>
      <c r="P486" s="557" t="s">
        <v>70</v>
      </c>
      <c r="Q486" s="558"/>
      <c r="R486" s="558"/>
      <c r="S486" s="558"/>
      <c r="T486" s="558"/>
      <c r="U486" s="558"/>
      <c r="V486" s="559"/>
      <c r="W486" s="37" t="s">
        <v>71</v>
      </c>
      <c r="X486" s="545">
        <f>IFERROR(X485/H485,"0")</f>
        <v>144.44444444444446</v>
      </c>
      <c r="Y486" s="545">
        <f>IFERROR(Y485/H485,"0")</f>
        <v>145</v>
      </c>
      <c r="Z486" s="545">
        <f>IFERROR(IF(Z485="",0,Z485),"0")</f>
        <v>2.7521</v>
      </c>
      <c r="AA486" s="546"/>
      <c r="AB486" s="546"/>
      <c r="AC486" s="546"/>
    </row>
    <row r="487" spans="1:68" x14ac:dyDescent="0.2">
      <c r="A487" s="556"/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70"/>
      <c r="P487" s="557" t="s">
        <v>70</v>
      </c>
      <c r="Q487" s="558"/>
      <c r="R487" s="558"/>
      <c r="S487" s="558"/>
      <c r="T487" s="558"/>
      <c r="U487" s="558"/>
      <c r="V487" s="559"/>
      <c r="W487" s="37" t="s">
        <v>68</v>
      </c>
      <c r="X487" s="545">
        <f>IFERROR(SUM(X485:X485),"0")</f>
        <v>1300</v>
      </c>
      <c r="Y487" s="545">
        <f>IFERROR(SUM(Y485:Y485),"0")</f>
        <v>1305</v>
      </c>
      <c r="Z487" s="37"/>
      <c r="AA487" s="546"/>
      <c r="AB487" s="546"/>
      <c r="AC487" s="546"/>
    </row>
    <row r="488" spans="1:68" ht="14.25" customHeight="1" x14ac:dyDescent="0.25">
      <c r="A488" s="555" t="s">
        <v>160</v>
      </c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6"/>
      <c r="P488" s="556"/>
      <c r="Q488" s="556"/>
      <c r="R488" s="556"/>
      <c r="S488" s="556"/>
      <c r="T488" s="556"/>
      <c r="U488" s="556"/>
      <c r="V488" s="556"/>
      <c r="W488" s="556"/>
      <c r="X488" s="556"/>
      <c r="Y488" s="556"/>
      <c r="Z488" s="556"/>
      <c r="AA488" s="539"/>
      <c r="AB488" s="539"/>
      <c r="AC488" s="539"/>
    </row>
    <row r="489" spans="1:68" ht="27" customHeight="1" x14ac:dyDescent="0.25">
      <c r="A489" s="54" t="s">
        <v>738</v>
      </c>
      <c r="B489" s="54" t="s">
        <v>739</v>
      </c>
      <c r="C489" s="31">
        <v>4301060491</v>
      </c>
      <c r="D489" s="547">
        <v>4640242180120</v>
      </c>
      <c r="E489" s="548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101</v>
      </c>
      <c r="L489" s="32"/>
      <c r="M489" s="33" t="s">
        <v>76</v>
      </c>
      <c r="N489" s="33"/>
      <c r="O489" s="32">
        <v>40</v>
      </c>
      <c r="P489" s="721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50"/>
      <c r="R489" s="550"/>
      <c r="S489" s="550"/>
      <c r="T489" s="551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740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741</v>
      </c>
      <c r="B490" s="54" t="s">
        <v>742</v>
      </c>
      <c r="C490" s="31">
        <v>4301060493</v>
      </c>
      <c r="D490" s="547">
        <v>4640242180137</v>
      </c>
      <c r="E490" s="548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79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50"/>
      <c r="R490" s="550"/>
      <c r="S490" s="550"/>
      <c r="T490" s="551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69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70"/>
      <c r="P491" s="557" t="s">
        <v>70</v>
      </c>
      <c r="Q491" s="558"/>
      <c r="R491" s="558"/>
      <c r="S491" s="558"/>
      <c r="T491" s="558"/>
      <c r="U491" s="558"/>
      <c r="V491" s="559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x14ac:dyDescent="0.2">
      <c r="A492" s="556"/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570"/>
      <c r="P492" s="557" t="s">
        <v>70</v>
      </c>
      <c r="Q492" s="558"/>
      <c r="R492" s="558"/>
      <c r="S492" s="558"/>
      <c r="T492" s="558"/>
      <c r="U492" s="558"/>
      <c r="V492" s="559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customHeight="1" x14ac:dyDescent="0.25">
      <c r="A493" s="562" t="s">
        <v>744</v>
      </c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556"/>
      <c r="P493" s="556"/>
      <c r="Q493" s="556"/>
      <c r="R493" s="556"/>
      <c r="S493" s="556"/>
      <c r="T493" s="556"/>
      <c r="U493" s="556"/>
      <c r="V493" s="556"/>
      <c r="W493" s="556"/>
      <c r="X493" s="556"/>
      <c r="Y493" s="556"/>
      <c r="Z493" s="556"/>
      <c r="AA493" s="538"/>
      <c r="AB493" s="538"/>
      <c r="AC493" s="538"/>
    </row>
    <row r="494" spans="1:68" ht="14.25" customHeight="1" x14ac:dyDescent="0.25">
      <c r="A494" s="555" t="s">
        <v>130</v>
      </c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556"/>
      <c r="P494" s="556"/>
      <c r="Q494" s="556"/>
      <c r="R494" s="556"/>
      <c r="S494" s="556"/>
      <c r="T494" s="556"/>
      <c r="U494" s="556"/>
      <c r="V494" s="556"/>
      <c r="W494" s="556"/>
      <c r="X494" s="556"/>
      <c r="Y494" s="556"/>
      <c r="Z494" s="556"/>
      <c r="AA494" s="539"/>
      <c r="AB494" s="539"/>
      <c r="AC494" s="539"/>
    </row>
    <row r="495" spans="1:68" ht="27" customHeight="1" x14ac:dyDescent="0.25">
      <c r="A495" s="54" t="s">
        <v>745</v>
      </c>
      <c r="B495" s="54" t="s">
        <v>746</v>
      </c>
      <c r="C495" s="31">
        <v>4301020314</v>
      </c>
      <c r="D495" s="547">
        <v>4640242180090</v>
      </c>
      <c r="E495" s="548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101</v>
      </c>
      <c r="L495" s="32"/>
      <c r="M495" s="33" t="s">
        <v>102</v>
      </c>
      <c r="N495" s="33"/>
      <c r="O495" s="32">
        <v>50</v>
      </c>
      <c r="P495" s="690" t="s">
        <v>747</v>
      </c>
      <c r="Q495" s="550"/>
      <c r="R495" s="550"/>
      <c r="S495" s="550"/>
      <c r="T495" s="551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748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69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70"/>
      <c r="P496" s="557" t="s">
        <v>70</v>
      </c>
      <c r="Q496" s="558"/>
      <c r="R496" s="558"/>
      <c r="S496" s="558"/>
      <c r="T496" s="558"/>
      <c r="U496" s="558"/>
      <c r="V496" s="559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6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570"/>
      <c r="P497" s="557" t="s">
        <v>70</v>
      </c>
      <c r="Q497" s="558"/>
      <c r="R497" s="558"/>
      <c r="S497" s="558"/>
      <c r="T497" s="558"/>
      <c r="U497" s="558"/>
      <c r="V497" s="559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41"/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708"/>
      <c r="P498" s="603" t="s">
        <v>749</v>
      </c>
      <c r="Q498" s="604"/>
      <c r="R498" s="604"/>
      <c r="S498" s="604"/>
      <c r="T498" s="604"/>
      <c r="U498" s="604"/>
      <c r="V498" s="605"/>
      <c r="W498" s="37" t="s">
        <v>68</v>
      </c>
      <c r="X498" s="545">
        <f>IFERROR(X24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442+X448+X457+X463+X472+X478+X483+X487+X492+X497,"0")</f>
        <v>13311.3</v>
      </c>
      <c r="Y498" s="545">
        <f>IFERROR(Y24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442+Y448+Y457+Y463+Y472+Y478+Y483+Y487+Y492+Y497,"0")</f>
        <v>13482.76</v>
      </c>
      <c r="Z498" s="37"/>
      <c r="AA498" s="546"/>
      <c r="AB498" s="546"/>
      <c r="AC498" s="546"/>
    </row>
    <row r="499" spans="1:32" x14ac:dyDescent="0.2">
      <c r="A499" s="556"/>
      <c r="B499" s="556"/>
      <c r="C499" s="556"/>
      <c r="D499" s="556"/>
      <c r="E499" s="556"/>
      <c r="F499" s="556"/>
      <c r="G499" s="556"/>
      <c r="H499" s="556"/>
      <c r="I499" s="556"/>
      <c r="J499" s="556"/>
      <c r="K499" s="556"/>
      <c r="L499" s="556"/>
      <c r="M499" s="556"/>
      <c r="N499" s="556"/>
      <c r="O499" s="708"/>
      <c r="P499" s="603" t="s">
        <v>750</v>
      </c>
      <c r="Q499" s="604"/>
      <c r="R499" s="604"/>
      <c r="S499" s="604"/>
      <c r="T499" s="604"/>
      <c r="U499" s="604"/>
      <c r="V499" s="605"/>
      <c r="W499" s="37" t="s">
        <v>68</v>
      </c>
      <c r="X499" s="545">
        <f>IFERROR(SUM(BM22:BM495),"0")</f>
        <v>14228.129567986291</v>
      </c>
      <c r="Y499" s="545">
        <f>IFERROR(SUM(BN22:BN495),"0")</f>
        <v>14413.273000000001</v>
      </c>
      <c r="Z499" s="37"/>
      <c r="AA499" s="546"/>
      <c r="AB499" s="546"/>
      <c r="AC499" s="546"/>
    </row>
    <row r="500" spans="1:32" x14ac:dyDescent="0.2">
      <c r="A500" s="556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708"/>
      <c r="P500" s="603" t="s">
        <v>751</v>
      </c>
      <c r="Q500" s="604"/>
      <c r="R500" s="604"/>
      <c r="S500" s="604"/>
      <c r="T500" s="604"/>
      <c r="U500" s="604"/>
      <c r="V500" s="605"/>
      <c r="W500" s="37" t="s">
        <v>752</v>
      </c>
      <c r="X500" s="38">
        <f>ROUNDUP(SUM(BO22:BO495),0)</f>
        <v>23</v>
      </c>
      <c r="Y500" s="38">
        <f>ROUNDUP(SUM(BP22:BP495),0)</f>
        <v>24</v>
      </c>
      <c r="Z500" s="37"/>
      <c r="AA500" s="546"/>
      <c r="AB500" s="546"/>
      <c r="AC500" s="546"/>
    </row>
    <row r="501" spans="1:32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708"/>
      <c r="P501" s="603" t="s">
        <v>753</v>
      </c>
      <c r="Q501" s="604"/>
      <c r="R501" s="604"/>
      <c r="S501" s="604"/>
      <c r="T501" s="604"/>
      <c r="U501" s="604"/>
      <c r="V501" s="605"/>
      <c r="W501" s="37" t="s">
        <v>68</v>
      </c>
      <c r="X501" s="545">
        <f>GrossWeightTotal+PalletQtyTotal*25</f>
        <v>14803.129567986291</v>
      </c>
      <c r="Y501" s="545">
        <f>GrossWeightTotalR+PalletQtyTotalR*25</f>
        <v>15013.273000000001</v>
      </c>
      <c r="Z501" s="37"/>
      <c r="AA501" s="546"/>
      <c r="AB501" s="546"/>
      <c r="AC501" s="546"/>
    </row>
    <row r="502" spans="1:32" x14ac:dyDescent="0.2">
      <c r="A502" s="55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708"/>
      <c r="P502" s="603" t="s">
        <v>754</v>
      </c>
      <c r="Q502" s="604"/>
      <c r="R502" s="604"/>
      <c r="S502" s="604"/>
      <c r="T502" s="604"/>
      <c r="U502" s="604"/>
      <c r="V502" s="605"/>
      <c r="W502" s="37" t="s">
        <v>752</v>
      </c>
      <c r="X502" s="545">
        <f>IFERROR(X23+X31+X35+X43+X47+X57+X63+X69+X77+X82+X89+X96+X104+X110+X117+X121+X127+X132+X137+X143+X149+X155+X167+X173+X177+X183+X188+X199+X211+X216+X229+X233+X237+X245+X254+X262+X269+X274+X278+X283+X292+X302+X310+X316+X323+X329+X336+X348+X353+X358+X362+X369+X373+X378+X382+X397+X402+X407+X414+X419+X424+X441+X447+X456+X462+X471+X477+X482+X486+X491+X496,"0")</f>
        <v>2584.868717914695</v>
      </c>
      <c r="Y502" s="545">
        <f>IFERROR(Y23+Y31+Y35+Y43+Y47+Y57+Y63+Y69+Y77+Y82+Y89+Y96+Y104+Y110+Y117+Y121+Y127+Y132+Y137+Y143+Y149+Y155+Y167+Y173+Y177+Y183+Y188+Y199+Y211+Y216+Y229+Y233+Y237+Y245+Y254+Y262+Y269+Y274+Y278+Y283+Y292+Y302+Y310+Y316+Y323+Y329+Y336+Y348+Y353+Y358+Y362+Y369+Y373+Y378+Y382+Y397+Y402+Y407+Y414+Y419+Y424+Y441+Y447+Y456+Y462+Y471+Y477+Y482+Y486+Y491+Y496,"0")</f>
        <v>2614</v>
      </c>
      <c r="Z502" s="37"/>
      <c r="AA502" s="546"/>
      <c r="AB502" s="546"/>
      <c r="AC502" s="546"/>
    </row>
    <row r="503" spans="1:32" ht="14.25" customHeight="1" x14ac:dyDescent="0.2">
      <c r="A503" s="556"/>
      <c r="B503" s="556"/>
      <c r="C503" s="556"/>
      <c r="D503" s="556"/>
      <c r="E503" s="556"/>
      <c r="F503" s="556"/>
      <c r="G503" s="556"/>
      <c r="H503" s="556"/>
      <c r="I503" s="556"/>
      <c r="J503" s="556"/>
      <c r="K503" s="556"/>
      <c r="L503" s="556"/>
      <c r="M503" s="556"/>
      <c r="N503" s="556"/>
      <c r="O503" s="708"/>
      <c r="P503" s="603" t="s">
        <v>755</v>
      </c>
      <c r="Q503" s="604"/>
      <c r="R503" s="604"/>
      <c r="S503" s="604"/>
      <c r="T503" s="604"/>
      <c r="U503" s="604"/>
      <c r="V503" s="605"/>
      <c r="W503" s="39" t="s">
        <v>756</v>
      </c>
      <c r="X503" s="37"/>
      <c r="Y503" s="37"/>
      <c r="Z503" s="37">
        <f>IFERROR(Z23+Z31+Z35+Z43+Z47+Z57+Z63+Z69+Z77+Z82+Z89+Z96+Z104+Z110+Z117+Z121+Z127+Z132+Z137+Z143+Z149+Z155+Z167+Z173+Z177+Z183+Z188+Z199+Z211+Z216+Z229+Z233+Z237+Z245+Z254+Z262+Z269+Z274+Z278+Z283+Z292+Z302+Z310+Z316+Z323+Z329+Z336+Z348+Z353+Z358+Z362+Z369+Z373+Z378+Z382+Z397+Z402+Z407+Z414+Z419+Z424+Z441+Z447+Z456+Z462+Z471+Z477+Z482+Z486+Z491+Z496,"0")</f>
        <v>27.013309999999997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757</v>
      </c>
      <c r="B505" s="540" t="s">
        <v>62</v>
      </c>
      <c r="C505" s="567" t="s">
        <v>96</v>
      </c>
      <c r="D505" s="630"/>
      <c r="E505" s="630"/>
      <c r="F505" s="630"/>
      <c r="G505" s="630"/>
      <c r="H505" s="631"/>
      <c r="I505" s="567" t="s">
        <v>245</v>
      </c>
      <c r="J505" s="630"/>
      <c r="K505" s="630"/>
      <c r="L505" s="630"/>
      <c r="M505" s="630"/>
      <c r="N505" s="630"/>
      <c r="O505" s="630"/>
      <c r="P505" s="630"/>
      <c r="Q505" s="630"/>
      <c r="R505" s="630"/>
      <c r="S505" s="631"/>
      <c r="T505" s="567" t="s">
        <v>531</v>
      </c>
      <c r="U505" s="631"/>
      <c r="V505" s="567" t="s">
        <v>587</v>
      </c>
      <c r="W505" s="630"/>
      <c r="X505" s="630"/>
      <c r="Y505" s="631"/>
      <c r="Z505" s="540" t="s">
        <v>643</v>
      </c>
      <c r="AA505" s="567" t="s">
        <v>707</v>
      </c>
      <c r="AB505" s="631"/>
      <c r="AC505" s="52"/>
      <c r="AF505" s="541"/>
    </row>
    <row r="506" spans="1:32" ht="14.25" customHeight="1" thickTop="1" x14ac:dyDescent="0.2">
      <c r="A506" s="739" t="s">
        <v>758</v>
      </c>
      <c r="B506" s="567" t="s">
        <v>62</v>
      </c>
      <c r="C506" s="567" t="s">
        <v>97</v>
      </c>
      <c r="D506" s="567" t="s">
        <v>112</v>
      </c>
      <c r="E506" s="567" t="s">
        <v>167</v>
      </c>
      <c r="F506" s="567" t="s">
        <v>187</v>
      </c>
      <c r="G506" s="567" t="s">
        <v>217</v>
      </c>
      <c r="H506" s="567" t="s">
        <v>96</v>
      </c>
      <c r="I506" s="567" t="s">
        <v>246</v>
      </c>
      <c r="J506" s="567" t="s">
        <v>286</v>
      </c>
      <c r="K506" s="567" t="s">
        <v>346</v>
      </c>
      <c r="L506" s="567" t="s">
        <v>390</v>
      </c>
      <c r="M506" s="567" t="s">
        <v>406</v>
      </c>
      <c r="N506" s="541"/>
      <c r="O506" s="567" t="s">
        <v>420</v>
      </c>
      <c r="P506" s="567" t="s">
        <v>430</v>
      </c>
      <c r="Q506" s="567" t="s">
        <v>437</v>
      </c>
      <c r="R506" s="567" t="s">
        <v>442</v>
      </c>
      <c r="S506" s="567" t="s">
        <v>521</v>
      </c>
      <c r="T506" s="567" t="s">
        <v>532</v>
      </c>
      <c r="U506" s="567" t="s">
        <v>567</v>
      </c>
      <c r="V506" s="567" t="s">
        <v>588</v>
      </c>
      <c r="W506" s="567" t="s">
        <v>620</v>
      </c>
      <c r="X506" s="567" t="s">
        <v>635</v>
      </c>
      <c r="Y506" s="567" t="s">
        <v>639</v>
      </c>
      <c r="Z506" s="567" t="s">
        <v>643</v>
      </c>
      <c r="AA506" s="567" t="s">
        <v>707</v>
      </c>
      <c r="AB506" s="567" t="s">
        <v>744</v>
      </c>
      <c r="AC506" s="52"/>
      <c r="AF506" s="541"/>
    </row>
    <row r="507" spans="1:32" ht="13.5" customHeight="1" thickBot="1" x14ac:dyDescent="0.25">
      <c r="A507" s="740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41"/>
      <c r="O507" s="568"/>
      <c r="P507" s="568"/>
      <c r="Q507" s="568"/>
      <c r="R507" s="568"/>
      <c r="S507" s="568"/>
      <c r="T507" s="568"/>
      <c r="U507" s="568"/>
      <c r="V507" s="568"/>
      <c r="W507" s="568"/>
      <c r="X507" s="568"/>
      <c r="Y507" s="568"/>
      <c r="Z507" s="568"/>
      <c r="AA507" s="568"/>
      <c r="AB507" s="568"/>
      <c r="AC507" s="52"/>
      <c r="AF507" s="541"/>
    </row>
    <row r="508" spans="1:32" ht="18" customHeight="1" thickTop="1" thickBot="1" x14ac:dyDescent="0.25">
      <c r="A508" s="40" t="s">
        <v>759</v>
      </c>
      <c r="B508" s="46">
        <f>IFERROR(Y22*1,"0")+IFERROR(Y26*1,"0")+IFERROR(Y27*1,"0")+IFERROR(Y28*1,"0")+IFERROR(Y29*1,"0")+IFERROR(Y30*1,"0")+IFERROR(Y34*1,"0")</f>
        <v>0</v>
      </c>
      <c r="C508" s="46">
        <f>IFERROR(Y40*1,"0")+IFERROR(Y41*1,"0")+IFERROR(Y42*1,"0")+IFERROR(Y46*1,"0")</f>
        <v>308</v>
      </c>
      <c r="D508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861.30000000000007</v>
      </c>
      <c r="E508" s="46">
        <f>IFERROR(Y86*1,"0")+IFERROR(Y87*1,"0")+IFERROR(Y88*1,"0")+IFERROR(Y92*1,"0")+IFERROR(Y93*1,"0")+IFERROR(Y94*1,"0")+IFERROR(Y95*1,"0")</f>
        <v>1340.1</v>
      </c>
      <c r="F508" s="46">
        <f>IFERROR(Y100*1,"0")+IFERROR(Y101*1,"0")+IFERROR(Y102*1,"0")+IFERROR(Y103*1,"0")+IFERROR(Y107*1,"0")+IFERROR(Y108*1,"0")+IFERROR(Y109*1,"0")+IFERROR(Y113*1,"0")+IFERROR(Y114*1,"0")+IFERROR(Y115*1,"0")+IFERROR(Y116*1,"0")+IFERROR(Y120*1,"0")</f>
        <v>1118.7</v>
      </c>
      <c r="G508" s="46">
        <f>IFERROR(Y125*1,"0")+IFERROR(Y126*1,"0")+IFERROR(Y130*1,"0")+IFERROR(Y131*1,"0")+IFERROR(Y135*1,"0")+IFERROR(Y136*1,"0")</f>
        <v>112.32</v>
      </c>
      <c r="H508" s="46">
        <f>IFERROR(Y141*1,"0")+IFERROR(Y142*1,"0")+IFERROR(Y146*1,"0")+IFERROR(Y147*1,"0")+IFERROR(Y148*1,"0")</f>
        <v>0</v>
      </c>
      <c r="I508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552.29999999999995</v>
      </c>
      <c r="J508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1590.3</v>
      </c>
      <c r="K508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111.19999999999999</v>
      </c>
      <c r="L508" s="46">
        <f>IFERROR(Y249*1,"0")+IFERROR(Y250*1,"0")+IFERROR(Y251*1,"0")+IFERROR(Y252*1,"0")+IFERROR(Y253*1,"0")</f>
        <v>0</v>
      </c>
      <c r="M508" s="46">
        <f>IFERROR(Y258*1,"0")+IFERROR(Y259*1,"0")+IFERROR(Y260*1,"0")+IFERROR(Y261*1,"0")</f>
        <v>0</v>
      </c>
      <c r="N508" s="541"/>
      <c r="O508" s="46">
        <f>IFERROR(Y266*1,"0")+IFERROR(Y267*1,"0")+IFERROR(Y268*1,"0")</f>
        <v>160.79999999999998</v>
      </c>
      <c r="P508" s="46">
        <f>IFERROR(Y273*1,"0")+IFERROR(Y277*1,"0")</f>
        <v>0</v>
      </c>
      <c r="Q508" s="46">
        <f>IFERROR(Y282*1,"0")</f>
        <v>0</v>
      </c>
      <c r="R508" s="46">
        <f>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693</v>
      </c>
      <c r="S508" s="46">
        <f>IFERROR(Y333*1,"0")+IFERROR(Y334*1,"0")+IFERROR(Y335*1,"0")</f>
        <v>350.70000000000005</v>
      </c>
      <c r="T508" s="46">
        <f>IFERROR(Y341*1,"0")+IFERROR(Y342*1,"0")+IFERROR(Y343*1,"0")+IFERROR(Y344*1,"0")+IFERROR(Y345*1,"0")+IFERROR(Y346*1,"0")+IFERROR(Y347*1,"0")+IFERROR(Y351*1,"0")+IFERROR(Y352*1,"0")+IFERROR(Y356*1,"0")+IFERROR(Y357*1,"0")+IFERROR(Y361*1,"0")</f>
        <v>3735</v>
      </c>
      <c r="U508" s="46">
        <f>IFERROR(Y366*1,"0")+IFERROR(Y367*1,"0")+IFERROR(Y368*1,"0")+IFERROR(Y372*1,"0")+IFERROR(Y376*1,"0")+IFERROR(Y377*1,"0")+IFERROR(Y381*1,"0")</f>
        <v>0</v>
      </c>
      <c r="V508" s="46">
        <f>IFERROR(Y387*1,"0")+IFERROR(Y388*1,"0")+IFERROR(Y389*1,"0")+IFERROR(Y390*1,"0")+IFERROR(Y391*1,"0")+IFERROR(Y392*1,"0")+IFERROR(Y393*1,"0")+IFERROR(Y394*1,"0")+IFERROR(Y395*1,"0")+IFERROR(Y396*1,"0")+IFERROR(Y400*1,"0")+IFERROR(Y401*1,"0")</f>
        <v>138.60000000000002</v>
      </c>
      <c r="W508" s="46">
        <f>IFERROR(Y406*1,"0")+IFERROR(Y410*1,"0")+IFERROR(Y411*1,"0")+IFERROR(Y412*1,"0")+IFERROR(Y413*1,"0")</f>
        <v>8.4</v>
      </c>
      <c r="X508" s="46">
        <f>IFERROR(Y418*1,"0")</f>
        <v>20.399999999999999</v>
      </c>
      <c r="Y508" s="46">
        <f>IFERROR(Y423*1,"0")</f>
        <v>0</v>
      </c>
      <c r="Z508" s="46">
        <f>IFERROR(Y429*1,"0")+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1076.6400000000001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1305</v>
      </c>
      <c r="AB508" s="46">
        <f>IFERROR(Y495*1,"0")</f>
        <v>0</v>
      </c>
      <c r="AC508" s="52"/>
      <c r="AF508" s="541"/>
    </row>
  </sheetData>
  <sheetProtection algorithmName="SHA-512" hashValue="He3XJCJZXuOcUrx4eNku0WcuQQ2iKIEPasCxXjtQFnZIoRu6Bx2UbBpQqpC2EoU+pnWQyXGkVQPem5xG1+6mLw==" saltValue="3JPCBxLNFmR46NhfcptQN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O506:O507"/>
    <mergeCell ref="P311:V311"/>
    <mergeCell ref="A21:Z21"/>
    <mergeCell ref="A428:Z428"/>
    <mergeCell ref="P425:V425"/>
    <mergeCell ref="A129:Z129"/>
    <mergeCell ref="D192:E192"/>
    <mergeCell ref="D42:E42"/>
    <mergeCell ref="A479:Z479"/>
    <mergeCell ref="D344:E344"/>
    <mergeCell ref="P313:T313"/>
    <mergeCell ref="P202:T202"/>
    <mergeCell ref="P307:T307"/>
    <mergeCell ref="P444:T444"/>
    <mergeCell ref="D250:E250"/>
    <mergeCell ref="A188:O189"/>
    <mergeCell ref="A494:Z494"/>
    <mergeCell ref="P216:V216"/>
    <mergeCell ref="A8:C8"/>
    <mergeCell ref="A153:Z153"/>
    <mergeCell ref="A477:O478"/>
    <mergeCell ref="D268:E268"/>
    <mergeCell ref="P138:V138"/>
    <mergeCell ref="A137:O138"/>
    <mergeCell ref="D395:E395"/>
    <mergeCell ref="P496:V496"/>
    <mergeCell ref="P374:V374"/>
    <mergeCell ref="A426:Z426"/>
    <mergeCell ref="A10:C10"/>
    <mergeCell ref="A364:Z364"/>
    <mergeCell ref="P126:T126"/>
    <mergeCell ref="A484:Z484"/>
    <mergeCell ref="P69:V69"/>
    <mergeCell ref="D17:E18"/>
    <mergeCell ref="X17:X18"/>
    <mergeCell ref="Q6:R6"/>
    <mergeCell ref="P243:T243"/>
    <mergeCell ref="P436:T436"/>
    <mergeCell ref="D102:E102"/>
    <mergeCell ref="P379:V379"/>
    <mergeCell ref="A33:Z33"/>
    <mergeCell ref="R506:R507"/>
    <mergeCell ref="D196:E196"/>
    <mergeCell ref="A424:O425"/>
    <mergeCell ref="P419:V419"/>
    <mergeCell ref="P23:V23"/>
    <mergeCell ref="A231:Z231"/>
    <mergeCell ref="D54:E54"/>
    <mergeCell ref="P283:V283"/>
    <mergeCell ref="V12:W12"/>
    <mergeCell ref="P319:T319"/>
    <mergeCell ref="D191:E191"/>
    <mergeCell ref="D433:E433"/>
    <mergeCell ref="P122:V122"/>
    <mergeCell ref="P368:T368"/>
    <mergeCell ref="P43:V43"/>
    <mergeCell ref="A39:Z39"/>
    <mergeCell ref="A373:O374"/>
    <mergeCell ref="P501:V501"/>
    <mergeCell ref="AB506:AB507"/>
    <mergeCell ref="D341:E341"/>
    <mergeCell ref="D170:E170"/>
    <mergeCell ref="D468:E468"/>
    <mergeCell ref="A124:Z124"/>
    <mergeCell ref="P303:V303"/>
    <mergeCell ref="P132:V132"/>
    <mergeCell ref="P72:T72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P136:T136"/>
    <mergeCell ref="P434:T434"/>
    <mergeCell ref="D244:E244"/>
    <mergeCell ref="A358:O359"/>
    <mergeCell ref="G506:G507"/>
    <mergeCell ref="D450:E450"/>
    <mergeCell ref="D394:E394"/>
    <mergeCell ref="D223:E223"/>
    <mergeCell ref="A498:O503"/>
    <mergeCell ref="P181:T181"/>
    <mergeCell ref="P357:T357"/>
    <mergeCell ref="D29:E29"/>
    <mergeCell ref="P506:P507"/>
    <mergeCell ref="P344:T344"/>
    <mergeCell ref="D452:E452"/>
    <mergeCell ref="A318:Z318"/>
    <mergeCell ref="D252:E252"/>
    <mergeCell ref="A112:Z112"/>
    <mergeCell ref="P358:V358"/>
    <mergeCell ref="P137:V137"/>
    <mergeCell ref="A257:Z257"/>
    <mergeCell ref="P439:T439"/>
    <mergeCell ref="D249:E249"/>
    <mergeCell ref="P433:T433"/>
    <mergeCell ref="P353:V353"/>
    <mergeCell ref="P228:T228"/>
    <mergeCell ref="D342:E342"/>
    <mergeCell ref="D171:E171"/>
    <mergeCell ref="F5:G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A294:Z294"/>
    <mergeCell ref="V11:W11"/>
    <mergeCell ref="P367:T367"/>
    <mergeCell ref="D165:E165"/>
    <mergeCell ref="D475:E475"/>
    <mergeCell ref="P75:T75"/>
    <mergeCell ref="P342:T342"/>
    <mergeCell ref="P146:T146"/>
    <mergeCell ref="A20:Z20"/>
    <mergeCell ref="A149:O150"/>
    <mergeCell ref="A447:O448"/>
    <mergeCell ref="AD17:AF18"/>
    <mergeCell ref="A310:O311"/>
    <mergeCell ref="P167:V167"/>
    <mergeCell ref="D101:E101"/>
    <mergeCell ref="P403:V403"/>
    <mergeCell ref="A399:Z399"/>
    <mergeCell ref="P378:V378"/>
    <mergeCell ref="P117:V117"/>
    <mergeCell ref="D76:E76"/>
    <mergeCell ref="A329:O330"/>
    <mergeCell ref="D291:E291"/>
    <mergeCell ref="P60:T60"/>
    <mergeCell ref="P397:V397"/>
    <mergeCell ref="D266:E266"/>
    <mergeCell ref="D95:E95"/>
    <mergeCell ref="A339:Z339"/>
    <mergeCell ref="U17:V17"/>
    <mergeCell ref="Y17:Y18"/>
    <mergeCell ref="P310:V310"/>
    <mergeCell ref="P2:W3"/>
    <mergeCell ref="P498:V498"/>
    <mergeCell ref="A269:O270"/>
    <mergeCell ref="P298:T298"/>
    <mergeCell ref="D437:E437"/>
    <mergeCell ref="D241:E241"/>
    <mergeCell ref="P198:T198"/>
    <mergeCell ref="P347:T347"/>
    <mergeCell ref="A57:O58"/>
    <mergeCell ref="P418:T418"/>
    <mergeCell ref="P54:T54"/>
    <mergeCell ref="D228:E228"/>
    <mergeCell ref="P412:T412"/>
    <mergeCell ref="D333:E333"/>
    <mergeCell ref="A23:O24"/>
    <mergeCell ref="D10:E10"/>
    <mergeCell ref="P135:T135"/>
    <mergeCell ref="P191:T191"/>
    <mergeCell ref="A121:O122"/>
    <mergeCell ref="D305:E305"/>
    <mergeCell ref="D34:E34"/>
    <mergeCell ref="D243:E243"/>
    <mergeCell ref="F10:G10"/>
    <mergeCell ref="P78:V78"/>
    <mergeCell ref="P492:V492"/>
    <mergeCell ref="M17:M18"/>
    <mergeCell ref="A409:Z409"/>
    <mergeCell ref="O17:O18"/>
    <mergeCell ref="A248:Z248"/>
    <mergeCell ref="P430:T430"/>
    <mergeCell ref="P174:V174"/>
    <mergeCell ref="A175:Z175"/>
    <mergeCell ref="A235:Z235"/>
    <mergeCell ref="P102:T102"/>
    <mergeCell ref="A247:Z247"/>
    <mergeCell ref="P189:V189"/>
    <mergeCell ref="P456:V456"/>
    <mergeCell ref="P196:T196"/>
    <mergeCell ref="A185:Z185"/>
    <mergeCell ref="A312:Z312"/>
    <mergeCell ref="P414:V414"/>
    <mergeCell ref="D226:E226"/>
    <mergeCell ref="A106:Z106"/>
    <mergeCell ref="D164:E164"/>
    <mergeCell ref="A404:Z404"/>
    <mergeCell ref="P62:T62"/>
    <mergeCell ref="A201:Z201"/>
    <mergeCell ref="P363:V363"/>
    <mergeCell ref="A9:C9"/>
    <mergeCell ref="D202:E202"/>
    <mergeCell ref="A179:Z179"/>
    <mergeCell ref="A91:Z91"/>
    <mergeCell ref="P337:V337"/>
    <mergeCell ref="P70:V70"/>
    <mergeCell ref="A336:O337"/>
    <mergeCell ref="P32:V32"/>
    <mergeCell ref="Q13:R13"/>
    <mergeCell ref="P97:V97"/>
    <mergeCell ref="P47:V47"/>
    <mergeCell ref="P176:T176"/>
    <mergeCell ref="P114:T114"/>
    <mergeCell ref="P241:T241"/>
    <mergeCell ref="P41:T41"/>
    <mergeCell ref="A157:Z157"/>
    <mergeCell ref="A35:O36"/>
    <mergeCell ref="D22:E22"/>
    <mergeCell ref="D320:E320"/>
    <mergeCell ref="A127:O128"/>
    <mergeCell ref="P301:T301"/>
    <mergeCell ref="P255:V255"/>
    <mergeCell ref="P295:T295"/>
    <mergeCell ref="P34:T34"/>
    <mergeCell ref="P482:V482"/>
    <mergeCell ref="P282:T282"/>
    <mergeCell ref="D154:E154"/>
    <mergeCell ref="I506:I507"/>
    <mergeCell ref="D225:E225"/>
    <mergeCell ref="D461:E461"/>
    <mergeCell ref="P61:T61"/>
    <mergeCell ref="D436:E436"/>
    <mergeCell ref="P490:T490"/>
    <mergeCell ref="P346:T346"/>
    <mergeCell ref="D227:E227"/>
    <mergeCell ref="A397:O398"/>
    <mergeCell ref="P262:V262"/>
    <mergeCell ref="P321:T321"/>
    <mergeCell ref="P125:T125"/>
    <mergeCell ref="H506:H507"/>
    <mergeCell ref="D389:E389"/>
    <mergeCell ref="J506:J507"/>
    <mergeCell ref="P470:T470"/>
    <mergeCell ref="P214:T214"/>
    <mergeCell ref="D86:E86"/>
    <mergeCell ref="P341:T341"/>
    <mergeCell ref="A362:O363"/>
    <mergeCell ref="P284:V284"/>
    <mergeCell ref="G17:G18"/>
    <mergeCell ref="D159:E159"/>
    <mergeCell ref="P407:V407"/>
    <mergeCell ref="P121:V121"/>
    <mergeCell ref="D80:E80"/>
    <mergeCell ref="P382:V382"/>
    <mergeCell ref="A169:Z169"/>
    <mergeCell ref="P471:V471"/>
    <mergeCell ref="D459:E459"/>
    <mergeCell ref="D288:E288"/>
    <mergeCell ref="P130:T130"/>
    <mergeCell ref="A271:Z271"/>
    <mergeCell ref="D136:E136"/>
    <mergeCell ref="D434:E434"/>
    <mergeCell ref="P46:T46"/>
    <mergeCell ref="A110:O111"/>
    <mergeCell ref="D321:E321"/>
    <mergeCell ref="P107:T107"/>
    <mergeCell ref="A402:O403"/>
    <mergeCell ref="P101:T101"/>
    <mergeCell ref="P63:V63"/>
    <mergeCell ref="D215:E215"/>
    <mergeCell ref="A245:O246"/>
    <mergeCell ref="P410:T410"/>
    <mergeCell ref="H5:M5"/>
    <mergeCell ref="P31:V31"/>
    <mergeCell ref="P329:V329"/>
    <mergeCell ref="D439:E439"/>
    <mergeCell ref="P396:T396"/>
    <mergeCell ref="A285:Z285"/>
    <mergeCell ref="P225:T225"/>
    <mergeCell ref="D146:E146"/>
    <mergeCell ref="P461:T461"/>
    <mergeCell ref="D6:M6"/>
    <mergeCell ref="A292:O293"/>
    <mergeCell ref="P162:T162"/>
    <mergeCell ref="A85:Z85"/>
    <mergeCell ref="P460:T460"/>
    <mergeCell ref="D319:E319"/>
    <mergeCell ref="P227:T227"/>
    <mergeCell ref="D368:E368"/>
    <mergeCell ref="P226:T226"/>
    <mergeCell ref="P335:T335"/>
    <mergeCell ref="D207:E207"/>
    <mergeCell ref="P164:T164"/>
    <mergeCell ref="P93:T93"/>
    <mergeCell ref="D299:E299"/>
    <mergeCell ref="D222:E222"/>
    <mergeCell ref="V6:W9"/>
    <mergeCell ref="P234:V234"/>
    <mergeCell ref="A348:O349"/>
    <mergeCell ref="D435:E435"/>
    <mergeCell ref="D186:E186"/>
    <mergeCell ref="D413:E413"/>
    <mergeCell ref="P345:T345"/>
    <mergeCell ref="A155:O156"/>
    <mergeCell ref="P109:T109"/>
    <mergeCell ref="A59:Z59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Z17:Z18"/>
    <mergeCell ref="P173:V173"/>
    <mergeCell ref="P44:V44"/>
    <mergeCell ref="A375:Z375"/>
    <mergeCell ref="P237:V237"/>
    <mergeCell ref="D367:E367"/>
    <mergeCell ref="A464:Z464"/>
    <mergeCell ref="P316:V316"/>
    <mergeCell ref="AA17:AA18"/>
    <mergeCell ref="H10:M10"/>
    <mergeCell ref="S506:S507"/>
    <mergeCell ref="AC17:AC18"/>
    <mergeCell ref="P485:T485"/>
    <mergeCell ref="P108:T108"/>
    <mergeCell ref="D418:E418"/>
    <mergeCell ref="D393:E393"/>
    <mergeCell ref="P251:T251"/>
    <mergeCell ref="A104:O105"/>
    <mergeCell ref="P343:T343"/>
    <mergeCell ref="A462:O463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P333:T333"/>
    <mergeCell ref="P57:V57"/>
    <mergeCell ref="V506:V507"/>
    <mergeCell ref="H17:H18"/>
    <mergeCell ref="P261:T261"/>
    <mergeCell ref="D204:E204"/>
    <mergeCell ref="P388:T388"/>
    <mergeCell ref="P161:T161"/>
    <mergeCell ref="P459:T459"/>
    <mergeCell ref="D198:E198"/>
    <mergeCell ref="D440:E440"/>
    <mergeCell ref="D296:E296"/>
    <mergeCell ref="D489:E489"/>
    <mergeCell ref="P275:V275"/>
    <mergeCell ref="P104:V104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D273:E273"/>
    <mergeCell ref="P327:T327"/>
    <mergeCell ref="A378:O379"/>
    <mergeCell ref="J9:M9"/>
    <mergeCell ref="A283:O284"/>
    <mergeCell ref="P141:T141"/>
    <mergeCell ref="D62:E62"/>
    <mergeCell ref="D56:E56"/>
    <mergeCell ref="D193:E193"/>
    <mergeCell ref="P377:T377"/>
    <mergeCell ref="P206:T206"/>
    <mergeCell ref="D347:E347"/>
    <mergeCell ref="D176:E176"/>
    <mergeCell ref="P155:V155"/>
    <mergeCell ref="D114:E114"/>
    <mergeCell ref="D51:E51"/>
    <mergeCell ref="P306:T306"/>
    <mergeCell ref="A38:Z38"/>
    <mergeCell ref="A280:Z280"/>
    <mergeCell ref="P207:T207"/>
    <mergeCell ref="A302:O303"/>
    <mergeCell ref="P299:T299"/>
    <mergeCell ref="P150:V150"/>
    <mergeCell ref="A338:Z338"/>
    <mergeCell ref="D203:E203"/>
    <mergeCell ref="P232:T232"/>
    <mergeCell ref="P159:T159"/>
    <mergeCell ref="A13:M13"/>
    <mergeCell ref="A119:Z119"/>
    <mergeCell ref="A417:Z417"/>
    <mergeCell ref="T506:T507"/>
    <mergeCell ref="D61:E61"/>
    <mergeCell ref="P115:T115"/>
    <mergeCell ref="A427:Z427"/>
    <mergeCell ref="A256:Z256"/>
    <mergeCell ref="P302:V302"/>
    <mergeCell ref="A15:M15"/>
    <mergeCell ref="D490:E490"/>
    <mergeCell ref="D346:E346"/>
    <mergeCell ref="P204:T204"/>
    <mergeCell ref="A264:Z264"/>
    <mergeCell ref="P446:T446"/>
    <mergeCell ref="D125:E125"/>
    <mergeCell ref="P440:T440"/>
    <mergeCell ref="A506:A507"/>
    <mergeCell ref="D412:E412"/>
    <mergeCell ref="D476:E476"/>
    <mergeCell ref="A380:Z380"/>
    <mergeCell ref="P457:V457"/>
    <mergeCell ref="P393:T393"/>
    <mergeCell ref="D438:E438"/>
    <mergeCell ref="W506:W507"/>
    <mergeCell ref="A493:Z493"/>
    <mergeCell ref="D485:E485"/>
    <mergeCell ref="P149:V149"/>
    <mergeCell ref="A145:Z145"/>
    <mergeCell ref="P447:V447"/>
    <mergeCell ref="A443:Z443"/>
    <mergeCell ref="P387:T387"/>
    <mergeCell ref="A272:Z272"/>
    <mergeCell ref="P489:T489"/>
    <mergeCell ref="P451:T451"/>
    <mergeCell ref="D372:E372"/>
    <mergeCell ref="D335:E335"/>
    <mergeCell ref="P224:T224"/>
    <mergeCell ref="P322:T322"/>
    <mergeCell ref="P260:T260"/>
    <mergeCell ref="P309:T309"/>
    <mergeCell ref="D295:E295"/>
    <mergeCell ref="D172:E172"/>
    <mergeCell ref="A199:O200"/>
    <mergeCell ref="A441:O442"/>
    <mergeCell ref="A350:Z350"/>
    <mergeCell ref="P373:V373"/>
    <mergeCell ref="P500:V500"/>
    <mergeCell ref="T5:U5"/>
    <mergeCell ref="P76:T76"/>
    <mergeCell ref="V5:W5"/>
    <mergeCell ref="P203:T203"/>
    <mergeCell ref="D46:E46"/>
    <mergeCell ref="D40:E40"/>
    <mergeCell ref="A491:O492"/>
    <mergeCell ref="P361:T361"/>
    <mergeCell ref="D282:E282"/>
    <mergeCell ref="P212:V212"/>
    <mergeCell ref="D469:E469"/>
    <mergeCell ref="Q8:R8"/>
    <mergeCell ref="P438:T438"/>
    <mergeCell ref="D444:E444"/>
    <mergeCell ref="P267:T267"/>
    <mergeCell ref="P254:V254"/>
    <mergeCell ref="P83:V83"/>
    <mergeCell ref="A82:O83"/>
    <mergeCell ref="A79:Z79"/>
    <mergeCell ref="T6:U9"/>
    <mergeCell ref="Q10:R10"/>
    <mergeCell ref="D41:E41"/>
    <mergeCell ref="P296:T296"/>
    <mergeCell ref="A486:O487"/>
    <mergeCell ref="AA505:AB505"/>
    <mergeCell ref="A496:O497"/>
    <mergeCell ref="D116:E116"/>
    <mergeCell ref="P15:T16"/>
    <mergeCell ref="D352:E352"/>
    <mergeCell ref="D162:E162"/>
    <mergeCell ref="A69:O70"/>
    <mergeCell ref="D460:E460"/>
    <mergeCell ref="D327:E327"/>
    <mergeCell ref="D454:E454"/>
    <mergeCell ref="P210:T210"/>
    <mergeCell ref="P308:T308"/>
    <mergeCell ref="D93:E93"/>
    <mergeCell ref="P277:T277"/>
    <mergeCell ref="D391:E391"/>
    <mergeCell ref="D220:E220"/>
    <mergeCell ref="P370:V370"/>
    <mergeCell ref="P199:V199"/>
    <mergeCell ref="A369:O370"/>
    <mergeCell ref="P497:V497"/>
    <mergeCell ref="D328:E328"/>
    <mergeCell ref="P263:V263"/>
    <mergeCell ref="D251:E251"/>
    <mergeCell ref="P499:V499"/>
    <mergeCell ref="M506:M507"/>
    <mergeCell ref="V505:Y505"/>
    <mergeCell ref="A262:O263"/>
    <mergeCell ref="A265:Z265"/>
    <mergeCell ref="P486:V486"/>
    <mergeCell ref="P317:V317"/>
    <mergeCell ref="P305:T305"/>
    <mergeCell ref="A421:Z421"/>
    <mergeCell ref="A304:Z304"/>
    <mergeCell ref="P408:V408"/>
    <mergeCell ref="D396:E396"/>
    <mergeCell ref="P450:T450"/>
    <mergeCell ref="L506:L507"/>
    <mergeCell ref="P293:V293"/>
    <mergeCell ref="D343:E343"/>
    <mergeCell ref="A416:Z416"/>
    <mergeCell ref="P372:T372"/>
    <mergeCell ref="P292:V292"/>
    <mergeCell ref="D480:E480"/>
    <mergeCell ref="D467:E467"/>
    <mergeCell ref="D345:E345"/>
    <mergeCell ref="P356:T356"/>
    <mergeCell ref="D277:E277"/>
    <mergeCell ref="P383:V383"/>
    <mergeCell ref="A5:C5"/>
    <mergeCell ref="A473:Z473"/>
    <mergeCell ref="P406:T406"/>
    <mergeCell ref="P64:V64"/>
    <mergeCell ref="P362:V362"/>
    <mergeCell ref="P349:V349"/>
    <mergeCell ref="P420:V420"/>
    <mergeCell ref="D166:E166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D401:E401"/>
    <mergeCell ref="P66:T66"/>
    <mergeCell ref="D9:E9"/>
    <mergeCell ref="P197:T197"/>
    <mergeCell ref="A183:O184"/>
    <mergeCell ref="P53:T53"/>
    <mergeCell ref="A254:O255"/>
    <mergeCell ref="P351:T351"/>
    <mergeCell ref="K506:K507"/>
    <mergeCell ref="P480:T480"/>
    <mergeCell ref="Q12:R12"/>
    <mergeCell ref="A274:O275"/>
    <mergeCell ref="D261:E261"/>
    <mergeCell ref="P411:T411"/>
    <mergeCell ref="P467:T467"/>
    <mergeCell ref="D388:E388"/>
    <mergeCell ref="P354:V354"/>
    <mergeCell ref="P183:V183"/>
    <mergeCell ref="A43:O44"/>
    <mergeCell ref="P133:V133"/>
    <mergeCell ref="P469:T469"/>
    <mergeCell ref="D390:E390"/>
    <mergeCell ref="P491:V491"/>
    <mergeCell ref="P369:V369"/>
    <mergeCell ref="A123:Z123"/>
    <mergeCell ref="P127:V127"/>
    <mergeCell ref="P495:T495"/>
    <mergeCell ref="A419:O420"/>
    <mergeCell ref="P289:T289"/>
    <mergeCell ref="D161:E161"/>
    <mergeCell ref="D232:E232"/>
    <mergeCell ref="P238:V238"/>
    <mergeCell ref="A6:C6"/>
    <mergeCell ref="P415:V415"/>
    <mergeCell ref="D88:E88"/>
    <mergeCell ref="P336:V336"/>
    <mergeCell ref="A332:Z332"/>
    <mergeCell ref="D148:E148"/>
    <mergeCell ref="P142:T142"/>
    <mergeCell ref="D26:E26"/>
    <mergeCell ref="P55:T55"/>
    <mergeCell ref="D115:E115"/>
    <mergeCell ref="P182:T182"/>
    <mergeCell ref="F9:G9"/>
    <mergeCell ref="P68:T68"/>
    <mergeCell ref="P82:V82"/>
    <mergeCell ref="A134:Z134"/>
    <mergeCell ref="A98:Z98"/>
    <mergeCell ref="D52:E52"/>
    <mergeCell ref="P110:V110"/>
    <mergeCell ref="D27:E27"/>
    <mergeCell ref="P208:T208"/>
    <mergeCell ref="A132:O133"/>
    <mergeCell ref="A12:M12"/>
    <mergeCell ref="A180:Z180"/>
    <mergeCell ref="P200:V200"/>
    <mergeCell ref="Q9:R9"/>
    <mergeCell ref="D451:E451"/>
    <mergeCell ref="A331:Z331"/>
    <mergeCell ref="P36:V36"/>
    <mergeCell ref="P478:V478"/>
    <mergeCell ref="P278:V278"/>
    <mergeCell ref="A219:Z219"/>
    <mergeCell ref="Q11:R11"/>
    <mergeCell ref="D322:E322"/>
    <mergeCell ref="P376:T376"/>
    <mergeCell ref="D260:E260"/>
    <mergeCell ref="P205:T205"/>
    <mergeCell ref="D453:E453"/>
    <mergeCell ref="D309:E309"/>
    <mergeCell ref="D113:E113"/>
    <mergeCell ref="P74:T74"/>
    <mergeCell ref="A190:Z190"/>
    <mergeCell ref="A19:Z19"/>
    <mergeCell ref="D182:E182"/>
    <mergeCell ref="D109:E109"/>
    <mergeCell ref="P163:T163"/>
    <mergeCell ref="A14:M14"/>
    <mergeCell ref="A37:Z37"/>
    <mergeCell ref="A139:Z139"/>
    <mergeCell ref="P481:T481"/>
    <mergeCell ref="I17:I18"/>
    <mergeCell ref="D141:E141"/>
    <mergeCell ref="D306:E306"/>
    <mergeCell ref="D135:E135"/>
    <mergeCell ref="D377:E377"/>
    <mergeCell ref="P424:V424"/>
    <mergeCell ref="P287:T287"/>
    <mergeCell ref="P352:T352"/>
    <mergeCell ref="D72:E72"/>
    <mergeCell ref="P178:V178"/>
    <mergeCell ref="A177:O178"/>
    <mergeCell ref="A239:Z239"/>
    <mergeCell ref="P270:V270"/>
    <mergeCell ref="P463:V463"/>
    <mergeCell ref="D74:E74"/>
    <mergeCell ref="D130:E130"/>
    <mergeCell ref="P87:T87"/>
    <mergeCell ref="D68:E68"/>
    <mergeCell ref="P88:T88"/>
    <mergeCell ref="P51:T51"/>
    <mergeCell ref="P26:T26"/>
    <mergeCell ref="A143:O144"/>
    <mergeCell ref="P58:V58"/>
    <mergeCell ref="X506:X507"/>
    <mergeCell ref="I505:S505"/>
    <mergeCell ref="P111:V111"/>
    <mergeCell ref="Z506:Z507"/>
    <mergeCell ref="A405:Z405"/>
    <mergeCell ref="J17:J18"/>
    <mergeCell ref="L17:L18"/>
    <mergeCell ref="P359:V359"/>
    <mergeCell ref="D240:E240"/>
    <mergeCell ref="P48:V48"/>
    <mergeCell ref="A371:Z371"/>
    <mergeCell ref="D334:E334"/>
    <mergeCell ref="P192:T192"/>
    <mergeCell ref="A414:O415"/>
    <mergeCell ref="P348:V348"/>
    <mergeCell ref="P113:T113"/>
    <mergeCell ref="D100:E100"/>
    <mergeCell ref="P17:T18"/>
    <mergeCell ref="P323:V323"/>
    <mergeCell ref="P194:T194"/>
    <mergeCell ref="P250:T250"/>
    <mergeCell ref="A482:O483"/>
    <mergeCell ref="A167:O168"/>
    <mergeCell ref="D158:E158"/>
    <mergeCell ref="T505:U505"/>
    <mergeCell ref="P177:V177"/>
    <mergeCell ref="D356:E356"/>
    <mergeCell ref="C506:C507"/>
    <mergeCell ref="P269:V269"/>
    <mergeCell ref="A45:Z45"/>
    <mergeCell ref="E506:E507"/>
    <mergeCell ref="A458:Z458"/>
    <mergeCell ref="P462:V462"/>
    <mergeCell ref="A281:Z281"/>
    <mergeCell ref="P273:T273"/>
    <mergeCell ref="D387:E387"/>
    <mergeCell ref="P400:T400"/>
    <mergeCell ref="A218:Z218"/>
    <mergeCell ref="D381:E381"/>
    <mergeCell ref="D210:E210"/>
    <mergeCell ref="D308:E308"/>
    <mergeCell ref="D209:E209"/>
    <mergeCell ref="P166:T166"/>
    <mergeCell ref="P188:V188"/>
    <mergeCell ref="D147:E147"/>
    <mergeCell ref="D87:E87"/>
    <mergeCell ref="D445:E445"/>
    <mergeCell ref="D301:E301"/>
    <mergeCell ref="D495:E495"/>
    <mergeCell ref="D28:E28"/>
    <mergeCell ref="D326:E326"/>
    <mergeCell ref="F506:F507"/>
    <mergeCell ref="P476:T476"/>
    <mergeCell ref="D313:E313"/>
    <mergeCell ref="D432:E432"/>
    <mergeCell ref="D236:E236"/>
    <mergeCell ref="P171:T171"/>
    <mergeCell ref="D92:E92"/>
    <mergeCell ref="P413:T413"/>
    <mergeCell ref="P242:T242"/>
    <mergeCell ref="D55:E55"/>
    <mergeCell ref="D30:E30"/>
    <mergeCell ref="D67:E67"/>
    <mergeCell ref="C505:H505"/>
    <mergeCell ref="A140:Z140"/>
    <mergeCell ref="P453:T453"/>
    <mergeCell ref="P42:T42"/>
    <mergeCell ref="D290:E290"/>
    <mergeCell ref="D94:E94"/>
    <mergeCell ref="D361:E361"/>
    <mergeCell ref="P259:T259"/>
    <mergeCell ref="A278:O279"/>
    <mergeCell ref="H1:Q1"/>
    <mergeCell ref="P274:V274"/>
    <mergeCell ref="A99:Z99"/>
    <mergeCell ref="D214:E214"/>
    <mergeCell ref="A286:Z286"/>
    <mergeCell ref="P246:V246"/>
    <mergeCell ref="P120:T120"/>
    <mergeCell ref="D259:E259"/>
    <mergeCell ref="A237:O238"/>
    <mergeCell ref="D5:E5"/>
    <mergeCell ref="P148:T148"/>
    <mergeCell ref="A47:O48"/>
    <mergeCell ref="P240:T240"/>
    <mergeCell ref="A96:O97"/>
    <mergeCell ref="P35:V35"/>
    <mergeCell ref="P116:T116"/>
    <mergeCell ref="A233:O234"/>
    <mergeCell ref="D224:E224"/>
    <mergeCell ref="P103:T103"/>
    <mergeCell ref="P268:T268"/>
    <mergeCell ref="D1:F1"/>
    <mergeCell ref="A71:Z71"/>
    <mergeCell ref="P131:T131"/>
    <mergeCell ref="P187:T187"/>
    <mergeCell ref="D7:M7"/>
    <mergeCell ref="P236:T236"/>
    <mergeCell ref="P156:V156"/>
    <mergeCell ref="A152:Z152"/>
    <mergeCell ref="P334:T334"/>
    <mergeCell ref="P92:T92"/>
    <mergeCell ref="P394:T394"/>
    <mergeCell ref="D315:E315"/>
    <mergeCell ref="AA506:AA507"/>
    <mergeCell ref="D429:E429"/>
    <mergeCell ref="P29:T29"/>
    <mergeCell ref="P100:T100"/>
    <mergeCell ref="D81:E81"/>
    <mergeCell ref="P94:T94"/>
    <mergeCell ref="D208:E208"/>
    <mergeCell ref="D8:M8"/>
    <mergeCell ref="A382:O383"/>
    <mergeCell ref="A211:O212"/>
    <mergeCell ref="D366:E366"/>
    <mergeCell ref="D300:E300"/>
    <mergeCell ref="P279:V279"/>
    <mergeCell ref="P472:V472"/>
    <mergeCell ref="P158:T158"/>
    <mergeCell ref="D406:E406"/>
    <mergeCell ref="D506:D507"/>
    <mergeCell ref="D351:E351"/>
    <mergeCell ref="D411:E411"/>
    <mergeCell ref="P330:V330"/>
    <mergeCell ref="D289:E289"/>
    <mergeCell ref="P160:T160"/>
    <mergeCell ref="A84:Z84"/>
    <mergeCell ref="P209:T209"/>
    <mergeCell ref="A385:Z385"/>
    <mergeCell ref="P147:T147"/>
    <mergeCell ref="P445:T445"/>
    <mergeCell ref="P96:V96"/>
    <mergeCell ref="P90:V90"/>
    <mergeCell ref="P503:V503"/>
    <mergeCell ref="P217:V217"/>
    <mergeCell ref="A384:Z384"/>
    <mergeCell ref="A213:Z213"/>
    <mergeCell ref="A151:Z151"/>
    <mergeCell ref="A449:Z449"/>
    <mergeCell ref="D142:E142"/>
    <mergeCell ref="A386:Z386"/>
    <mergeCell ref="P118:V118"/>
    <mergeCell ref="P487:V487"/>
    <mergeCell ref="P266:T266"/>
    <mergeCell ref="A471:O472"/>
    <mergeCell ref="A422:Z422"/>
    <mergeCell ref="A360:Z360"/>
    <mergeCell ref="P366:T366"/>
    <mergeCell ref="P468:T468"/>
    <mergeCell ref="D474:E474"/>
    <mergeCell ref="D287:E287"/>
    <mergeCell ref="P170:T170"/>
    <mergeCell ref="D66:E66"/>
    <mergeCell ref="D126:E126"/>
    <mergeCell ref="D197:E197"/>
    <mergeCell ref="P381:T381"/>
    <mergeCell ref="D253:E253"/>
    <mergeCell ref="P95:T95"/>
    <mergeCell ref="A355:Z355"/>
    <mergeCell ref="D470:E470"/>
    <mergeCell ref="P398:V398"/>
    <mergeCell ref="P474:T474"/>
    <mergeCell ref="P401:T401"/>
    <mergeCell ref="A456:O457"/>
    <mergeCell ref="D400:E400"/>
    <mergeCell ref="A117:O118"/>
    <mergeCell ref="P429:T429"/>
    <mergeCell ref="P258:T258"/>
    <mergeCell ref="R1:T1"/>
    <mergeCell ref="P28:T28"/>
    <mergeCell ref="P392:T392"/>
    <mergeCell ref="P326:T326"/>
    <mergeCell ref="P221:T221"/>
    <mergeCell ref="A316:O317"/>
    <mergeCell ref="D307:E307"/>
    <mergeCell ref="P215:T215"/>
    <mergeCell ref="P165:T165"/>
    <mergeCell ref="P229:V229"/>
    <mergeCell ref="A89:O90"/>
    <mergeCell ref="D73:E73"/>
    <mergeCell ref="P77:V77"/>
    <mergeCell ref="P30:T30"/>
    <mergeCell ref="P290:T290"/>
    <mergeCell ref="P233:V233"/>
    <mergeCell ref="P230:V230"/>
    <mergeCell ref="A63:O64"/>
    <mergeCell ref="P168:V168"/>
    <mergeCell ref="B17:B18"/>
    <mergeCell ref="A77:O78"/>
    <mergeCell ref="P143:V143"/>
    <mergeCell ref="D131:E131"/>
    <mergeCell ref="D258:E258"/>
    <mergeCell ref="Q506:Q507"/>
    <mergeCell ref="A216:O217"/>
    <mergeCell ref="P86:T86"/>
    <mergeCell ref="P328:T328"/>
    <mergeCell ref="P455:T455"/>
    <mergeCell ref="D376:E376"/>
    <mergeCell ref="D205:E205"/>
    <mergeCell ref="P249:T249"/>
    <mergeCell ref="A365:Z365"/>
    <mergeCell ref="D357:E357"/>
    <mergeCell ref="P172:T172"/>
    <mergeCell ref="P432:T432"/>
    <mergeCell ref="P402:V402"/>
    <mergeCell ref="P452:T452"/>
    <mergeCell ref="P448:V448"/>
    <mergeCell ref="Y506:Y507"/>
    <mergeCell ref="P441:V441"/>
    <mergeCell ref="P477:V477"/>
    <mergeCell ref="A407:O408"/>
    <mergeCell ref="P252:T252"/>
    <mergeCell ref="D195:E195"/>
    <mergeCell ref="A173:O174"/>
    <mergeCell ref="D431:E431"/>
    <mergeCell ref="A229:O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P81:T81"/>
    <mergeCell ref="P56:T56"/>
    <mergeCell ref="V10:W10"/>
    <mergeCell ref="D53:E53"/>
    <mergeCell ref="A50:Z50"/>
    <mergeCell ref="W17:W18"/>
    <mergeCell ref="D108:E108"/>
    <mergeCell ref="P423:T423"/>
    <mergeCell ref="A353:O354"/>
    <mergeCell ref="P223:T223"/>
    <mergeCell ref="P52:T52"/>
    <mergeCell ref="D160:E160"/>
    <mergeCell ref="D60:E60"/>
    <mergeCell ref="P244:T244"/>
    <mergeCell ref="P73:T73"/>
    <mergeCell ref="P437:T437"/>
    <mergeCell ref="P315:T315"/>
    <mergeCell ref="D187:E187"/>
    <mergeCell ref="D423:E423"/>
    <mergeCell ref="D410:E410"/>
    <mergeCell ref="A276:Z276"/>
    <mergeCell ref="P245:V245"/>
    <mergeCell ref="A325:Z325"/>
    <mergeCell ref="P395:T395"/>
    <mergeCell ref="A340:Z340"/>
    <mergeCell ref="D267:E267"/>
    <mergeCell ref="P105:V105"/>
    <mergeCell ref="A323:O324"/>
    <mergeCell ref="D314:E314"/>
    <mergeCell ref="P184:V18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760</v>
      </c>
      <c r="H1" s="52"/>
    </row>
    <row r="3" spans="2:8" x14ac:dyDescent="0.2">
      <c r="B3" s="47" t="s">
        <v>761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762</v>
      </c>
      <c r="D6" s="47" t="s">
        <v>763</v>
      </c>
      <c r="E6" s="47"/>
    </row>
    <row r="7" spans="2:8" x14ac:dyDescent="0.2">
      <c r="B7" s="47" t="s">
        <v>764</v>
      </c>
      <c r="C7" s="47" t="s">
        <v>765</v>
      </c>
      <c r="D7" s="47" t="s">
        <v>766</v>
      </c>
      <c r="E7" s="47"/>
    </row>
    <row r="9" spans="2:8" x14ac:dyDescent="0.2">
      <c r="B9" s="47" t="s">
        <v>767</v>
      </c>
      <c r="C9" s="47" t="s">
        <v>762</v>
      </c>
      <c r="D9" s="47"/>
      <c r="E9" s="47"/>
    </row>
    <row r="11" spans="2:8" x14ac:dyDescent="0.2">
      <c r="B11" s="47" t="s">
        <v>767</v>
      </c>
      <c r="C11" s="47" t="s">
        <v>765</v>
      </c>
      <c r="D11" s="47"/>
      <c r="E11" s="47"/>
    </row>
    <row r="13" spans="2:8" x14ac:dyDescent="0.2">
      <c r="B13" s="47" t="s">
        <v>768</v>
      </c>
      <c r="C13" s="47"/>
      <c r="D13" s="47"/>
      <c r="E13" s="47"/>
    </row>
    <row r="14" spans="2:8" x14ac:dyDescent="0.2">
      <c r="B14" s="47" t="s">
        <v>769</v>
      </c>
      <c r="C14" s="47"/>
      <c r="D14" s="47"/>
      <c r="E14" s="47"/>
    </row>
    <row r="15" spans="2:8" x14ac:dyDescent="0.2">
      <c r="B15" s="47" t="s">
        <v>770</v>
      </c>
      <c r="C15" s="47"/>
      <c r="D15" s="47"/>
      <c r="E15" s="47"/>
    </row>
    <row r="16" spans="2:8" x14ac:dyDescent="0.2">
      <c r="B16" s="47" t="s">
        <v>771</v>
      </c>
      <c r="C16" s="47"/>
      <c r="D16" s="47"/>
      <c r="E16" s="47"/>
    </row>
    <row r="17" spans="2:5" x14ac:dyDescent="0.2">
      <c r="B17" s="47" t="s">
        <v>772</v>
      </c>
      <c r="C17" s="47"/>
      <c r="D17" s="47"/>
      <c r="E17" s="47"/>
    </row>
    <row r="18" spans="2:5" x14ac:dyDescent="0.2">
      <c r="B18" s="47" t="s">
        <v>773</v>
      </c>
      <c r="C18" s="47"/>
      <c r="D18" s="47"/>
      <c r="E18" s="47"/>
    </row>
    <row r="19" spans="2:5" x14ac:dyDescent="0.2">
      <c r="B19" s="47" t="s">
        <v>774</v>
      </c>
      <c r="C19" s="47"/>
      <c r="D19" s="47"/>
      <c r="E19" s="47"/>
    </row>
    <row r="20" spans="2:5" x14ac:dyDescent="0.2">
      <c r="B20" s="47" t="s">
        <v>775</v>
      </c>
      <c r="C20" s="47"/>
      <c r="D20" s="47"/>
      <c r="E20" s="47"/>
    </row>
    <row r="21" spans="2:5" x14ac:dyDescent="0.2">
      <c r="B21" s="47" t="s">
        <v>776</v>
      </c>
      <c r="C21" s="47"/>
      <c r="D21" s="47"/>
      <c r="E21" s="47"/>
    </row>
    <row r="22" spans="2:5" x14ac:dyDescent="0.2">
      <c r="B22" s="47" t="s">
        <v>777</v>
      </c>
      <c r="C22" s="47"/>
      <c r="D22" s="47"/>
      <c r="E22" s="47"/>
    </row>
    <row r="23" spans="2:5" x14ac:dyDescent="0.2">
      <c r="B23" s="47" t="s">
        <v>778</v>
      </c>
      <c r="C23" s="47"/>
      <c r="D23" s="47"/>
      <c r="E23" s="47"/>
    </row>
  </sheetData>
  <sheetProtection algorithmName="SHA-512" hashValue="OE4LaNoExftFRZGHNK3JLHNhD1BTqEQv+JqkcLzrrCLMeMuOE81kS7C9XO/mpuKDo2Ycn3O4vr0JQYSdSSLP9w==" saltValue="IKiz1lc5do+PbVtvHKxZm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975</vt:i4>
      </vt:variant>
    </vt:vector>
  </HeadingPairs>
  <TitlesOfParts>
    <vt:vector size="9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2025-10-15T07:33:14Z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