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6EFAB1-B30A-41EB-81C4-35B31C157F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BO253" i="1"/>
  <c r="BM253" i="1"/>
  <c r="Z253" i="1"/>
  <c r="Y253" i="1"/>
  <c r="P253" i="1"/>
  <c r="X249" i="1"/>
  <c r="X248" i="1"/>
  <c r="BO247" i="1"/>
  <c r="BM247" i="1"/>
  <c r="Z247" i="1"/>
  <c r="Z248" i="1" s="1"/>
  <c r="Y247" i="1"/>
  <c r="P247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Z220" i="1" s="1"/>
  <c r="Y217" i="1"/>
  <c r="P217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Y210" i="1" s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Y103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BO94" i="1"/>
  <c r="BM94" i="1"/>
  <c r="Z94" i="1"/>
  <c r="Y94" i="1"/>
  <c r="BP94" i="1" s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0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6" i="1" l="1"/>
  <c r="X289" i="1"/>
  <c r="Z63" i="1"/>
  <c r="Z69" i="1"/>
  <c r="BN66" i="1"/>
  <c r="Y69" i="1"/>
  <c r="BN68" i="1"/>
  <c r="Y126" i="1"/>
  <c r="BN125" i="1"/>
  <c r="Y138" i="1"/>
  <c r="BN137" i="1"/>
  <c r="BN176" i="1"/>
  <c r="BP176" i="1"/>
  <c r="Y177" i="1"/>
  <c r="Z196" i="1"/>
  <c r="BN194" i="1"/>
  <c r="Y197" i="1"/>
  <c r="Z204" i="1"/>
  <c r="Y75" i="1"/>
  <c r="BP73" i="1"/>
  <c r="BN73" i="1"/>
  <c r="Y132" i="1"/>
  <c r="BP130" i="1"/>
  <c r="BN130" i="1"/>
  <c r="Y144" i="1"/>
  <c r="Y143" i="1"/>
  <c r="BP142" i="1"/>
  <c r="BN142" i="1"/>
  <c r="Y154" i="1"/>
  <c r="Y153" i="1"/>
  <c r="BP152" i="1"/>
  <c r="BN152" i="1"/>
  <c r="BP171" i="1"/>
  <c r="BN171" i="1"/>
  <c r="BP187" i="1"/>
  <c r="BN187" i="1"/>
  <c r="BP189" i="1"/>
  <c r="BN189" i="1"/>
  <c r="BP201" i="1"/>
  <c r="BN201" i="1"/>
  <c r="BP203" i="1"/>
  <c r="BN203" i="1"/>
  <c r="BP218" i="1"/>
  <c r="BN218" i="1"/>
  <c r="Y221" i="1"/>
  <c r="Y233" i="1"/>
  <c r="Y232" i="1"/>
  <c r="BP231" i="1"/>
  <c r="BN231" i="1"/>
  <c r="Y245" i="1"/>
  <c r="Y244" i="1"/>
  <c r="BP243" i="1"/>
  <c r="BN243" i="1"/>
  <c r="Y257" i="1"/>
  <c r="BP253" i="1"/>
  <c r="BN253" i="1"/>
  <c r="BP255" i="1"/>
  <c r="BN255" i="1"/>
  <c r="BP265" i="1"/>
  <c r="BN265" i="1"/>
  <c r="X287" i="1"/>
  <c r="X288" i="1" s="1"/>
  <c r="Z30" i="1"/>
  <c r="Z290" i="1" s="1"/>
  <c r="Z37" i="1"/>
  <c r="BN34" i="1"/>
  <c r="BP34" i="1"/>
  <c r="Y37" i="1"/>
  <c r="BN36" i="1"/>
  <c r="Y45" i="1"/>
  <c r="Y63" i="1"/>
  <c r="BN62" i="1"/>
  <c r="Y70" i="1"/>
  <c r="Y97" i="1"/>
  <c r="BP90" i="1"/>
  <c r="BN90" i="1"/>
  <c r="BP92" i="1"/>
  <c r="BN92" i="1"/>
  <c r="BP95" i="1"/>
  <c r="BN95" i="1"/>
  <c r="Y113" i="1"/>
  <c r="BP107" i="1"/>
  <c r="BN107" i="1"/>
  <c r="BP109" i="1"/>
  <c r="BN109" i="1"/>
  <c r="BP111" i="1"/>
  <c r="BN111" i="1"/>
  <c r="Y149" i="1"/>
  <c r="Y148" i="1"/>
  <c r="BP147" i="1"/>
  <c r="BN147" i="1"/>
  <c r="Y159" i="1"/>
  <c r="Y158" i="1"/>
  <c r="BP157" i="1"/>
  <c r="BN157" i="1"/>
  <c r="Y239" i="1"/>
  <c r="Y238" i="1"/>
  <c r="BP237" i="1"/>
  <c r="BN237" i="1"/>
  <c r="Y249" i="1"/>
  <c r="Y248" i="1"/>
  <c r="BP247" i="1"/>
  <c r="BN247" i="1"/>
  <c r="Z75" i="1"/>
  <c r="Y76" i="1"/>
  <c r="Z86" i="1"/>
  <c r="Z97" i="1"/>
  <c r="Y98" i="1"/>
  <c r="Z103" i="1"/>
  <c r="Z112" i="1"/>
  <c r="Y112" i="1"/>
  <c r="Z126" i="1"/>
  <c r="Z132" i="1"/>
  <c r="Y133" i="1"/>
  <c r="Z138" i="1"/>
  <c r="Y165" i="1"/>
  <c r="Z165" i="1"/>
  <c r="Y174" i="1"/>
  <c r="Z173" i="1"/>
  <c r="Z256" i="1"/>
  <c r="Y261" i="1"/>
  <c r="Y262" i="1"/>
  <c r="Z267" i="1"/>
  <c r="F9" i="1"/>
  <c r="J9" i="1"/>
  <c r="F10" i="1"/>
  <c r="BN22" i="1"/>
  <c r="BP22" i="1"/>
  <c r="Y23" i="1"/>
  <c r="X285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4" i="1"/>
  <c r="BN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67" i="1"/>
  <c r="BP264" i="1"/>
  <c r="BN264" i="1"/>
  <c r="BP266" i="1"/>
  <c r="BN266" i="1"/>
  <c r="H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Y285" i="1" l="1"/>
  <c r="A298" i="1"/>
  <c r="Y287" i="1"/>
  <c r="Y289" i="1"/>
  <c r="C298" i="1" s="1"/>
  <c r="Y286" i="1"/>
  <c r="Y288" i="1" s="1"/>
  <c r="B298" i="1" l="1"/>
</calcChain>
</file>

<file path=xl/sharedStrings.xml><?xml version="1.0" encoding="utf-8"?>
<sst xmlns="http://schemas.openxmlformats.org/spreadsheetml/2006/main" count="1281" uniqueCount="412">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</sst>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42" t="s">
        <v>0</v>
      </c>
      <c r="E1" s="308"/>
      <c r="F1" s="308"/>
      <c r="G1" s="12" t="s">
        <v>1</v>
      </c>
      <c r="H1" s="342" t="s">
        <v>2</v>
      </c>
      <c r="I1" s="308"/>
      <c r="J1" s="308"/>
      <c r="K1" s="308"/>
      <c r="L1" s="308"/>
      <c r="M1" s="308"/>
      <c r="N1" s="308"/>
      <c r="O1" s="308"/>
      <c r="P1" s="308"/>
      <c r="Q1" s="308"/>
      <c r="R1" s="307" t="s">
        <v>3</v>
      </c>
      <c r="S1" s="308"/>
      <c r="T1" s="3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64" t="s">
        <v>8</v>
      </c>
      <c r="B5" s="299"/>
      <c r="C5" s="300"/>
      <c r="D5" s="334"/>
      <c r="E5" s="335"/>
      <c r="F5" s="459" t="s">
        <v>9</v>
      </c>
      <c r="G5" s="300"/>
      <c r="H5" s="334"/>
      <c r="I5" s="423"/>
      <c r="J5" s="423"/>
      <c r="K5" s="423"/>
      <c r="L5" s="423"/>
      <c r="M5" s="335"/>
      <c r="N5" s="61"/>
      <c r="P5" s="24" t="s">
        <v>10</v>
      </c>
      <c r="Q5" s="463">
        <v>45921</v>
      </c>
      <c r="R5" s="358"/>
      <c r="T5" s="386" t="s">
        <v>11</v>
      </c>
      <c r="U5" s="282"/>
      <c r="V5" s="387" t="s">
        <v>12</v>
      </c>
      <c r="W5" s="358"/>
      <c r="AB5" s="51"/>
      <c r="AC5" s="51"/>
      <c r="AD5" s="51"/>
      <c r="AE5" s="51"/>
    </row>
    <row r="6" spans="1:32" s="270" customFormat="1" ht="24" customHeight="1" x14ac:dyDescent="0.2">
      <c r="A6" s="364" t="s">
        <v>13</v>
      </c>
      <c r="B6" s="299"/>
      <c r="C6" s="300"/>
      <c r="D6" s="425" t="s">
        <v>14</v>
      </c>
      <c r="E6" s="426"/>
      <c r="F6" s="426"/>
      <c r="G6" s="426"/>
      <c r="H6" s="426"/>
      <c r="I6" s="426"/>
      <c r="J6" s="426"/>
      <c r="K6" s="426"/>
      <c r="L6" s="426"/>
      <c r="M6" s="358"/>
      <c r="N6" s="62"/>
      <c r="P6" s="24" t="s">
        <v>15</v>
      </c>
      <c r="Q6" s="464" t="str">
        <f>IF(Q5=0," ",CHOOSE(WEEKDAY(Q5,2),"Понедельник","Вторник","Среда","Четверг","Пятница","Суббота","Воскресенье"))</f>
        <v>Воскресенье</v>
      </c>
      <c r="R6" s="288"/>
      <c r="T6" s="389" t="s">
        <v>16</v>
      </c>
      <c r="U6" s="282"/>
      <c r="V6" s="408" t="s">
        <v>17</v>
      </c>
      <c r="W6" s="316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8" t="str">
        <f>IFERROR(VLOOKUP(DeliveryAddress,Table,3,0),1)</f>
        <v>1</v>
      </c>
      <c r="E7" s="319"/>
      <c r="F7" s="319"/>
      <c r="G7" s="319"/>
      <c r="H7" s="319"/>
      <c r="I7" s="319"/>
      <c r="J7" s="319"/>
      <c r="K7" s="319"/>
      <c r="L7" s="319"/>
      <c r="M7" s="320"/>
      <c r="N7" s="63"/>
      <c r="P7" s="24"/>
      <c r="Q7" s="42"/>
      <c r="R7" s="42"/>
      <c r="T7" s="281"/>
      <c r="U7" s="282"/>
      <c r="V7" s="409"/>
      <c r="W7" s="410"/>
      <c r="AB7" s="51"/>
      <c r="AC7" s="51"/>
      <c r="AD7" s="51"/>
      <c r="AE7" s="51"/>
    </row>
    <row r="8" spans="1:32" s="270" customFormat="1" ht="25.5" customHeight="1" x14ac:dyDescent="0.2">
      <c r="A8" s="450" t="s">
        <v>18</v>
      </c>
      <c r="B8" s="293"/>
      <c r="C8" s="294"/>
      <c r="D8" s="326" t="s">
        <v>19</v>
      </c>
      <c r="E8" s="327"/>
      <c r="F8" s="327"/>
      <c r="G8" s="327"/>
      <c r="H8" s="327"/>
      <c r="I8" s="327"/>
      <c r="J8" s="327"/>
      <c r="K8" s="327"/>
      <c r="L8" s="327"/>
      <c r="M8" s="328"/>
      <c r="N8" s="64"/>
      <c r="P8" s="24" t="s">
        <v>20</v>
      </c>
      <c r="Q8" s="368">
        <v>0.41666666666666669</v>
      </c>
      <c r="R8" s="320"/>
      <c r="T8" s="281"/>
      <c r="U8" s="282"/>
      <c r="V8" s="409"/>
      <c r="W8" s="410"/>
      <c r="AB8" s="51"/>
      <c r="AC8" s="51"/>
      <c r="AD8" s="51"/>
      <c r="AE8" s="51"/>
    </row>
    <row r="9" spans="1:32" s="270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75"/>
      <c r="E9" s="340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39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M9" s="340"/>
      <c r="N9" s="268"/>
      <c r="P9" s="26" t="s">
        <v>21</v>
      </c>
      <c r="Q9" s="355"/>
      <c r="R9" s="356"/>
      <c r="T9" s="281"/>
      <c r="U9" s="282"/>
      <c r="V9" s="411"/>
      <c r="W9" s="412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75"/>
      <c r="E10" s="340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99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0"/>
      <c r="R10" s="391"/>
      <c r="U10" s="24" t="s">
        <v>23</v>
      </c>
      <c r="V10" s="315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7"/>
      <c r="R11" s="358"/>
      <c r="U11" s="24" t="s">
        <v>27</v>
      </c>
      <c r="V11" s="431" t="s">
        <v>28</v>
      </c>
      <c r="W11" s="356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1" t="s">
        <v>29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300"/>
      <c r="N12" s="65"/>
      <c r="P12" s="24" t="s">
        <v>30</v>
      </c>
      <c r="Q12" s="368"/>
      <c r="R12" s="320"/>
      <c r="S12" s="23"/>
      <c r="U12" s="24"/>
      <c r="V12" s="308"/>
      <c r="W12" s="281"/>
      <c r="AB12" s="51"/>
      <c r="AC12" s="51"/>
      <c r="AD12" s="51"/>
      <c r="AE12" s="51"/>
    </row>
    <row r="13" spans="1:32" s="270" customFormat="1" ht="23.25" customHeight="1" x14ac:dyDescent="0.2">
      <c r="A13" s="381" t="s">
        <v>31</v>
      </c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300"/>
      <c r="N13" s="65"/>
      <c r="O13" s="26"/>
      <c r="P13" s="26" t="s">
        <v>32</v>
      </c>
      <c r="Q13" s="431"/>
      <c r="R13" s="3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1" t="s">
        <v>33</v>
      </c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30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84" t="s">
        <v>34</v>
      </c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300"/>
      <c r="N15" s="66"/>
      <c r="P15" s="379" t="s">
        <v>35</v>
      </c>
      <c r="Q15" s="308"/>
      <c r="R15" s="308"/>
      <c r="S15" s="308"/>
      <c r="T15" s="3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0"/>
      <c r="Q16" s="380"/>
      <c r="R16" s="380"/>
      <c r="S16" s="380"/>
      <c r="T16" s="3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72" t="s">
        <v>38</v>
      </c>
      <c r="D17" s="313" t="s">
        <v>39</v>
      </c>
      <c r="E17" s="345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44"/>
      <c r="R17" s="344"/>
      <c r="S17" s="344"/>
      <c r="T17" s="345"/>
      <c r="U17" s="446" t="s">
        <v>51</v>
      </c>
      <c r="V17" s="300"/>
      <c r="W17" s="313" t="s">
        <v>52</v>
      </c>
      <c r="X17" s="313" t="s">
        <v>53</v>
      </c>
      <c r="Y17" s="448" t="s">
        <v>54</v>
      </c>
      <c r="Z17" s="417" t="s">
        <v>55</v>
      </c>
      <c r="AA17" s="400" t="s">
        <v>56</v>
      </c>
      <c r="AB17" s="400" t="s">
        <v>57</v>
      </c>
      <c r="AC17" s="400" t="s">
        <v>58</v>
      </c>
      <c r="AD17" s="400" t="s">
        <v>59</v>
      </c>
      <c r="AE17" s="454"/>
      <c r="AF17" s="455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46"/>
      <c r="E18" s="348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46"/>
      <c r="Q18" s="347"/>
      <c r="R18" s="347"/>
      <c r="S18" s="347"/>
      <c r="T18" s="348"/>
      <c r="U18" s="70" t="s">
        <v>61</v>
      </c>
      <c r="V18" s="70" t="s">
        <v>62</v>
      </c>
      <c r="W18" s="314"/>
      <c r="X18" s="314"/>
      <c r="Y18" s="449"/>
      <c r="Z18" s="418"/>
      <c r="AA18" s="401"/>
      <c r="AB18" s="401"/>
      <c r="AC18" s="401"/>
      <c r="AD18" s="456"/>
      <c r="AE18" s="457"/>
      <c r="AF18" s="458"/>
      <c r="AG18" s="69"/>
      <c r="BD18" s="68"/>
    </row>
    <row r="19" spans="1:68" ht="27.75" hidden="1" customHeight="1" x14ac:dyDescent="0.2">
      <c r="A19" s="331" t="s">
        <v>63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297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hidden="1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hidden="1" customHeight="1" x14ac:dyDescent="0.2">
      <c r="A25" s="331" t="s">
        <v>75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297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hidden="1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4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112</v>
      </c>
      <c r="Y28" s="277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2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126</v>
      </c>
      <c r="Y29" s="277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238</v>
      </c>
      <c r="Y30" s="278">
        <f>IFERROR(SUM(Y28:Y29),"0")</f>
        <v>238</v>
      </c>
      <c r="Z30" s="278">
        <f>IFERROR(IF(Z28="",0,Z28),"0")+IFERROR(IF(Z29="",0,Z29),"0")</f>
        <v>2.2395800000000001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357</v>
      </c>
      <c r="Y31" s="278">
        <f>IFERROR(SUMPRODUCT(Y28:Y29*H28:H29),"0")</f>
        <v>357</v>
      </c>
      <c r="Z31" s="37"/>
      <c r="AA31" s="279"/>
      <c r="AB31" s="279"/>
      <c r="AC31" s="279"/>
    </row>
    <row r="32" spans="1:68" ht="16.5" hidden="1" customHeight="1" x14ac:dyDescent="0.25">
      <c r="A32" s="297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hidden="1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60</v>
      </c>
      <c r="Y34" s="277">
        <f>IFERROR(IF(X34="","",X34),"")</f>
        <v>60</v>
      </c>
      <c r="Z34" s="36">
        <f>IFERROR(IF(X34="","",X34*0.0155),"")</f>
        <v>0.92999999999999994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352.2</v>
      </c>
      <c r="BN34" s="67">
        <f>IFERROR(Y34*I34,"0")</f>
        <v>352.2</v>
      </c>
      <c r="BO34" s="67">
        <f>IFERROR(X34/J34,"0")</f>
        <v>0.7142857142857143</v>
      </c>
      <c r="BP34" s="67">
        <f>IFERROR(Y34/J34,"0")</f>
        <v>0.7142857142857143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192</v>
      </c>
      <c r="Y35" s="277">
        <f>IFERROR(IF(X35="","",X35),"")</f>
        <v>192</v>
      </c>
      <c r="Z35" s="36">
        <f>IFERROR(IF(X35="","",X35*0.0155),"")</f>
        <v>2.976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1127.04</v>
      </c>
      <c r="BN35" s="67">
        <f>IFERROR(Y35*I35,"0")</f>
        <v>1127.04</v>
      </c>
      <c r="BO35" s="67">
        <f>IFERROR(X35/J35,"0")</f>
        <v>2.2857142857142856</v>
      </c>
      <c r="BP35" s="67">
        <f>IFERROR(Y35/J35,"0")</f>
        <v>2.2857142857142856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108</v>
      </c>
      <c r="Y36" s="277">
        <f>IFERROR(IF(X36="","",X36),"")</f>
        <v>108</v>
      </c>
      <c r="Z36" s="36">
        <f>IFERROR(IF(X36="","",X36*0.0155),"")</f>
        <v>1.6739999999999999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633.96</v>
      </c>
      <c r="BN36" s="67">
        <f>IFERROR(Y36*I36,"0")</f>
        <v>633.96</v>
      </c>
      <c r="BO36" s="67">
        <f>IFERROR(X36/J36,"0")</f>
        <v>1.2857142857142858</v>
      </c>
      <c r="BP36" s="67">
        <f>IFERROR(Y36/J36,"0")</f>
        <v>1.2857142857142858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360</v>
      </c>
      <c r="Y37" s="278">
        <f>IFERROR(SUM(Y34:Y36),"0")</f>
        <v>360</v>
      </c>
      <c r="Z37" s="278">
        <f>IFERROR(IF(Z34="",0,Z34),"0")+IFERROR(IF(Z35="",0,Z35),"0")+IFERROR(IF(Z36="",0,Z36),"0")</f>
        <v>5.58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2015.9999999999998</v>
      </c>
      <c r="Y38" s="278">
        <f>IFERROR(SUMPRODUCT(Y34:Y36*H34:H36),"0")</f>
        <v>2015.9999999999998</v>
      </c>
      <c r="Z38" s="37"/>
      <c r="AA38" s="279"/>
      <c r="AB38" s="279"/>
      <c r="AC38" s="279"/>
    </row>
    <row r="39" spans="1:68" ht="16.5" hidden="1" customHeight="1" x14ac:dyDescent="0.25">
      <c r="A39" s="297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hidden="1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0</v>
      </c>
      <c r="Y41" s="277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0</v>
      </c>
      <c r="Y42" s="277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0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24</v>
      </c>
      <c r="Y43" s="277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48</v>
      </c>
      <c r="Y44" s="277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72</v>
      </c>
      <c r="Y45" s="278">
        <f>IFERROR(SUM(Y41:Y44),"0")</f>
        <v>72</v>
      </c>
      <c r="Z45" s="278">
        <f>IFERROR(IF(Z41="",0,Z41),"0")+IFERROR(IF(Z42="",0,Z42),"0")+IFERROR(IF(Z43="",0,Z43),"0")+IFERROR(IF(Z44="",0,Z44),"0")</f>
        <v>1.1160000000000001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489.6</v>
      </c>
      <c r="Y46" s="278">
        <f>IFERROR(SUMPRODUCT(Y41:Y44*H41:H44),"0")</f>
        <v>489.6</v>
      </c>
      <c r="Z46" s="37"/>
      <c r="AA46" s="279"/>
      <c r="AB46" s="279"/>
      <c r="AC46" s="279"/>
    </row>
    <row r="47" spans="1:68" ht="16.5" hidden="1" customHeight="1" x14ac:dyDescent="0.25">
      <c r="A47" s="297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hidden="1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hidden="1" customHeight="1" x14ac:dyDescent="0.25">
      <c r="A52" s="295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hidden="1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hidden="1" customHeight="1" x14ac:dyDescent="0.25">
      <c r="A60" s="295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hidden="1" customHeight="1" x14ac:dyDescent="0.25">
      <c r="A65" s="295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0</v>
      </c>
      <c r="Y67" s="27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hidden="1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0</v>
      </c>
      <c r="Y70" s="278">
        <f>IFERROR(SUMPRODUCT(Y66:Y68*H66:H68),"0")</f>
        <v>0</v>
      </c>
      <c r="Z70" s="37"/>
      <c r="AA70" s="279"/>
      <c r="AB70" s="279"/>
      <c r="AC70" s="279"/>
    </row>
    <row r="71" spans="1:68" ht="16.5" hidden="1" customHeight="1" x14ac:dyDescent="0.25">
      <c r="A71" s="297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hidden="1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126</v>
      </c>
      <c r="Y73" s="277">
        <f>IFERROR(IF(X73="","",X73),"")</f>
        <v>126</v>
      </c>
      <c r="Z73" s="36">
        <f>IFERROR(IF(X73="","",X73*0.00502),"")</f>
        <v>0.63251999999999997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354.46320000000003</v>
      </c>
      <c r="BN73" s="67">
        <f>IFERROR(Y73*I73,"0")</f>
        <v>354.46320000000003</v>
      </c>
      <c r="BO73" s="67">
        <f>IFERROR(X73/J73,"0")</f>
        <v>0.53846153846153844</v>
      </c>
      <c r="BP73" s="67">
        <f>IFERROR(Y73/J73,"0")</f>
        <v>0.53846153846153844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96</v>
      </c>
      <c r="Y74" s="277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222</v>
      </c>
      <c r="Y75" s="278">
        <f>IFERROR(SUM(Y73:Y74),"0")</f>
        <v>222</v>
      </c>
      <c r="Z75" s="278">
        <f>IFERROR(IF(Z73="",0,Z73),"0")+IFERROR(IF(Z74="",0,Z74),"0")</f>
        <v>1.4638799999999998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820.2</v>
      </c>
      <c r="Y76" s="278">
        <f>IFERROR(SUMPRODUCT(Y73:Y74*H73:H74),"0")</f>
        <v>820.2</v>
      </c>
      <c r="Z76" s="37"/>
      <c r="AA76" s="279"/>
      <c r="AB76" s="279"/>
      <c r="AC76" s="279"/>
    </row>
    <row r="77" spans="1:68" ht="16.5" hidden="1" customHeight="1" x14ac:dyDescent="0.25">
      <c r="A77" s="297" t="s">
        <v>140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hidden="1" customHeight="1" x14ac:dyDescent="0.25">
      <c r="A78" s="295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70</v>
      </c>
      <c r="Y79" s="277">
        <f>IFERROR(IF(X79="","",X79),"")</f>
        <v>70</v>
      </c>
      <c r="Z79" s="36">
        <f>IFERROR(IF(X79="","",X79*0.01788),"")</f>
        <v>1.2516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301.25200000000001</v>
      </c>
      <c r="BN79" s="67">
        <f>IFERROR(Y79*I79,"0")</f>
        <v>301.25200000000001</v>
      </c>
      <c r="BO79" s="67">
        <f>IFERROR(X79/J79,"0")</f>
        <v>1</v>
      </c>
      <c r="BP79" s="67">
        <f>IFERROR(Y79/J79,"0")</f>
        <v>1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70</v>
      </c>
      <c r="Y80" s="278">
        <f>IFERROR(SUM(Y79:Y79),"0")</f>
        <v>70</v>
      </c>
      <c r="Z80" s="278">
        <f>IFERROR(IF(Z79="",0,Z79),"0")</f>
        <v>1.2516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252</v>
      </c>
      <c r="Y81" s="278">
        <f>IFERROR(SUMPRODUCT(Y79:Y79*H79:H79),"0")</f>
        <v>252</v>
      </c>
      <c r="Z81" s="37"/>
      <c r="AA81" s="279"/>
      <c r="AB81" s="279"/>
      <c r="AC81" s="279"/>
    </row>
    <row r="82" spans="1:68" ht="16.5" hidden="1" customHeight="1" x14ac:dyDescent="0.25">
      <c r="A82" s="297" t="s">
        <v>144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hidden="1" customHeight="1" x14ac:dyDescent="0.25">
      <c r="A83" s="295" t="s">
        <v>145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252</v>
      </c>
      <c r="Y84" s="277">
        <f>IFERROR(IF(X84="","",X84),"")</f>
        <v>252</v>
      </c>
      <c r="Z84" s="36">
        <f>IFERROR(IF(X84="","",X84*0.01788),"")</f>
        <v>4.5057600000000004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1084.5072</v>
      </c>
      <c r="BN84" s="67">
        <f>IFERROR(Y84*I84,"0")</f>
        <v>1084.5072</v>
      </c>
      <c r="BO84" s="67">
        <f>IFERROR(X84/J84,"0")</f>
        <v>3.6</v>
      </c>
      <c r="BP84" s="67">
        <f>IFERROR(Y84/J84,"0")</f>
        <v>3.6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196</v>
      </c>
      <c r="Y85" s="277">
        <f>IFERROR(IF(X85="","",X85),"")</f>
        <v>196</v>
      </c>
      <c r="Z85" s="36">
        <f>IFERROR(IF(X85="","",X85*0.01788),"")</f>
        <v>3.50448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843.50560000000007</v>
      </c>
      <c r="BN85" s="67">
        <f>IFERROR(Y85*I85,"0")</f>
        <v>843.50560000000007</v>
      </c>
      <c r="BO85" s="67">
        <f>IFERROR(X85/J85,"0")</f>
        <v>2.8</v>
      </c>
      <c r="BP85" s="67">
        <f>IFERROR(Y85/J85,"0")</f>
        <v>2.8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448</v>
      </c>
      <c r="Y86" s="278">
        <f>IFERROR(SUM(Y84:Y85),"0")</f>
        <v>448</v>
      </c>
      <c r="Z86" s="278">
        <f>IFERROR(IF(Z84="",0,Z84),"0")+IFERROR(IF(Z85="",0,Z85),"0")</f>
        <v>8.0102399999999996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1612.8000000000002</v>
      </c>
      <c r="Y87" s="278">
        <f>IFERROR(SUMPRODUCT(Y84:Y85*H84:H85),"0")</f>
        <v>1612.8000000000002</v>
      </c>
      <c r="Z87" s="37"/>
      <c r="AA87" s="279"/>
      <c r="AB87" s="279"/>
      <c r="AC87" s="279"/>
    </row>
    <row r="88" spans="1:68" ht="16.5" hidden="1" customHeight="1" x14ac:dyDescent="0.25">
      <c r="A88" s="297" t="s">
        <v>152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hidden="1" customHeight="1" x14ac:dyDescent="0.25">
      <c r="A89" s="295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42</v>
      </c>
      <c r="Y90" s="277">
        <f t="shared" ref="Y90:Y96" si="0">IFERROR(IF(X90="","",X90),"")</f>
        <v>42</v>
      </c>
      <c r="Z90" s="36">
        <f t="shared" ref="Z90:Z96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6" si="2">IFERROR(X90*I90,"0")</f>
        <v>150.5112</v>
      </c>
      <c r="BN90" s="67">
        <f t="shared" ref="BN90:BN96" si="3">IFERROR(Y90*I90,"0")</f>
        <v>150.5112</v>
      </c>
      <c r="BO90" s="67">
        <f t="shared" ref="BO90:BO96" si="4">IFERROR(X90/J90,"0")</f>
        <v>0.6</v>
      </c>
      <c r="BP90" s="67">
        <f t="shared" ref="BP90:BP96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70</v>
      </c>
      <c r="Y91" s="277">
        <f t="shared" si="0"/>
        <v>70</v>
      </c>
      <c r="Z91" s="36">
        <f t="shared" si="1"/>
        <v>1.2516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2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112</v>
      </c>
      <c r="Y92" s="277">
        <f t="shared" si="0"/>
        <v>112</v>
      </c>
      <c r="Z92" s="36">
        <f t="shared" si="1"/>
        <v>2.0025599999999999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401.36320000000001</v>
      </c>
      <c r="BN92" s="67">
        <f t="shared" si="3"/>
        <v>401.36320000000001</v>
      </c>
      <c r="BO92" s="67">
        <f t="shared" si="4"/>
        <v>1.6</v>
      </c>
      <c r="BP92" s="67">
        <f t="shared" si="5"/>
        <v>1.6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98</v>
      </c>
      <c r="Y93" s="277">
        <f t="shared" si="0"/>
        <v>98</v>
      </c>
      <c r="Z93" s="36">
        <f t="shared" si="1"/>
        <v>1.75224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hidden="1" customHeight="1" x14ac:dyDescent="0.25">
      <c r="A94" s="54" t="s">
        <v>160</v>
      </c>
      <c r="B94" s="54" t="s">
        <v>162</v>
      </c>
      <c r="C94" s="31">
        <v>4301135818</v>
      </c>
      <c r="D94" s="287">
        <v>4620207491010</v>
      </c>
      <c r="E94" s="288"/>
      <c r="F94" s="275">
        <v>0.24</v>
      </c>
      <c r="G94" s="32">
        <v>12</v>
      </c>
      <c r="H94" s="275">
        <v>2.88</v>
      </c>
      <c r="I94" s="275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">
        <v>163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87">
        <v>4607111035028</v>
      </c>
      <c r="E95" s="288"/>
      <c r="F95" s="275">
        <v>0.48</v>
      </c>
      <c r="G95" s="32">
        <v>8</v>
      </c>
      <c r="H95" s="275">
        <v>3.84</v>
      </c>
      <c r="I95" s="275">
        <v>4.4488000000000003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0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4"/>
      <c r="R95" s="284"/>
      <c r="S95" s="284"/>
      <c r="T95" s="285"/>
      <c r="U95" s="34"/>
      <c r="V95" s="34"/>
      <c r="W95" s="35" t="s">
        <v>70</v>
      </c>
      <c r="X95" s="276">
        <v>14</v>
      </c>
      <c r="Y95" s="277">
        <f t="shared" si="0"/>
        <v>14</v>
      </c>
      <c r="Z95" s="36">
        <f t="shared" si="1"/>
        <v>0.25031999999999999</v>
      </c>
      <c r="AA95" s="56"/>
      <c r="AB95" s="57"/>
      <c r="AC95" s="128" t="s">
        <v>143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62.283200000000008</v>
      </c>
      <c r="BN95" s="67">
        <f t="shared" si="3"/>
        <v>62.283200000000008</v>
      </c>
      <c r="BO95" s="67">
        <f t="shared" si="4"/>
        <v>0.2</v>
      </c>
      <c r="BP95" s="67">
        <f t="shared" si="5"/>
        <v>0.2</v>
      </c>
    </row>
    <row r="96" spans="1:68" ht="27" customHeight="1" x14ac:dyDescent="0.25">
      <c r="A96" s="54" t="s">
        <v>166</v>
      </c>
      <c r="B96" s="54" t="s">
        <v>167</v>
      </c>
      <c r="C96" s="31">
        <v>4301135285</v>
      </c>
      <c r="D96" s="287">
        <v>4607111036407</v>
      </c>
      <c r="E96" s="288"/>
      <c r="F96" s="275">
        <v>0.3</v>
      </c>
      <c r="G96" s="32">
        <v>14</v>
      </c>
      <c r="H96" s="275">
        <v>4.2</v>
      </c>
      <c r="I96" s="275">
        <v>4.5292000000000003</v>
      </c>
      <c r="J96" s="32">
        <v>70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76">
        <v>14</v>
      </c>
      <c r="Y96" s="277">
        <f t="shared" si="0"/>
        <v>14</v>
      </c>
      <c r="Z96" s="36">
        <f t="shared" si="1"/>
        <v>0.25031999999999999</v>
      </c>
      <c r="AA96" s="56"/>
      <c r="AB96" s="57"/>
      <c r="AC96" s="130" t="s">
        <v>168</v>
      </c>
      <c r="AG96" s="67"/>
      <c r="AJ96" s="71" t="s">
        <v>83</v>
      </c>
      <c r="AK96" s="71">
        <v>14</v>
      </c>
      <c r="BB96" s="131" t="s">
        <v>84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289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70</v>
      </c>
      <c r="X97" s="278">
        <f>IFERROR(SUM(X90:X96),"0")</f>
        <v>350</v>
      </c>
      <c r="Y97" s="278">
        <f>IFERROR(SUM(Y90:Y96),"0")</f>
        <v>350</v>
      </c>
      <c r="Z97" s="278">
        <f>IFERROR(IF(Z90="",0,Z90),"0")+IFERROR(IF(Z91="",0,Z91),"0")+IFERROR(IF(Z92="",0,Z92),"0")+IFERROR(IF(Z93="",0,Z93),"0")+IFERROR(IF(Z94="",0,Z94),"0")+IFERROR(IF(Z95="",0,Z95),"0")+IFERROR(IF(Z96="",0,Z96),"0")</f>
        <v>6.2580000000000009</v>
      </c>
      <c r="AA97" s="279"/>
      <c r="AB97" s="279"/>
      <c r="AC97" s="279"/>
    </row>
    <row r="98" spans="1:68" x14ac:dyDescent="0.2">
      <c r="A98" s="281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90"/>
      <c r="P98" s="292" t="s">
        <v>73</v>
      </c>
      <c r="Q98" s="293"/>
      <c r="R98" s="293"/>
      <c r="S98" s="293"/>
      <c r="T98" s="293"/>
      <c r="U98" s="293"/>
      <c r="V98" s="294"/>
      <c r="W98" s="37" t="s">
        <v>74</v>
      </c>
      <c r="X98" s="278">
        <f>IFERROR(SUMPRODUCT(X90:X96*H90:H96),"0")</f>
        <v>1039.92</v>
      </c>
      <c r="Y98" s="278">
        <f>IFERROR(SUMPRODUCT(Y90:Y96*H90:H96),"0")</f>
        <v>1039.92</v>
      </c>
      <c r="Z98" s="37"/>
      <c r="AA98" s="279"/>
      <c r="AB98" s="279"/>
      <c r="AC98" s="279"/>
    </row>
    <row r="99" spans="1:68" ht="16.5" hidden="1" customHeight="1" x14ac:dyDescent="0.25">
      <c r="A99" s="297" t="s">
        <v>169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1"/>
      <c r="AB99" s="271"/>
      <c r="AC99" s="271"/>
    </row>
    <row r="100" spans="1:68" ht="14.25" hidden="1" customHeight="1" x14ac:dyDescent="0.25">
      <c r="A100" s="295" t="s">
        <v>119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72"/>
      <c r="AB100" s="272"/>
      <c r="AC100" s="272"/>
    </row>
    <row r="101" spans="1:68" ht="27" hidden="1" customHeight="1" x14ac:dyDescent="0.25">
      <c r="A101" s="54" t="s">
        <v>170</v>
      </c>
      <c r="B101" s="54" t="s">
        <v>171</v>
      </c>
      <c r="C101" s="31">
        <v>4301136070</v>
      </c>
      <c r="D101" s="287">
        <v>4607025784012</v>
      </c>
      <c r="E101" s="288"/>
      <c r="F101" s="275">
        <v>0.09</v>
      </c>
      <c r="G101" s="32">
        <v>24</v>
      </c>
      <c r="H101" s="275">
        <v>2.16</v>
      </c>
      <c r="I101" s="275">
        <v>2.4912000000000001</v>
      </c>
      <c r="J101" s="32">
        <v>126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4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172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173</v>
      </c>
      <c r="B102" s="54" t="s">
        <v>174</v>
      </c>
      <c r="C102" s="31">
        <v>4301136079</v>
      </c>
      <c r="D102" s="287">
        <v>4607025784319</v>
      </c>
      <c r="E102" s="288"/>
      <c r="F102" s="275">
        <v>0.36</v>
      </c>
      <c r="G102" s="32">
        <v>10</v>
      </c>
      <c r="H102" s="275">
        <v>3.6</v>
      </c>
      <c r="I102" s="275">
        <v>4.2439999999999998</v>
      </c>
      <c r="J102" s="32">
        <v>70</v>
      </c>
      <c r="K102" s="32" t="s">
        <v>80</v>
      </c>
      <c r="L102" s="32" t="s">
        <v>81</v>
      </c>
      <c r="M102" s="33" t="s">
        <v>69</v>
      </c>
      <c r="N102" s="33"/>
      <c r="O102" s="32">
        <v>180</v>
      </c>
      <c r="P102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76">
        <v>0</v>
      </c>
      <c r="Y102" s="277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143</v>
      </c>
      <c r="AG102" s="67"/>
      <c r="AJ102" s="71" t="s">
        <v>83</v>
      </c>
      <c r="AK102" s="71">
        <v>14</v>
      </c>
      <c r="BB102" s="135" t="s">
        <v>84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289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70</v>
      </c>
      <c r="X103" s="278">
        <f>IFERROR(SUM(X101:X102),"0")</f>
        <v>0</v>
      </c>
      <c r="Y103" s="278">
        <f>IFERROR(SUM(Y101:Y102),"0")</f>
        <v>0</v>
      </c>
      <c r="Z103" s="278">
        <f>IFERROR(IF(Z101="",0,Z101),"0")+IFERROR(IF(Z102="",0,Z102),"0")</f>
        <v>0</v>
      </c>
      <c r="AA103" s="279"/>
      <c r="AB103" s="279"/>
      <c r="AC103" s="279"/>
    </row>
    <row r="104" spans="1:68" hidden="1" x14ac:dyDescent="0.2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90"/>
      <c r="P104" s="292" t="s">
        <v>73</v>
      </c>
      <c r="Q104" s="293"/>
      <c r="R104" s="293"/>
      <c r="S104" s="293"/>
      <c r="T104" s="293"/>
      <c r="U104" s="293"/>
      <c r="V104" s="294"/>
      <c r="W104" s="37" t="s">
        <v>74</v>
      </c>
      <c r="X104" s="278">
        <f>IFERROR(SUMPRODUCT(X101:X102*H101:H102),"0")</f>
        <v>0</v>
      </c>
      <c r="Y104" s="278">
        <f>IFERROR(SUMPRODUCT(Y101:Y102*H101:H102),"0")</f>
        <v>0</v>
      </c>
      <c r="Z104" s="37"/>
      <c r="AA104" s="279"/>
      <c r="AB104" s="279"/>
      <c r="AC104" s="279"/>
    </row>
    <row r="105" spans="1:68" ht="16.5" hidden="1" customHeight="1" x14ac:dyDescent="0.25">
      <c r="A105" s="297" t="s">
        <v>175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1"/>
      <c r="AB105" s="271"/>
      <c r="AC105" s="271"/>
    </row>
    <row r="106" spans="1:68" ht="14.25" hidden="1" customHeight="1" x14ac:dyDescent="0.25">
      <c r="A106" s="295" t="s">
        <v>64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72"/>
      <c r="AB106" s="272"/>
      <c r="AC106" s="272"/>
    </row>
    <row r="107" spans="1:68" ht="27" hidden="1" customHeight="1" x14ac:dyDescent="0.25">
      <c r="A107" s="54" t="s">
        <v>176</v>
      </c>
      <c r="B107" s="54" t="s">
        <v>177</v>
      </c>
      <c r="C107" s="31">
        <v>4301071074</v>
      </c>
      <c r="D107" s="287">
        <v>4620207491157</v>
      </c>
      <c r="E107" s="288"/>
      <c r="F107" s="275">
        <v>0.7</v>
      </c>
      <c r="G107" s="32">
        <v>10</v>
      </c>
      <c r="H107" s="275">
        <v>7</v>
      </c>
      <c r="I107" s="275">
        <v>7.28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0</v>
      </c>
      <c r="Y107" s="277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178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4301071051</v>
      </c>
      <c r="D108" s="287">
        <v>4607111039262</v>
      </c>
      <c r="E108" s="288"/>
      <c r="F108" s="275">
        <v>0.4</v>
      </c>
      <c r="G108" s="32">
        <v>16</v>
      </c>
      <c r="H108" s="275">
        <v>6.4</v>
      </c>
      <c r="I108" s="275">
        <v>6.7195999999999998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24</v>
      </c>
      <c r="Y108" s="277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161.2704</v>
      </c>
      <c r="BN108" s="67">
        <f>IFERROR(Y108*I108,"0")</f>
        <v>161.2704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hidden="1" customHeight="1" x14ac:dyDescent="0.25">
      <c r="A109" s="54" t="s">
        <v>181</v>
      </c>
      <c r="B109" s="54" t="s">
        <v>182</v>
      </c>
      <c r="C109" s="31">
        <v>4301071038</v>
      </c>
      <c r="D109" s="287">
        <v>4607111039248</v>
      </c>
      <c r="E109" s="288"/>
      <c r="F109" s="275">
        <v>0.7</v>
      </c>
      <c r="G109" s="32">
        <v>10</v>
      </c>
      <c r="H109" s="275">
        <v>7</v>
      </c>
      <c r="I109" s="275">
        <v>7.3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0</v>
      </c>
      <c r="Y109" s="277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4301071049</v>
      </c>
      <c r="D110" s="287">
        <v>4607111039293</v>
      </c>
      <c r="E110" s="288"/>
      <c r="F110" s="275">
        <v>0.4</v>
      </c>
      <c r="G110" s="32">
        <v>16</v>
      </c>
      <c r="H110" s="275">
        <v>6.4</v>
      </c>
      <c r="I110" s="275">
        <v>6.7195999999999998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12</v>
      </c>
      <c r="Y110" s="277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185</v>
      </c>
      <c r="B111" s="54" t="s">
        <v>186</v>
      </c>
      <c r="C111" s="31">
        <v>4301071039</v>
      </c>
      <c r="D111" s="287">
        <v>4607111039279</v>
      </c>
      <c r="E111" s="288"/>
      <c r="F111" s="275">
        <v>0.7</v>
      </c>
      <c r="G111" s="32">
        <v>10</v>
      </c>
      <c r="H111" s="275">
        <v>7</v>
      </c>
      <c r="I111" s="275">
        <v>7.3</v>
      </c>
      <c r="J111" s="32">
        <v>84</v>
      </c>
      <c r="K111" s="32" t="s">
        <v>67</v>
      </c>
      <c r="L111" s="32" t="s">
        <v>81</v>
      </c>
      <c r="M111" s="33" t="s">
        <v>69</v>
      </c>
      <c r="N111" s="33"/>
      <c r="O111" s="32">
        <v>180</v>
      </c>
      <c r="P111" s="42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120</v>
      </c>
      <c r="Y111" s="277">
        <f>IFERROR(IF(X111="","",X111),"")</f>
        <v>120</v>
      </c>
      <c r="Z111" s="36">
        <f>IFERROR(IF(X111="","",X111*0.0155),"")</f>
        <v>1.8599999999999999</v>
      </c>
      <c r="AA111" s="56"/>
      <c r="AB111" s="57"/>
      <c r="AC111" s="144" t="s">
        <v>137</v>
      </c>
      <c r="AG111" s="67"/>
      <c r="AJ111" s="71" t="s">
        <v>83</v>
      </c>
      <c r="AK111" s="71">
        <v>12</v>
      </c>
      <c r="BB111" s="145" t="s">
        <v>1</v>
      </c>
      <c r="BM111" s="67">
        <f>IFERROR(X111*I111,"0")</f>
        <v>876</v>
      </c>
      <c r="BN111" s="67">
        <f>IFERROR(Y111*I111,"0")</f>
        <v>876</v>
      </c>
      <c r="BO111" s="67">
        <f>IFERROR(X111/J111,"0")</f>
        <v>1.4285714285714286</v>
      </c>
      <c r="BP111" s="67">
        <f>IFERROR(Y111/J111,"0")</f>
        <v>1.4285714285714286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IFERROR(SUM(X107:X111),"0")</f>
        <v>156</v>
      </c>
      <c r="Y112" s="278">
        <f>IFERROR(SUM(Y107:Y111),"0")</f>
        <v>156</v>
      </c>
      <c r="Z112" s="278">
        <f>IFERROR(IF(Z107="",0,Z107),"0")+IFERROR(IF(Z108="",0,Z108),"0")+IFERROR(IF(Z109="",0,Z109),"0")+IFERROR(IF(Z110="",0,Z110),"0")+IFERROR(IF(Z111="",0,Z111),"0")</f>
        <v>2.4180000000000001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IFERROR(SUMPRODUCT(X107:X111*H107:H111),"0")</f>
        <v>1070.4000000000001</v>
      </c>
      <c r="Y113" s="278">
        <f>IFERROR(SUMPRODUCT(Y107:Y111*H107:H111),"0")</f>
        <v>1070.4000000000001</v>
      </c>
      <c r="Z113" s="37"/>
      <c r="AA113" s="279"/>
      <c r="AB113" s="279"/>
      <c r="AC113" s="279"/>
    </row>
    <row r="114" spans="1:68" ht="14.25" hidden="1" customHeight="1" x14ac:dyDescent="0.25">
      <c r="A114" s="295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hidden="1" customHeight="1" x14ac:dyDescent="0.25">
      <c r="A115" s="54" t="s">
        <v>187</v>
      </c>
      <c r="B115" s="54" t="s">
        <v>188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39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189</v>
      </c>
      <c r="AG115" s="67"/>
      <c r="AJ115" s="71" t="s">
        <v>83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hidden="1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hidden="1" customHeight="1" x14ac:dyDescent="0.25">
      <c r="A118" s="295" t="s">
        <v>190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hidden="1" customHeight="1" x14ac:dyDescent="0.25">
      <c r="A119" s="54" t="s">
        <v>191</v>
      </c>
      <c r="B119" s="54" t="s">
        <v>192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9" t="s">
        <v>193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194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hidden="1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hidden="1" customHeight="1" x14ac:dyDescent="0.25">
      <c r="A122" s="297" t="s">
        <v>195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hidden="1" customHeight="1" x14ac:dyDescent="0.25">
      <c r="A123" s="295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196</v>
      </c>
      <c r="B124" s="54" t="s">
        <v>197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154</v>
      </c>
      <c r="Y124" s="277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198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199</v>
      </c>
      <c r="B125" s="54" t="s">
        <v>200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201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168</v>
      </c>
      <c r="Y125" s="277">
        <f>IFERROR(IF(X125="","",X125),"")</f>
        <v>168</v>
      </c>
      <c r="Z125" s="36">
        <f>IFERROR(IF(X125="","",X125*0.01788),"")</f>
        <v>3.0038399999999998</v>
      </c>
      <c r="AA125" s="56"/>
      <c r="AB125" s="57"/>
      <c r="AC125" s="152" t="s">
        <v>143</v>
      </c>
      <c r="AG125" s="67"/>
      <c r="AJ125" s="71" t="s">
        <v>202</v>
      </c>
      <c r="AK125" s="71">
        <v>70</v>
      </c>
      <c r="BB125" s="153" t="s">
        <v>84</v>
      </c>
      <c r="BM125" s="67">
        <f>IFERROR(X125*I125,"0")</f>
        <v>622.20479999999998</v>
      </c>
      <c r="BN125" s="67">
        <f>IFERROR(Y125*I125,"0")</f>
        <v>622.20479999999998</v>
      </c>
      <c r="BO125" s="67">
        <f>IFERROR(X125/J125,"0")</f>
        <v>2.4</v>
      </c>
      <c r="BP125" s="67">
        <f>IFERROR(Y125/J125,"0")</f>
        <v>2.4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322</v>
      </c>
      <c r="Y126" s="278">
        <f>IFERROR(SUM(Y124:Y125),"0")</f>
        <v>322</v>
      </c>
      <c r="Z126" s="278">
        <f>IFERROR(IF(Z124="",0,Z124),"0")+IFERROR(IF(Z125="",0,Z125),"0")</f>
        <v>5.7573600000000003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966</v>
      </c>
      <c r="Y127" s="278">
        <f>IFERROR(SUMPRODUCT(Y124:Y125*H124:H125),"0")</f>
        <v>966</v>
      </c>
      <c r="Z127" s="37"/>
      <c r="AA127" s="279"/>
      <c r="AB127" s="279"/>
      <c r="AC127" s="279"/>
    </row>
    <row r="128" spans="1:68" ht="16.5" hidden="1" customHeight="1" x14ac:dyDescent="0.25">
      <c r="A128" s="297" t="s">
        <v>203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hidden="1" customHeight="1" x14ac:dyDescent="0.25">
      <c r="A129" s="295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hidden="1" customHeight="1" x14ac:dyDescent="0.25">
      <c r="A130" s="54" t="s">
        <v>204</v>
      </c>
      <c r="B130" s="54" t="s">
        <v>205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0</v>
      </c>
      <c r="Y130" s="277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206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112</v>
      </c>
      <c r="Y131" s="277">
        <f>IFERROR(IF(X131="","",X131),"")</f>
        <v>112</v>
      </c>
      <c r="Z131" s="36">
        <f>IFERROR(IF(X131="","",X131*0.01788),"")</f>
        <v>2.0025599999999999</v>
      </c>
      <c r="AA131" s="56"/>
      <c r="AB131" s="57"/>
      <c r="AC131" s="156" t="s">
        <v>209</v>
      </c>
      <c r="AG131" s="67"/>
      <c r="AJ131" s="71" t="s">
        <v>83</v>
      </c>
      <c r="AK131" s="71">
        <v>14</v>
      </c>
      <c r="BB131" s="157" t="s">
        <v>84</v>
      </c>
      <c r="BM131" s="67">
        <f>IFERROR(X131*I131,"0")</f>
        <v>414.80319999999995</v>
      </c>
      <c r="BN131" s="67">
        <f>IFERROR(Y131*I131,"0")</f>
        <v>414.80319999999995</v>
      </c>
      <c r="BO131" s="67">
        <f>IFERROR(X131/J131,"0")</f>
        <v>1.6</v>
      </c>
      <c r="BP131" s="67">
        <f>IFERROR(Y131/J131,"0")</f>
        <v>1.6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112</v>
      </c>
      <c r="Y132" s="278">
        <f>IFERROR(SUM(Y130:Y131),"0")</f>
        <v>112</v>
      </c>
      <c r="Z132" s="278">
        <f>IFERROR(IF(Z130="",0,Z130),"0")+IFERROR(IF(Z131="",0,Z131),"0")</f>
        <v>2.0025599999999999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336</v>
      </c>
      <c r="Y133" s="278">
        <f>IFERROR(SUMPRODUCT(Y130:Y131*H130:H131),"0")</f>
        <v>336</v>
      </c>
      <c r="Z133" s="37"/>
      <c r="AA133" s="279"/>
      <c r="AB133" s="279"/>
      <c r="AC133" s="279"/>
    </row>
    <row r="134" spans="1:68" ht="16.5" hidden="1" customHeight="1" x14ac:dyDescent="0.25">
      <c r="A134" s="297" t="s">
        <v>210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hidden="1" customHeight="1" x14ac:dyDescent="0.25">
      <c r="A135" s="295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211</v>
      </c>
      <c r="B136" s="54" t="s">
        <v>212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14</v>
      </c>
      <c r="Y136" s="277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198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7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28</v>
      </c>
      <c r="Y137" s="27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198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42</v>
      </c>
      <c r="Y138" s="278">
        <f>IFERROR(SUM(Y136:Y137),"0")</f>
        <v>42</v>
      </c>
      <c r="Z138" s="278">
        <f>IFERROR(IF(Z136="",0,Z136),"0")+IFERROR(IF(Z137="",0,Z137),"0")</f>
        <v>0.75095999999999996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100.80000000000001</v>
      </c>
      <c r="Y139" s="278">
        <f>IFERROR(SUMPRODUCT(Y136:Y137*H136:H137),"0")</f>
        <v>100.80000000000001</v>
      </c>
      <c r="Z139" s="37"/>
      <c r="AA139" s="279"/>
      <c r="AB139" s="279"/>
      <c r="AC139" s="279"/>
    </row>
    <row r="140" spans="1:68" ht="16.5" hidden="1" customHeight="1" x14ac:dyDescent="0.25">
      <c r="A140" s="297" t="s">
        <v>215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hidden="1" customHeight="1" x14ac:dyDescent="0.25">
      <c r="A141" s="295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216</v>
      </c>
      <c r="B142" s="54" t="s">
        <v>217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42</v>
      </c>
      <c r="Y142" s="277">
        <f>IFERROR(IF(X142="","",X142),"")</f>
        <v>42</v>
      </c>
      <c r="Z142" s="36">
        <f>IFERROR(IF(X142="","",X142*0.01788),"")</f>
        <v>0.75095999999999996</v>
      </c>
      <c r="AA142" s="56"/>
      <c r="AB142" s="57"/>
      <c r="AC142" s="162" t="s">
        <v>218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155.55119999999999</v>
      </c>
      <c r="BN142" s="67">
        <f>IFERROR(Y142*I142,"0")</f>
        <v>155.55119999999999</v>
      </c>
      <c r="BO142" s="67">
        <f>IFERROR(X142/J142,"0")</f>
        <v>0.6</v>
      </c>
      <c r="BP142" s="67">
        <f>IFERROR(Y142/J142,"0")</f>
        <v>0.6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42</v>
      </c>
      <c r="Y143" s="278">
        <f>IFERROR(SUM(Y142:Y142),"0")</f>
        <v>42</v>
      </c>
      <c r="Z143" s="278">
        <f>IFERROR(IF(Z142="",0,Z142),"0")</f>
        <v>0.75095999999999996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126</v>
      </c>
      <c r="Y144" s="278">
        <f>IFERROR(SUMPRODUCT(Y142:Y142*H142:H142),"0")</f>
        <v>126</v>
      </c>
      <c r="Z144" s="37"/>
      <c r="AA144" s="279"/>
      <c r="AB144" s="279"/>
      <c r="AC144" s="279"/>
    </row>
    <row r="145" spans="1:68" ht="16.5" hidden="1" customHeight="1" x14ac:dyDescent="0.25">
      <c r="A145" s="297" t="s">
        <v>219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hidden="1" customHeight="1" x14ac:dyDescent="0.25">
      <c r="A146" s="295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hidden="1" customHeight="1" x14ac:dyDescent="0.25">
      <c r="A147" s="54" t="s">
        <v>220</v>
      </c>
      <c r="B147" s="54" t="s">
        <v>221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3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206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hidden="1" customHeight="1" x14ac:dyDescent="0.25">
      <c r="A150" s="297" t="s">
        <v>222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hidden="1" customHeight="1" x14ac:dyDescent="0.25">
      <c r="A151" s="295" t="s">
        <v>190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hidden="1" customHeight="1" x14ac:dyDescent="0.25">
      <c r="A152" s="54" t="s">
        <v>223</v>
      </c>
      <c r="B152" s="54" t="s">
        <v>224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225</v>
      </c>
      <c r="L152" s="32" t="s">
        <v>68</v>
      </c>
      <c r="M152" s="33" t="s">
        <v>69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226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hidden="1" customHeight="1" x14ac:dyDescent="0.25">
      <c r="A155" s="297" t="s">
        <v>227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hidden="1" customHeight="1" x14ac:dyDescent="0.25">
      <c r="A156" s="295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228</v>
      </c>
      <c r="B157" s="54" t="s">
        <v>229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81</v>
      </c>
      <c r="M157" s="33" t="s">
        <v>69</v>
      </c>
      <c r="N157" s="33"/>
      <c r="O157" s="32">
        <v>180</v>
      </c>
      <c r="P157" s="30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62</v>
      </c>
      <c r="Y157" s="277">
        <f>IFERROR(IF(X157="","",X157),"")</f>
        <v>62</v>
      </c>
      <c r="Z157" s="36">
        <f>IFERROR(IF(X157="","",X157*0.00941),"")</f>
        <v>0.58342000000000005</v>
      </c>
      <c r="AA157" s="56"/>
      <c r="AB157" s="57"/>
      <c r="AC157" s="168" t="s">
        <v>230</v>
      </c>
      <c r="AG157" s="67"/>
      <c r="AJ157" s="71" t="s">
        <v>83</v>
      </c>
      <c r="AK157" s="71">
        <v>14</v>
      </c>
      <c r="BB157" s="169" t="s">
        <v>84</v>
      </c>
      <c r="BM157" s="67">
        <f>IFERROR(X157*I157,"0")</f>
        <v>130.3116</v>
      </c>
      <c r="BN157" s="67">
        <f>IFERROR(Y157*I157,"0")</f>
        <v>130.3116</v>
      </c>
      <c r="BO157" s="67">
        <f>IFERROR(X157/J157,"0")</f>
        <v>0.44285714285714284</v>
      </c>
      <c r="BP157" s="67">
        <f>IFERROR(Y157/J157,"0")</f>
        <v>0.44285714285714284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62</v>
      </c>
      <c r="Y158" s="278">
        <f>IFERROR(SUM(Y157:Y157),"0")</f>
        <v>62</v>
      </c>
      <c r="Z158" s="278">
        <f>IFERROR(IF(Z157="",0,Z157),"0")</f>
        <v>0.58342000000000005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104.16</v>
      </c>
      <c r="Y159" s="278">
        <f>IFERROR(SUMPRODUCT(Y157:Y157*H157:H157),"0")</f>
        <v>104.16</v>
      </c>
      <c r="Z159" s="37"/>
      <c r="AA159" s="279"/>
      <c r="AB159" s="279"/>
      <c r="AC159" s="279"/>
    </row>
    <row r="160" spans="1:68" ht="27.75" hidden="1" customHeight="1" x14ac:dyDescent="0.2">
      <c r="A160" s="331" t="s">
        <v>231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297" t="s">
        <v>232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hidden="1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hidden="1" customHeight="1" x14ac:dyDescent="0.25">
      <c r="A163" s="54" t="s">
        <v>233</v>
      </c>
      <c r="B163" s="54" t="s">
        <v>234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3" t="s">
        <v>235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237</v>
      </c>
      <c r="B164" s="54" t="s">
        <v>238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2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0</v>
      </c>
      <c r="Y164" s="277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239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0</v>
      </c>
      <c r="Y165" s="278">
        <f>IFERROR(SUM(Y163:Y164),"0")</f>
        <v>0</v>
      </c>
      <c r="Z165" s="278">
        <f>IFERROR(IF(Z163="",0,Z163),"0")+IFERROR(IF(Z164="",0,Z164),"0")</f>
        <v>0</v>
      </c>
      <c r="AA165" s="279"/>
      <c r="AB165" s="279"/>
      <c r="AC165" s="279"/>
    </row>
    <row r="166" spans="1:68" hidden="1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0</v>
      </c>
      <c r="Y166" s="278">
        <f>IFERROR(SUMPRODUCT(Y163:Y164*H163:H164),"0")</f>
        <v>0</v>
      </c>
      <c r="Z166" s="37"/>
      <c r="AA166" s="279"/>
      <c r="AB166" s="279"/>
      <c r="AC166" s="279"/>
    </row>
    <row r="167" spans="1:68" ht="27.75" hidden="1" customHeight="1" x14ac:dyDescent="0.2">
      <c r="A167" s="331" t="s">
        <v>240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297" t="s">
        <v>241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hidden="1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hidden="1" customHeight="1" x14ac:dyDescent="0.25">
      <c r="A170" s="54" t="s">
        <v>242</v>
      </c>
      <c r="B170" s="54" t="s">
        <v>243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0</v>
      </c>
      <c r="Y170" s="277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244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154</v>
      </c>
      <c r="Y171" s="277">
        <f>IFERROR(IF(X171="","",X171),"")</f>
        <v>154</v>
      </c>
      <c r="Z171" s="36">
        <f>IFERROR(IF(X171="","",X171*0.01788),"")</f>
        <v>2.75352</v>
      </c>
      <c r="AA171" s="56"/>
      <c r="AB171" s="57"/>
      <c r="AC171" s="176" t="s">
        <v>247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521.75199999999995</v>
      </c>
      <c r="BN171" s="67">
        <f>IFERROR(Y171*I171,"0")</f>
        <v>521.75199999999995</v>
      </c>
      <c r="BO171" s="67">
        <f>IFERROR(X171/J171,"0")</f>
        <v>2.2000000000000002</v>
      </c>
      <c r="BP171" s="67">
        <f>IFERROR(Y171/J171,"0")</f>
        <v>2.2000000000000002</v>
      </c>
    </row>
    <row r="172" spans="1:68" ht="27" hidden="1" customHeight="1" x14ac:dyDescent="0.25">
      <c r="A172" s="54" t="s">
        <v>248</v>
      </c>
      <c r="B172" s="54" t="s">
        <v>249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0</v>
      </c>
      <c r="Y172" s="277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250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154</v>
      </c>
      <c r="Y173" s="278">
        <f>IFERROR(SUM(Y170:Y172),"0")</f>
        <v>154</v>
      </c>
      <c r="Z173" s="278">
        <f>IFERROR(IF(Z170="",0,Z170),"0")+IFERROR(IF(Z171="",0,Z171),"0")+IFERROR(IF(Z172="",0,Z172),"0")</f>
        <v>2.75352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462</v>
      </c>
      <c r="Y174" s="278">
        <f>IFERROR(SUMPRODUCT(Y170:Y172*H170:H172),"0")</f>
        <v>462</v>
      </c>
      <c r="Z174" s="37"/>
      <c r="AA174" s="279"/>
      <c r="AB174" s="279"/>
      <c r="AC174" s="279"/>
    </row>
    <row r="175" spans="1:68" ht="14.25" hidden="1" customHeight="1" x14ac:dyDescent="0.25">
      <c r="A175" s="295" t="s">
        <v>251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hidden="1" customHeight="1" x14ac:dyDescent="0.25">
      <c r="A176" s="54" t="s">
        <v>252</v>
      </c>
      <c r="B176" s="54" t="s">
        <v>253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254</v>
      </c>
      <c r="L176" s="32" t="s">
        <v>68</v>
      </c>
      <c r="M176" s="33" t="s">
        <v>255</v>
      </c>
      <c r="N176" s="33"/>
      <c r="O176" s="32">
        <v>365</v>
      </c>
      <c r="P176" s="433" t="s">
        <v>256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257</v>
      </c>
      <c r="AG176" s="67"/>
      <c r="AJ176" s="71" t="s">
        <v>72</v>
      </c>
      <c r="AK176" s="71">
        <v>1</v>
      </c>
      <c r="BB176" s="181" t="s">
        <v>258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hidden="1" customHeight="1" x14ac:dyDescent="0.2">
      <c r="A179" s="331" t="s">
        <v>259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297" t="s">
        <v>260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hidden="1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hidden="1" customHeight="1" x14ac:dyDescent="0.25">
      <c r="A182" s="54" t="s">
        <v>261</v>
      </c>
      <c r="B182" s="54" t="s">
        <v>262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66" t="s">
        <v>263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0</v>
      </c>
      <c r="Y182" s="27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264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hidden="1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7"/>
      <c r="AA184" s="279"/>
      <c r="AB184" s="279"/>
      <c r="AC184" s="279"/>
    </row>
    <row r="185" spans="1:68" ht="14.25" hidden="1" customHeight="1" x14ac:dyDescent="0.25">
      <c r="A185" s="295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hidden="1" customHeight="1" x14ac:dyDescent="0.25">
      <c r="A186" s="54" t="s">
        <v>265</v>
      </c>
      <c r="B186" s="54" t="s">
        <v>266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267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268</v>
      </c>
      <c r="B187" s="54" t="s">
        <v>269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270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3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267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273</v>
      </c>
      <c r="B189" s="54" t="s">
        <v>274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8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275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hidden="1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hidden="1" customHeight="1" x14ac:dyDescent="0.25">
      <c r="A192" s="297" t="s">
        <v>276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hidden="1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hidden="1" customHeight="1" x14ac:dyDescent="0.25">
      <c r="A194" s="54" t="s">
        <v>277</v>
      </c>
      <c r="B194" s="54" t="s">
        <v>278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280</v>
      </c>
      <c r="B195" s="54" t="s">
        <v>281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282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hidden="1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hidden="1" customHeight="1" x14ac:dyDescent="0.25">
      <c r="A198" s="297" t="s">
        <v>283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hidden="1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hidden="1" customHeight="1" x14ac:dyDescent="0.25">
      <c r="A200" s="54" t="s">
        <v>284</v>
      </c>
      <c r="B200" s="54" t="s">
        <v>285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286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286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289</v>
      </c>
      <c r="B202" s="54" t="s">
        <v>290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291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291</v>
      </c>
      <c r="AG203" s="67"/>
      <c r="AJ203" s="71" t="s">
        <v>83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hidden="1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hidden="1" customHeight="1" x14ac:dyDescent="0.25">
      <c r="A206" s="297" t="s">
        <v>294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hidden="1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hidden="1" customHeight="1" x14ac:dyDescent="0.25">
      <c r="A208" s="54" t="s">
        <v>295</v>
      </c>
      <c r="B208" s="54" t="s">
        <v>296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81</v>
      </c>
      <c r="M208" s="33" t="s">
        <v>69</v>
      </c>
      <c r="N208" s="33"/>
      <c r="O208" s="32">
        <v>180</v>
      </c>
      <c r="P208" s="359" t="s">
        <v>297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0</v>
      </c>
      <c r="Y208" s="277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83</v>
      </c>
      <c r="AK208" s="71">
        <v>12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0</v>
      </c>
      <c r="Y209" s="278">
        <f>IFERROR(SUM(Y208:Y208),"0")</f>
        <v>0</v>
      </c>
      <c r="Z209" s="278">
        <f>IFERROR(IF(Z208="",0,Z208),"0")</f>
        <v>0</v>
      </c>
      <c r="AA209" s="279"/>
      <c r="AB209" s="279"/>
      <c r="AC209" s="279"/>
    </row>
    <row r="210" spans="1:68" hidden="1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0</v>
      </c>
      <c r="Y210" s="278">
        <f>IFERROR(SUMPRODUCT(Y208:Y208*H208:H208),"0")</f>
        <v>0</v>
      </c>
      <c r="Z210" s="37"/>
      <c r="AA210" s="279"/>
      <c r="AB210" s="279"/>
      <c r="AC210" s="279"/>
    </row>
    <row r="211" spans="1:68" ht="16.5" hidden="1" customHeight="1" x14ac:dyDescent="0.25">
      <c r="A211" s="297" t="s">
        <v>299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hidden="1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hidden="1" customHeight="1" x14ac:dyDescent="0.25">
      <c r="A213" s="54" t="s">
        <v>300</v>
      </c>
      <c r="B213" s="54" t="s">
        <v>301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0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0</v>
      </c>
      <c r="Y213" s="277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302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hidden="1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7"/>
      <c r="AA215" s="279"/>
      <c r="AB215" s="279"/>
      <c r="AC215" s="279"/>
    </row>
    <row r="216" spans="1:68" ht="14.25" hidden="1" customHeight="1" x14ac:dyDescent="0.25">
      <c r="A216" s="295" t="s">
        <v>125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hidden="1" customHeight="1" x14ac:dyDescent="0.25">
      <c r="A217" s="54" t="s">
        <v>303</v>
      </c>
      <c r="B217" s="54" t="s">
        <v>304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0</v>
      </c>
      <c r="Y217" s="277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305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305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305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hidden="1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7"/>
      <c r="AA221" s="279"/>
      <c r="AB221" s="279"/>
      <c r="AC221" s="279"/>
    </row>
    <row r="222" spans="1:68" ht="16.5" hidden="1" customHeight="1" x14ac:dyDescent="0.25">
      <c r="A222" s="297" t="s">
        <v>310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hidden="1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hidden="1" customHeight="1" x14ac:dyDescent="0.25">
      <c r="A224" s="54" t="s">
        <v>311</v>
      </c>
      <c r="B224" s="54" t="s">
        <v>312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313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hidden="1" customHeight="1" x14ac:dyDescent="0.25">
      <c r="A225" s="54" t="s">
        <v>314</v>
      </c>
      <c r="B225" s="54" t="s">
        <v>315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313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hidden="1" customHeight="1" x14ac:dyDescent="0.2">
      <c r="A228" s="331" t="s">
        <v>316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48"/>
      <c r="AB228" s="48"/>
      <c r="AC228" s="48"/>
    </row>
    <row r="229" spans="1:68" ht="16.5" hidden="1" customHeight="1" x14ac:dyDescent="0.25">
      <c r="A229" s="297" t="s">
        <v>317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hidden="1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hidden="1" customHeight="1" x14ac:dyDescent="0.25">
      <c r="A231" s="54" t="s">
        <v>318</v>
      </c>
      <c r="B231" s="54" t="s">
        <v>319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320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hidden="1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hidden="1" customHeight="1" x14ac:dyDescent="0.2">
      <c r="A234" s="331" t="s">
        <v>321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48"/>
      <c r="AB234" s="48"/>
      <c r="AC234" s="48"/>
    </row>
    <row r="235" spans="1:68" ht="16.5" hidden="1" customHeight="1" x14ac:dyDescent="0.25">
      <c r="A235" s="297" t="s">
        <v>322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hidden="1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hidden="1" customHeight="1" x14ac:dyDescent="0.25">
      <c r="A237" s="54" t="s">
        <v>323</v>
      </c>
      <c r="B237" s="54" t="s">
        <v>324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3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0</v>
      </c>
      <c r="Y237" s="277">
        <f>IFERROR(IF(X237="","",X237),"")</f>
        <v>0</v>
      </c>
      <c r="Z237" s="36">
        <f>IFERROR(IF(X237="","",X237*0.0155),"")</f>
        <v>0</v>
      </c>
      <c r="AA237" s="56"/>
      <c r="AB237" s="57"/>
      <c r="AC237" s="220" t="s">
        <v>239</v>
      </c>
      <c r="AG237" s="67"/>
      <c r="AJ237" s="71" t="s">
        <v>72</v>
      </c>
      <c r="AK237" s="71">
        <v>1</v>
      </c>
      <c r="BB237" s="221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hidden="1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7"/>
      <c r="AA239" s="279"/>
      <c r="AB239" s="279"/>
      <c r="AC239" s="279"/>
    </row>
    <row r="240" spans="1:68" ht="27.75" hidden="1" customHeight="1" x14ac:dyDescent="0.2">
      <c r="A240" s="331" t="s">
        <v>325</v>
      </c>
      <c r="B240" s="332"/>
      <c r="C240" s="332"/>
      <c r="D240" s="332"/>
      <c r="E240" s="332"/>
      <c r="F240" s="332"/>
      <c r="G240" s="332"/>
      <c r="H240" s="332"/>
      <c r="I240" s="332"/>
      <c r="J240" s="332"/>
      <c r="K240" s="332"/>
      <c r="L240" s="332"/>
      <c r="M240" s="332"/>
      <c r="N240" s="332"/>
      <c r="O240" s="332"/>
      <c r="P240" s="332"/>
      <c r="Q240" s="332"/>
      <c r="R240" s="332"/>
      <c r="S240" s="332"/>
      <c r="T240" s="332"/>
      <c r="U240" s="332"/>
      <c r="V240" s="332"/>
      <c r="W240" s="332"/>
      <c r="X240" s="332"/>
      <c r="Y240" s="332"/>
      <c r="Z240" s="332"/>
      <c r="AA240" s="48"/>
      <c r="AB240" s="48"/>
      <c r="AC240" s="48"/>
    </row>
    <row r="241" spans="1:68" ht="16.5" hidden="1" customHeight="1" x14ac:dyDescent="0.25">
      <c r="A241" s="297" t="s">
        <v>326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hidden="1" customHeight="1" x14ac:dyDescent="0.25">
      <c r="A242" s="295" t="s">
        <v>327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hidden="1" customHeight="1" x14ac:dyDescent="0.25">
      <c r="A243" s="54" t="s">
        <v>328</v>
      </c>
      <c r="B243" s="54" t="s">
        <v>329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4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330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hidden="1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hidden="1" customHeight="1" x14ac:dyDescent="0.25">
      <c r="A246" s="295" t="s">
        <v>125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hidden="1" customHeight="1" x14ac:dyDescent="0.25">
      <c r="A247" s="54" t="s">
        <v>331</v>
      </c>
      <c r="B247" s="54" t="s">
        <v>332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0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330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hidden="1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hidden="1" customHeight="1" x14ac:dyDescent="0.2">
      <c r="A250" s="331" t="s">
        <v>333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48"/>
      <c r="AB250" s="48"/>
      <c r="AC250" s="48"/>
    </row>
    <row r="251" spans="1:68" ht="16.5" hidden="1" customHeight="1" x14ac:dyDescent="0.25">
      <c r="A251" s="297" t="s">
        <v>333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hidden="1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hidden="1" customHeight="1" x14ac:dyDescent="0.25">
      <c r="A253" s="54" t="s">
        <v>334</v>
      </c>
      <c r="B253" s="54" t="s">
        <v>335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4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336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336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339</v>
      </c>
      <c r="B255" s="54" t="s">
        <v>340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341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hidden="1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hidden="1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hidden="1" customHeight="1" x14ac:dyDescent="0.25">
      <c r="A259" s="54" t="s">
        <v>342</v>
      </c>
      <c r="B259" s="54" t="s">
        <v>343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0</v>
      </c>
      <c r="Y259" s="277">
        <f>IFERROR(IF(X259="","",X259),"")</f>
        <v>0</v>
      </c>
      <c r="Z259" s="36">
        <f>IFERROR(IF(X259="","",X259*0.0155),"")</f>
        <v>0</v>
      </c>
      <c r="AA259" s="56"/>
      <c r="AB259" s="57"/>
      <c r="AC259" s="232" t="s">
        <v>344</v>
      </c>
      <c r="AG259" s="67"/>
      <c r="AJ259" s="71" t="s">
        <v>83</v>
      </c>
      <c r="AK259" s="71">
        <v>12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345</v>
      </c>
      <c r="B260" s="54" t="s">
        <v>346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136</v>
      </c>
      <c r="L260" s="32" t="s">
        <v>68</v>
      </c>
      <c r="M260" s="33" t="s">
        <v>69</v>
      </c>
      <c r="N260" s="33"/>
      <c r="O260" s="32">
        <v>180</v>
      </c>
      <c r="P260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344</v>
      </c>
      <c r="AG260" s="67"/>
      <c r="AJ260" s="71" t="s">
        <v>72</v>
      </c>
      <c r="AK260" s="71">
        <v>1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0</v>
      </c>
      <c r="Y261" s="278">
        <f>IFERROR(SUM(Y259:Y260),"0")</f>
        <v>0</v>
      </c>
      <c r="Z261" s="278">
        <f>IFERROR(IF(Z259="",0,Z259),"0")+IFERROR(IF(Z260="",0,Z260),"0")</f>
        <v>0</v>
      </c>
      <c r="AA261" s="279"/>
      <c r="AB261" s="279"/>
      <c r="AC261" s="279"/>
    </row>
    <row r="262" spans="1:68" hidden="1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0</v>
      </c>
      <c r="Y262" s="278">
        <f>IFERROR(SUMPRODUCT(Y259:Y260*H259:H260),"0")</f>
        <v>0</v>
      </c>
      <c r="Z262" s="37"/>
      <c r="AA262" s="279"/>
      <c r="AB262" s="279"/>
      <c r="AC262" s="279"/>
    </row>
    <row r="263" spans="1:68" ht="14.25" hidden="1" customHeight="1" x14ac:dyDescent="0.25">
      <c r="A263" s="295" t="s">
        <v>119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hidden="1" customHeight="1" x14ac:dyDescent="0.25">
      <c r="A264" s="54" t="s">
        <v>347</v>
      </c>
      <c r="B264" s="54" t="s">
        <v>348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349</v>
      </c>
      <c r="AG264" s="67"/>
      <c r="AJ264" s="71" t="s">
        <v>83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0</v>
      </c>
      <c r="Y265" s="277">
        <f>IFERROR(IF(X265="","",X265),"")</f>
        <v>0</v>
      </c>
      <c r="Z265" s="36">
        <f>IFERROR(IF(X265="","",X265*0.0155),"")</f>
        <v>0</v>
      </c>
      <c r="AA265" s="56"/>
      <c r="AB265" s="57"/>
      <c r="AC265" s="238" t="s">
        <v>349</v>
      </c>
      <c r="AG265" s="67"/>
      <c r="AJ265" s="71" t="s">
        <v>83</v>
      </c>
      <c r="AK265" s="71">
        <v>12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352</v>
      </c>
      <c r="B266" s="54" t="s">
        <v>353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349</v>
      </c>
      <c r="AG266" s="67"/>
      <c r="AJ266" s="71" t="s">
        <v>72</v>
      </c>
      <c r="AK266" s="71">
        <v>1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0</v>
      </c>
      <c r="Y267" s="278">
        <f>IFERROR(SUM(Y264:Y266),"0")</f>
        <v>0</v>
      </c>
      <c r="Z267" s="278">
        <f>IFERROR(IF(Z264="",0,Z264),"0")+IFERROR(IF(Z265="",0,Z265),"0")+IFERROR(IF(Z266="",0,Z266),"0")</f>
        <v>0</v>
      </c>
      <c r="AA267" s="279"/>
      <c r="AB267" s="279"/>
      <c r="AC267" s="279"/>
    </row>
    <row r="268" spans="1:68" hidden="1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0</v>
      </c>
      <c r="Y268" s="278">
        <f>IFERROR(SUMPRODUCT(Y264:Y266*H264:H266),"0")</f>
        <v>0</v>
      </c>
      <c r="Z268" s="37"/>
      <c r="AA268" s="279"/>
      <c r="AB268" s="279"/>
      <c r="AC268" s="279"/>
    </row>
    <row r="269" spans="1:68" ht="14.25" hidden="1" customHeight="1" x14ac:dyDescent="0.25">
      <c r="A269" s="295" t="s">
        <v>125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hidden="1" customHeight="1" x14ac:dyDescent="0.25">
      <c r="A270" s="54" t="s">
        <v>354</v>
      </c>
      <c r="B270" s="54" t="s">
        <v>355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6">IFERROR(IF(X270="","",X270),"")</f>
        <v>0</v>
      </c>
      <c r="Z270" s="36">
        <f>IFERROR(IF(X270="","",X270*0.00936),"")</f>
        <v>0</v>
      </c>
      <c r="AA270" s="56"/>
      <c r="AB270" s="57"/>
      <c r="AC270" s="242" t="s">
        <v>356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7">IFERROR(X270*I270,"0")</f>
        <v>0</v>
      </c>
      <c r="BN270" s="67">
        <f t="shared" ref="BN270:BN282" si="8">IFERROR(Y270*I270,"0")</f>
        <v>0</v>
      </c>
      <c r="BO270" s="67">
        <f t="shared" ref="BO270:BO282" si="9">IFERROR(X270/J270,"0")</f>
        <v>0</v>
      </c>
      <c r="BP270" s="67">
        <f t="shared" ref="BP270:BP282" si="10">IFERROR(Y270/J270,"0")</f>
        <v>0</v>
      </c>
    </row>
    <row r="271" spans="1:68" ht="27" hidden="1" customHeight="1" x14ac:dyDescent="0.25">
      <c r="A271" s="54" t="s">
        <v>357</v>
      </c>
      <c r="B271" s="54" t="s">
        <v>358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2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0</v>
      </c>
      <c r="Y271" s="277">
        <f t="shared" si="6"/>
        <v>0</v>
      </c>
      <c r="Z271" s="36">
        <f>IFERROR(IF(X271="","",X271*0.00936),"")</f>
        <v>0</v>
      </c>
      <c r="AA271" s="56"/>
      <c r="AB271" s="57"/>
      <c r="AC271" s="244" t="s">
        <v>359</v>
      </c>
      <c r="AG271" s="67"/>
      <c r="AJ271" s="71" t="s">
        <v>83</v>
      </c>
      <c r="AK271" s="71">
        <v>14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360</v>
      </c>
      <c r="B272" s="54" t="s">
        <v>361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81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0</v>
      </c>
      <c r="Y272" s="277">
        <f t="shared" si="6"/>
        <v>0</v>
      </c>
      <c r="Z272" s="36">
        <f>IFERROR(IF(X272="","",X272*0.0155),"")</f>
        <v>0</v>
      </c>
      <c r="AA272" s="56"/>
      <c r="AB272" s="57"/>
      <c r="AC272" s="246" t="s">
        <v>356</v>
      </c>
      <c r="AG272" s="67"/>
      <c r="AJ272" s="71" t="s">
        <v>83</v>
      </c>
      <c r="AK272" s="71">
        <v>12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362</v>
      </c>
      <c r="B273" s="54" t="s">
        <v>363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0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0</v>
      </c>
      <c r="Y273" s="277">
        <f t="shared" si="6"/>
        <v>0</v>
      </c>
      <c r="Z273" s="36">
        <f t="shared" ref="Z273:Z278" si="11">IFERROR(IF(X273="","",X273*0.00936),"")</f>
        <v>0</v>
      </c>
      <c r="AA273" s="56"/>
      <c r="AB273" s="57"/>
      <c r="AC273" s="248" t="s">
        <v>359</v>
      </c>
      <c r="AG273" s="67"/>
      <c r="AJ273" s="71" t="s">
        <v>83</v>
      </c>
      <c r="AK273" s="71">
        <v>14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364</v>
      </c>
      <c r="B274" s="54" t="s">
        <v>365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201</v>
      </c>
      <c r="M274" s="33" t="s">
        <v>69</v>
      </c>
      <c r="N274" s="33"/>
      <c r="O274" s="32">
        <v>180</v>
      </c>
      <c r="P274" s="41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0</v>
      </c>
      <c r="Y274" s="277">
        <f t="shared" si="6"/>
        <v>0</v>
      </c>
      <c r="Z274" s="36">
        <f t="shared" si="11"/>
        <v>0</v>
      </c>
      <c r="AA274" s="56"/>
      <c r="AB274" s="57"/>
      <c r="AC274" s="250" t="s">
        <v>356</v>
      </c>
      <c r="AG274" s="67"/>
      <c r="AJ274" s="71" t="s">
        <v>202</v>
      </c>
      <c r="AK274" s="71">
        <v>126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6"/>
        <v>0</v>
      </c>
      <c r="Z275" s="36">
        <f t="shared" si="11"/>
        <v>0</v>
      </c>
      <c r="AA275" s="56"/>
      <c r="AB275" s="57"/>
      <c r="AC275" s="252" t="s">
        <v>356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368</v>
      </c>
      <c r="B276" s="54" t="s">
        <v>369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0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6"/>
        <v>0</v>
      </c>
      <c r="Z276" s="36">
        <f t="shared" si="11"/>
        <v>0</v>
      </c>
      <c r="AA276" s="56"/>
      <c r="AB276" s="57"/>
      <c r="AC276" s="254" t="s">
        <v>356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29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6"/>
        <v>0</v>
      </c>
      <c r="Z277" s="36">
        <f t="shared" si="11"/>
        <v>0</v>
      </c>
      <c r="AA277" s="56"/>
      <c r="AB277" s="57"/>
      <c r="AC277" s="256" t="s">
        <v>356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6"/>
        <v>0</v>
      </c>
      <c r="Z278" s="36">
        <f t="shared" si="11"/>
        <v>0</v>
      </c>
      <c r="AA278" s="56"/>
      <c r="AB278" s="57"/>
      <c r="AC278" s="258" t="s">
        <v>359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40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6"/>
        <v>0</v>
      </c>
      <c r="Z279" s="36">
        <f>IFERROR(IF(X279="","",X279*0.00502),"")</f>
        <v>0</v>
      </c>
      <c r="AA279" s="56"/>
      <c r="AB279" s="57"/>
      <c r="AC279" s="260" t="s">
        <v>356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6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6"/>
        <v>0</v>
      </c>
      <c r="Z280" s="36">
        <f>IFERROR(IF(X280="","",X280*0.00502),"")</f>
        <v>0</v>
      </c>
      <c r="AA280" s="56"/>
      <c r="AB280" s="57"/>
      <c r="AC280" s="262" t="s">
        <v>356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5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6"/>
        <v>0</v>
      </c>
      <c r="Z281" s="36">
        <f>IFERROR(IF(X281="","",X281*0.00502),"")</f>
        <v>0</v>
      </c>
      <c r="AA281" s="56"/>
      <c r="AB281" s="57"/>
      <c r="AC281" s="264" t="s">
        <v>356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380</v>
      </c>
      <c r="B282" s="54" t="s">
        <v>381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136</v>
      </c>
      <c r="L282" s="32" t="s">
        <v>68</v>
      </c>
      <c r="M282" s="33" t="s">
        <v>69</v>
      </c>
      <c r="N282" s="33"/>
      <c r="O282" s="32">
        <v>180</v>
      </c>
      <c r="P282" s="42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6"/>
        <v>0</v>
      </c>
      <c r="Z282" s="36">
        <f>IFERROR(IF(X282="","",X282*0.00502),"")</f>
        <v>0</v>
      </c>
      <c r="AA282" s="56"/>
      <c r="AB282" s="57"/>
      <c r="AC282" s="266" t="s">
        <v>382</v>
      </c>
      <c r="AG282" s="67"/>
      <c r="AJ282" s="71" t="s">
        <v>72</v>
      </c>
      <c r="AK282" s="71">
        <v>1</v>
      </c>
      <c r="BB282" s="267" t="s">
        <v>84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idden="1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0</v>
      </c>
      <c r="Y283" s="278">
        <f>IFERROR(SUM(Y270:Y282),"0")</f>
        <v>0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279"/>
      <c r="AB283" s="279"/>
      <c r="AC283" s="279"/>
    </row>
    <row r="284" spans="1:68" hidden="1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0</v>
      </c>
      <c r="Y284" s="278">
        <f>IFERROR(SUMPRODUCT(Y270:Y282*H270:H282),"0")</f>
        <v>0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298" t="s">
        <v>383</v>
      </c>
      <c r="Q285" s="299"/>
      <c r="R285" s="299"/>
      <c r="S285" s="299"/>
      <c r="T285" s="299"/>
      <c r="U285" s="299"/>
      <c r="V285" s="300"/>
      <c r="W285" s="37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9752.8799999999992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9752.8799999999992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298" t="s">
        <v>384</v>
      </c>
      <c r="Q286" s="299"/>
      <c r="R286" s="299"/>
      <c r="S286" s="299"/>
      <c r="T286" s="299"/>
      <c r="U286" s="299"/>
      <c r="V286" s="300"/>
      <c r="W286" s="37" t="s">
        <v>74</v>
      </c>
      <c r="X286" s="278">
        <f>IFERROR(SUM(BM22:BM282),"0")</f>
        <v>11091.508000000002</v>
      </c>
      <c r="Y286" s="278">
        <f>IFERROR(SUM(BN22:BN282),"0")</f>
        <v>11091.508000000002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298" t="s">
        <v>385</v>
      </c>
      <c r="Q287" s="299"/>
      <c r="R287" s="299"/>
      <c r="S287" s="299"/>
      <c r="T287" s="299"/>
      <c r="U287" s="299"/>
      <c r="V287" s="300"/>
      <c r="W287" s="37" t="s">
        <v>386</v>
      </c>
      <c r="X287" s="38">
        <f>ROUNDUP(SUM(BO22:BO282),0)</f>
        <v>33</v>
      </c>
      <c r="Y287" s="38">
        <f>ROUNDUP(SUM(BP22:BP282),0)</f>
        <v>33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298" t="s">
        <v>387</v>
      </c>
      <c r="Q288" s="299"/>
      <c r="R288" s="299"/>
      <c r="S288" s="299"/>
      <c r="T288" s="299"/>
      <c r="U288" s="299"/>
      <c r="V288" s="300"/>
      <c r="W288" s="37" t="s">
        <v>74</v>
      </c>
      <c r="X288" s="278">
        <f>GrossWeightTotal+PalletQtyTotal*25</f>
        <v>11916.508000000002</v>
      </c>
      <c r="Y288" s="278">
        <f>GrossWeightTotalR+PalletQtyTotalR*25</f>
        <v>11916.508000000002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298" t="s">
        <v>388</v>
      </c>
      <c r="Q289" s="299"/>
      <c r="R289" s="299"/>
      <c r="S289" s="299"/>
      <c r="T289" s="299"/>
      <c r="U289" s="299"/>
      <c r="V289" s="300"/>
      <c r="W289" s="37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2650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2650</v>
      </c>
      <c r="Z289" s="37"/>
      <c r="AA289" s="279"/>
      <c r="AB289" s="279"/>
      <c r="AC289" s="279"/>
    </row>
    <row r="290" spans="1:32" ht="14.25" hidden="1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298" t="s">
        <v>389</v>
      </c>
      <c r="Q290" s="299"/>
      <c r="R290" s="299"/>
      <c r="S290" s="299"/>
      <c r="T290" s="299"/>
      <c r="U290" s="299"/>
      <c r="V290" s="300"/>
      <c r="W290" s="39" t="s">
        <v>390</v>
      </c>
      <c r="X290" s="37"/>
      <c r="Y290" s="37"/>
      <c r="Z290" s="37">
        <f>IFERROR(Z23+Z30+Z37+Z45+Z50+Z54+Z58+Z63+Z69+Z75+Z80+Z86+Z97+Z103+Z112+Z116+Z120+Z126+Z132+Z138+Z143+Z148+Z153+Z158+Z165+Z173+Z177+Z183+Z190+Z196+Z204+Z209+Z214+Z220+Z226+Z232+Z238+Z244+Z248+Z256+Z261+Z267+Z283,"0")</f>
        <v>40.936079999999997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391</v>
      </c>
      <c r="B292" s="273" t="s">
        <v>63</v>
      </c>
      <c r="C292" s="309" t="s">
        <v>75</v>
      </c>
      <c r="D292" s="362"/>
      <c r="E292" s="362"/>
      <c r="F292" s="362"/>
      <c r="G292" s="362"/>
      <c r="H292" s="362"/>
      <c r="I292" s="362"/>
      <c r="J292" s="362"/>
      <c r="K292" s="362"/>
      <c r="L292" s="362"/>
      <c r="M292" s="362"/>
      <c r="N292" s="362"/>
      <c r="O292" s="362"/>
      <c r="P292" s="362"/>
      <c r="Q292" s="362"/>
      <c r="R292" s="362"/>
      <c r="S292" s="362"/>
      <c r="T292" s="363"/>
      <c r="U292" s="273" t="s">
        <v>231</v>
      </c>
      <c r="V292" s="273" t="s">
        <v>240</v>
      </c>
      <c r="W292" s="309" t="s">
        <v>259</v>
      </c>
      <c r="X292" s="362"/>
      <c r="Y292" s="362"/>
      <c r="Z292" s="362"/>
      <c r="AA292" s="362"/>
      <c r="AB292" s="363"/>
      <c r="AC292" s="273" t="s">
        <v>316</v>
      </c>
      <c r="AD292" s="273" t="s">
        <v>321</v>
      </c>
      <c r="AE292" s="273" t="s">
        <v>325</v>
      </c>
      <c r="AF292" s="273" t="s">
        <v>333</v>
      </c>
    </row>
    <row r="293" spans="1:32" ht="14.25" customHeight="1" thickTop="1" x14ac:dyDescent="0.2">
      <c r="A293" s="353" t="s">
        <v>392</v>
      </c>
      <c r="B293" s="309" t="s">
        <v>63</v>
      </c>
      <c r="C293" s="309" t="s">
        <v>76</v>
      </c>
      <c r="D293" s="309" t="s">
        <v>87</v>
      </c>
      <c r="E293" s="309" t="s">
        <v>97</v>
      </c>
      <c r="F293" s="309" t="s">
        <v>108</v>
      </c>
      <c r="G293" s="309" t="s">
        <v>133</v>
      </c>
      <c r="H293" s="309" t="s">
        <v>140</v>
      </c>
      <c r="I293" s="309" t="s">
        <v>144</v>
      </c>
      <c r="J293" s="309" t="s">
        <v>152</v>
      </c>
      <c r="K293" s="309" t="s">
        <v>169</v>
      </c>
      <c r="L293" s="309" t="s">
        <v>175</v>
      </c>
      <c r="M293" s="309" t="s">
        <v>195</v>
      </c>
      <c r="N293" s="274"/>
      <c r="O293" s="309" t="s">
        <v>203</v>
      </c>
      <c r="P293" s="309" t="s">
        <v>210</v>
      </c>
      <c r="Q293" s="309" t="s">
        <v>215</v>
      </c>
      <c r="R293" s="309" t="s">
        <v>219</v>
      </c>
      <c r="S293" s="309" t="s">
        <v>222</v>
      </c>
      <c r="T293" s="309" t="s">
        <v>227</v>
      </c>
      <c r="U293" s="309" t="s">
        <v>232</v>
      </c>
      <c r="V293" s="309" t="s">
        <v>241</v>
      </c>
      <c r="W293" s="309" t="s">
        <v>260</v>
      </c>
      <c r="X293" s="309" t="s">
        <v>276</v>
      </c>
      <c r="Y293" s="309" t="s">
        <v>283</v>
      </c>
      <c r="Z293" s="309" t="s">
        <v>294</v>
      </c>
      <c r="AA293" s="309" t="s">
        <v>299</v>
      </c>
      <c r="AB293" s="309" t="s">
        <v>310</v>
      </c>
      <c r="AC293" s="309" t="s">
        <v>317</v>
      </c>
      <c r="AD293" s="309" t="s">
        <v>322</v>
      </c>
      <c r="AE293" s="309" t="s">
        <v>326</v>
      </c>
      <c r="AF293" s="309" t="s">
        <v>333</v>
      </c>
    </row>
    <row r="294" spans="1:32" ht="13.5" customHeight="1" thickBot="1" x14ac:dyDescent="0.25">
      <c r="A294" s="354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274"/>
      <c r="O294" s="310"/>
      <c r="P294" s="310"/>
      <c r="Q294" s="310"/>
      <c r="R294" s="310"/>
      <c r="S294" s="310"/>
      <c r="T294" s="310"/>
      <c r="U294" s="310"/>
      <c r="V294" s="310"/>
      <c r="W294" s="310"/>
      <c r="X294" s="310"/>
      <c r="Y294" s="310"/>
      <c r="Z294" s="310"/>
      <c r="AA294" s="310"/>
      <c r="AB294" s="310"/>
      <c r="AC294" s="310"/>
      <c r="AD294" s="310"/>
      <c r="AE294" s="310"/>
      <c r="AF294" s="310"/>
    </row>
    <row r="295" spans="1:32" ht="18" customHeight="1" thickTop="1" thickBot="1" x14ac:dyDescent="0.25">
      <c r="A295" s="40" t="s">
        <v>393</v>
      </c>
      <c r="B295" s="46">
        <f>IFERROR(X22*H22,"0")</f>
        <v>0</v>
      </c>
      <c r="C295" s="46">
        <f>IFERROR(X28*H28,"0")+IFERROR(X29*H29,"0")</f>
        <v>357</v>
      </c>
      <c r="D295" s="46">
        <f>IFERROR(X34*H34,"0")+IFERROR(X35*H35,"0")+IFERROR(X36*H36,"0")</f>
        <v>2015.9999999999998</v>
      </c>
      <c r="E295" s="46">
        <f>IFERROR(X41*H41,"0")+IFERROR(X42*H42,"0")+IFERROR(X43*H43,"0")+IFERROR(X44*H44,"0")</f>
        <v>489.6</v>
      </c>
      <c r="F295" s="46">
        <f>IFERROR(X49*H49,"0")+IFERROR(X53*H53,"0")+IFERROR(X57*H57,"0")+IFERROR(X61*H61,"0")+IFERROR(X62*H62,"0")+IFERROR(X66*H66,"0")+IFERROR(X67*H67,"0")+IFERROR(X68*H68,"0")</f>
        <v>0</v>
      </c>
      <c r="G295" s="46">
        <f>IFERROR(X73*H73,"0")+IFERROR(X74*H74,"0")</f>
        <v>820.2</v>
      </c>
      <c r="H295" s="46">
        <f>IFERROR(X79*H79,"0")</f>
        <v>252</v>
      </c>
      <c r="I295" s="46">
        <f>IFERROR(X84*H84,"0")+IFERROR(X85*H85,"0")</f>
        <v>1612.8000000000002</v>
      </c>
      <c r="J295" s="46">
        <f>IFERROR(X90*H90,"0")+IFERROR(X91*H91,"0")+IFERROR(X92*H92,"0")+IFERROR(X93*H93,"0")+IFERROR(X94*H94,"0")+IFERROR(X95*H95,"0")+IFERROR(X96*H96,"0")</f>
        <v>1039.92</v>
      </c>
      <c r="K295" s="46">
        <f>IFERROR(X101*H101,"0")+IFERROR(X102*H102,"0")</f>
        <v>0</v>
      </c>
      <c r="L295" s="46">
        <f>IFERROR(X107*H107,"0")+IFERROR(X108*H108,"0")+IFERROR(X109*H109,"0")+IFERROR(X110*H110,"0")+IFERROR(X111*H111,"0")+IFERROR(X115*H115,"0")+IFERROR(X119*H119,"0")</f>
        <v>1070.4000000000001</v>
      </c>
      <c r="M295" s="46">
        <f>IFERROR(X124*H124,"0")+IFERROR(X125*H125,"0")</f>
        <v>966</v>
      </c>
      <c r="N295" s="274"/>
      <c r="O295" s="46">
        <f>IFERROR(X130*H130,"0")+IFERROR(X131*H131,"0")</f>
        <v>336</v>
      </c>
      <c r="P295" s="46">
        <f>IFERROR(X136*H136,"0")+IFERROR(X137*H137,"0")</f>
        <v>100.80000000000001</v>
      </c>
      <c r="Q295" s="46">
        <f>IFERROR(X142*H142,"0")</f>
        <v>126</v>
      </c>
      <c r="R295" s="46">
        <f>IFERROR(X147*H147,"0")</f>
        <v>0</v>
      </c>
      <c r="S295" s="46">
        <f>IFERROR(X152*H152,"0")</f>
        <v>0</v>
      </c>
      <c r="T295" s="46">
        <f>IFERROR(X157*H157,"0")</f>
        <v>104.16</v>
      </c>
      <c r="U295" s="46">
        <f>IFERROR(X163*H163,"0")+IFERROR(X164*H164,"0")</f>
        <v>0</v>
      </c>
      <c r="V295" s="46">
        <f>IFERROR(X170*H170,"0")+IFERROR(X171*H171,"0")+IFERROR(X172*H172,"0")+IFERROR(X176*H176,"0")</f>
        <v>462</v>
      </c>
      <c r="W295" s="46">
        <f>IFERROR(X182*H182,"0")+IFERROR(X186*H186,"0")+IFERROR(X187*H187,"0")+IFERROR(X188*H188,"0")+IFERROR(X189*H189,"0")</f>
        <v>0</v>
      </c>
      <c r="X295" s="46">
        <f>IFERROR(X194*H194,"0")+IFERROR(X195*H195,"0")</f>
        <v>0</v>
      </c>
      <c r="Y295" s="46">
        <f>IFERROR(X200*H200,"0")+IFERROR(X201*H201,"0")+IFERROR(X202*H202,"0")+IFERROR(X203*H203,"0")</f>
        <v>0</v>
      </c>
      <c r="Z295" s="46">
        <f>IFERROR(X208*H208,"0")</f>
        <v>0</v>
      </c>
      <c r="AA295" s="46">
        <f>IFERROR(X213*H213,"0")+IFERROR(X217*H217,"0")+IFERROR(X218*H218,"0")+IFERROR(X219*H219,"0")</f>
        <v>0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394</v>
      </c>
      <c r="B297" s="58" t="s">
        <v>395</v>
      </c>
      <c r="C297" s="58" t="s">
        <v>396</v>
      </c>
    </row>
    <row r="298" spans="1:32" x14ac:dyDescent="0.2">
      <c r="A298" s="59">
        <f>SUMPRODUCT(--(BB:BB="ЗПФ"),--(W:W="кор"),H:H,Y:Y)+SUMPRODUCT(--(BB:BB="ЗПФ"),--(W:W="кг"),Y:Y)</f>
        <v>4396.2000000000007</v>
      </c>
      <c r="B298" s="60">
        <f>SUMPRODUCT(--(BB:BB="ПГП"),--(W:W="кор"),H:H,Y:Y)+SUMPRODUCT(--(BB:BB="ПГП"),--(W:W="кг"),Y:Y)</f>
        <v>5356.68</v>
      </c>
      <c r="C298" s="60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9,92"/>
        <filter val="1 070,40"/>
        <filter val="1 612,80"/>
        <filter val="100,80"/>
        <filter val="104,16"/>
        <filter val="108,00"/>
        <filter val="11 091,51"/>
        <filter val="11 916,51"/>
        <filter val="112,00"/>
        <filter val="12,00"/>
        <filter val="120,00"/>
        <filter val="126,00"/>
        <filter val="14,00"/>
        <filter val="154,00"/>
        <filter val="156,00"/>
        <filter val="168,00"/>
        <filter val="192,00"/>
        <filter val="196,00"/>
        <filter val="2 016,00"/>
        <filter val="2 650,00"/>
        <filter val="222,00"/>
        <filter val="238,00"/>
        <filter val="24,00"/>
        <filter val="252,00"/>
        <filter val="28,00"/>
        <filter val="322,00"/>
        <filter val="33"/>
        <filter val="336,00"/>
        <filter val="350,00"/>
        <filter val="357,00"/>
        <filter val="360,00"/>
        <filter val="42,00"/>
        <filter val="448,00"/>
        <filter val="462,00"/>
        <filter val="48,00"/>
        <filter val="489,60"/>
        <filter val="60,00"/>
        <filter val="62,00"/>
        <filter val="70,00"/>
        <filter val="72,00"/>
        <filter val="820,20"/>
        <filter val="9 752,88"/>
        <filter val="96,00"/>
        <filter val="966,00"/>
        <filter val="98,00"/>
      </filters>
    </filterColumn>
    <filterColumn colId="29" showButton="0"/>
    <filterColumn colId="30" showButton="0"/>
  </autoFilter>
  <mergeCells count="513"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Z293:Z294"/>
    <mergeCell ref="A192:Z192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AB293:AB294"/>
    <mergeCell ref="A21:Z21"/>
    <mergeCell ref="A129:Z129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D102:E102"/>
    <mergeCell ref="P81:V81"/>
    <mergeCell ref="A128:Z128"/>
    <mergeCell ref="P218:T218"/>
    <mergeCell ref="V12:W12"/>
    <mergeCell ref="U17:V17"/>
    <mergeCell ref="P2:W3"/>
    <mergeCell ref="A244:O245"/>
    <mergeCell ref="D35:E35"/>
    <mergeCell ref="A23:O24"/>
    <mergeCell ref="D10:E10"/>
    <mergeCell ref="F10:G10"/>
    <mergeCell ref="D34:E34"/>
    <mergeCell ref="D243:E243"/>
    <mergeCell ref="A8:C8"/>
    <mergeCell ref="A10:C10"/>
    <mergeCell ref="A9:C9"/>
    <mergeCell ref="P125:T125"/>
    <mergeCell ref="D202:E202"/>
    <mergeCell ref="A179:Z179"/>
    <mergeCell ref="P70:V70"/>
    <mergeCell ref="A156:Z156"/>
    <mergeCell ref="P116:V116"/>
    <mergeCell ref="P103:V103"/>
    <mergeCell ref="D107:E107"/>
    <mergeCell ref="P136:T136"/>
    <mergeCell ref="P69:V69"/>
    <mergeCell ref="D42:E42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P148:V148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H10:M10"/>
    <mergeCell ref="AA17:AA18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9:E279"/>
    <mergeCell ref="D271:E271"/>
    <mergeCell ref="P43:T43"/>
    <mergeCell ref="D157:E157"/>
    <mergeCell ref="D274:E274"/>
    <mergeCell ref="A105:Z105"/>
    <mergeCell ref="D224:E224"/>
    <mergeCell ref="A26:Z26"/>
    <mergeCell ref="P59:V59"/>
    <mergeCell ref="P190:V190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P96:T96"/>
    <mergeCell ref="H17:H18"/>
    <mergeCell ref="A220:O221"/>
    <mergeCell ref="A146:Z146"/>
    <mergeCell ref="P90:T90"/>
    <mergeCell ref="P217:T217"/>
    <mergeCell ref="P104:V104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A13:M13"/>
    <mergeCell ref="D61:E61"/>
    <mergeCell ref="A15:M15"/>
    <mergeCell ref="A54:O55"/>
    <mergeCell ref="A50:O51"/>
    <mergeCell ref="A80:O81"/>
    <mergeCell ref="A160:Z160"/>
    <mergeCell ref="I17:I18"/>
    <mergeCell ref="P189:T189"/>
    <mergeCell ref="A155:Z155"/>
    <mergeCell ref="P97:V97"/>
    <mergeCell ref="Q13:R13"/>
    <mergeCell ref="P176:T176"/>
    <mergeCell ref="D84:E84"/>
    <mergeCell ref="P41:T41"/>
    <mergeCell ref="D22:E22"/>
    <mergeCell ref="P34:T34"/>
    <mergeCell ref="M17:M18"/>
    <mergeCell ref="O17:O18"/>
    <mergeCell ref="P62:T62"/>
    <mergeCell ref="A33:Z33"/>
    <mergeCell ref="A126:O127"/>
    <mergeCell ref="P23:V23"/>
    <mergeCell ref="Y17:Y18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P201:T201"/>
    <mergeCell ref="A222:Z222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1:E231"/>
    <mergeCell ref="D259:E259"/>
    <mergeCell ref="P257:V257"/>
    <mergeCell ref="A181:Z181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D96:E96"/>
    <mergeCell ref="A162:Z162"/>
    <mergeCell ref="A138:O139"/>
    <mergeCell ref="P15:T16"/>
    <mergeCell ref="A132:O133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B293:B294"/>
    <mergeCell ref="W293:W294"/>
    <mergeCell ref="Y293:Y294"/>
    <mergeCell ref="A12:M12"/>
    <mergeCell ref="A180:Z180"/>
    <mergeCell ref="A240:Z240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C292:T292"/>
    <mergeCell ref="P293:P294"/>
    <mergeCell ref="D147:E147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A99:Z99"/>
    <mergeCell ref="D28:E28"/>
    <mergeCell ref="P171:T171"/>
    <mergeCell ref="D92:E92"/>
    <mergeCell ref="D67:E67"/>
    <mergeCell ref="A214:O215"/>
    <mergeCell ref="A140:Z140"/>
    <mergeCell ref="P266:T266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H9:I9"/>
    <mergeCell ref="P24:V24"/>
    <mergeCell ref="P28:T28"/>
    <mergeCell ref="W17:W18"/>
    <mergeCell ref="P38:V38"/>
    <mergeCell ref="A6:C6"/>
    <mergeCell ref="P142:T142"/>
    <mergeCell ref="A161:Z161"/>
    <mergeCell ref="D115:E115"/>
    <mergeCell ref="D253:E253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D272:E272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A65:Z65"/>
    <mergeCell ref="A45:O46"/>
    <mergeCell ref="P157:T157"/>
    <mergeCell ref="P213:T213"/>
    <mergeCell ref="P172:T172"/>
    <mergeCell ref="A158:O159"/>
    <mergeCell ref="D53:E53"/>
    <mergeCell ref="P232:V232"/>
    <mergeCell ref="P159:V159"/>
    <mergeCell ref="P147:T147"/>
    <mergeCell ref="A151:Z151"/>
    <mergeCell ref="P95:T95"/>
    <mergeCell ref="P182:T182"/>
    <mergeCell ref="P74:T74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A135:Z135"/>
    <mergeCell ref="P283:V283"/>
    <mergeCell ref="D281:E281"/>
    <mergeCell ref="A256:O257"/>
    <mergeCell ref="A78:Z78"/>
    <mergeCell ref="P153:V153"/>
    <mergeCell ref="P261:V261"/>
    <mergeCell ref="P273:T2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2"/>
    </row>
    <row r="3" spans="2:8" x14ac:dyDescent="0.2">
      <c r="B3" s="47" t="s">
        <v>398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399</v>
      </c>
      <c r="D6" s="47" t="s">
        <v>400</v>
      </c>
      <c r="E6" s="47"/>
    </row>
    <row r="8" spans="2:8" x14ac:dyDescent="0.2">
      <c r="B8" s="47" t="s">
        <v>19</v>
      </c>
      <c r="C8" s="47" t="s">
        <v>399</v>
      </c>
      <c r="D8" s="47"/>
      <c r="E8" s="47"/>
    </row>
    <row r="10" spans="2:8" x14ac:dyDescent="0.2">
      <c r="B10" s="47" t="s">
        <v>401</v>
      </c>
      <c r="C10" s="47"/>
      <c r="D10" s="47"/>
      <c r="E10" s="47"/>
    </row>
    <row r="11" spans="2:8" x14ac:dyDescent="0.2">
      <c r="B11" s="47" t="s">
        <v>402</v>
      </c>
      <c r="C11" s="47"/>
      <c r="D11" s="47"/>
      <c r="E11" s="47"/>
    </row>
    <row r="12" spans="2:8" x14ac:dyDescent="0.2">
      <c r="B12" s="47" t="s">
        <v>403</v>
      </c>
      <c r="C12" s="47"/>
      <c r="D12" s="47"/>
      <c r="E12" s="47"/>
    </row>
    <row r="13" spans="2:8" x14ac:dyDescent="0.2">
      <c r="B13" s="47" t="s">
        <v>404</v>
      </c>
      <c r="C13" s="47"/>
      <c r="D13" s="47"/>
      <c r="E13" s="47"/>
    </row>
    <row r="14" spans="2:8" x14ac:dyDescent="0.2">
      <c r="B14" s="47" t="s">
        <v>405</v>
      </c>
      <c r="C14" s="47"/>
      <c r="D14" s="47"/>
      <c r="E14" s="47"/>
    </row>
    <row r="15" spans="2:8" x14ac:dyDescent="0.2">
      <c r="B15" s="47" t="s">
        <v>406</v>
      </c>
      <c r="C15" s="47"/>
      <c r="D15" s="47"/>
      <c r="E15" s="47"/>
    </row>
    <row r="16" spans="2:8" x14ac:dyDescent="0.2">
      <c r="B16" s="47" t="s">
        <v>407</v>
      </c>
      <c r="C16" s="47"/>
      <c r="D16" s="47"/>
      <c r="E16" s="47"/>
    </row>
    <row r="17" spans="2:5" x14ac:dyDescent="0.2">
      <c r="B17" s="47" t="s">
        <v>408</v>
      </c>
      <c r="C17" s="47"/>
      <c r="D17" s="47"/>
      <c r="E17" s="47"/>
    </row>
    <row r="18" spans="2:5" x14ac:dyDescent="0.2">
      <c r="B18" s="47" t="s">
        <v>409</v>
      </c>
      <c r="C18" s="47"/>
      <c r="D18" s="47"/>
      <c r="E18" s="47"/>
    </row>
    <row r="19" spans="2:5" x14ac:dyDescent="0.2">
      <c r="B19" s="47" t="s">
        <v>410</v>
      </c>
      <c r="C19" s="47"/>
      <c r="D19" s="47"/>
      <c r="E19" s="47"/>
    </row>
    <row r="20" spans="2:5" x14ac:dyDescent="0.2">
      <c r="B20" s="47" t="s">
        <v>411</v>
      </c>
      <c r="C20" s="47"/>
      <c r="D20" s="47"/>
      <c r="E20" s="47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