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789B9B-A9C0-4336-BAA7-BFB4947DEE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1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104" i="1"/>
  <c r="BN104" i="1"/>
  <c r="Z114" i="1"/>
  <c r="BN114" i="1"/>
  <c r="Z137" i="1"/>
  <c r="BN137" i="1"/>
  <c r="Z149" i="1"/>
  <c r="BN149" i="1"/>
  <c r="Z167" i="1"/>
  <c r="BN167" i="1"/>
  <c r="Z194" i="1"/>
  <c r="BN194" i="1"/>
  <c r="Z204" i="1"/>
  <c r="BN204" i="1"/>
  <c r="Z212" i="1"/>
  <c r="BN212" i="1"/>
  <c r="Z246" i="1"/>
  <c r="BN246" i="1"/>
  <c r="Z260" i="1"/>
  <c r="BN260" i="1"/>
  <c r="Z261" i="1"/>
  <c r="BN261" i="1"/>
  <c r="Z269" i="1"/>
  <c r="BN269" i="1"/>
  <c r="Z300" i="1"/>
  <c r="BN300" i="1"/>
  <c r="Z310" i="1"/>
  <c r="BN310" i="1"/>
  <c r="Z324" i="1"/>
  <c r="BN324" i="1"/>
  <c r="Z347" i="1"/>
  <c r="BN347" i="1"/>
  <c r="Z393" i="1"/>
  <c r="BN393" i="1"/>
  <c r="Z403" i="1"/>
  <c r="BN403" i="1"/>
  <c r="Z434" i="1"/>
  <c r="BN434" i="1"/>
  <c r="Z435" i="1"/>
  <c r="BN435" i="1"/>
  <c r="Z448" i="1"/>
  <c r="BN448" i="1"/>
  <c r="Z462" i="1"/>
  <c r="BN462" i="1"/>
  <c r="Z493" i="1"/>
  <c r="BN493" i="1"/>
  <c r="Y111" i="1"/>
  <c r="Y306" i="1"/>
  <c r="BP298" i="1"/>
  <c r="BN298" i="1"/>
  <c r="Z298" i="1"/>
  <c r="BP308" i="1"/>
  <c r="BN308" i="1"/>
  <c r="Z308" i="1"/>
  <c r="BP318" i="1"/>
  <c r="BN318" i="1"/>
  <c r="Z318" i="1"/>
  <c r="BP345" i="1"/>
  <c r="BN345" i="1"/>
  <c r="Z345" i="1"/>
  <c r="BP359" i="1"/>
  <c r="BN359" i="1"/>
  <c r="Z359" i="1"/>
  <c r="BP391" i="1"/>
  <c r="BN391" i="1"/>
  <c r="Z391" i="1"/>
  <c r="BP399" i="1"/>
  <c r="BN399" i="1"/>
  <c r="Z399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P458" i="1"/>
  <c r="BN458" i="1"/>
  <c r="Z458" i="1"/>
  <c r="Y485" i="1"/>
  <c r="BP483" i="1"/>
  <c r="BN483" i="1"/>
  <c r="Z483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6" i="1"/>
  <c r="BN76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3" i="1"/>
  <c r="BN133" i="1"/>
  <c r="Y139" i="1"/>
  <c r="Z161" i="1"/>
  <c r="BN161" i="1"/>
  <c r="Z165" i="1"/>
  <c r="BN165" i="1"/>
  <c r="Z173" i="1"/>
  <c r="BN173" i="1"/>
  <c r="Z188" i="1"/>
  <c r="BN188" i="1"/>
  <c r="BP188" i="1"/>
  <c r="Z196" i="1"/>
  <c r="BN196" i="1"/>
  <c r="Z200" i="1"/>
  <c r="BN200" i="1"/>
  <c r="Y214" i="1"/>
  <c r="Z206" i="1"/>
  <c r="BN206" i="1"/>
  <c r="Z210" i="1"/>
  <c r="BN210" i="1"/>
  <c r="Z216" i="1"/>
  <c r="BN216" i="1"/>
  <c r="BP216" i="1"/>
  <c r="Z224" i="1"/>
  <c r="BN224" i="1"/>
  <c r="Z227" i="1"/>
  <c r="BN227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66" i="1"/>
  <c r="Y365" i="1"/>
  <c r="BP364" i="1"/>
  <c r="BN364" i="1"/>
  <c r="Z364" i="1"/>
  <c r="Z365" i="1" s="1"/>
  <c r="U511" i="1"/>
  <c r="BP369" i="1"/>
  <c r="BN369" i="1"/>
  <c r="Z369" i="1"/>
  <c r="BP395" i="1"/>
  <c r="BN395" i="1"/>
  <c r="Z395" i="1"/>
  <c r="BP414" i="1"/>
  <c r="BN414" i="1"/>
  <c r="Z414" i="1"/>
  <c r="BP437" i="1"/>
  <c r="BN437" i="1"/>
  <c r="Z437" i="1"/>
  <c r="BP454" i="1"/>
  <c r="BN454" i="1"/>
  <c r="Z454" i="1"/>
  <c r="BP464" i="1"/>
  <c r="BN464" i="1"/>
  <c r="Z464" i="1"/>
  <c r="BP470" i="1"/>
  <c r="BN470" i="1"/>
  <c r="Z470" i="1"/>
  <c r="Y405" i="1"/>
  <c r="Y466" i="1"/>
  <c r="Y465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BP455" i="1"/>
  <c r="BN455" i="1"/>
  <c r="Z45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485" i="1" l="1"/>
  <c r="Z480" i="1"/>
  <c r="Z474" i="1"/>
  <c r="Z465" i="1"/>
  <c r="Z450" i="1"/>
  <c r="Z305" i="1"/>
  <c r="Z111" i="1"/>
  <c r="Z256" i="1"/>
  <c r="Z444" i="1"/>
  <c r="Z361" i="1"/>
  <c r="Z271" i="1"/>
  <c r="Z264" i="1"/>
  <c r="Z231" i="1"/>
  <c r="Z313" i="1"/>
  <c r="Z201" i="1"/>
  <c r="Z145" i="1"/>
  <c r="Z105" i="1"/>
  <c r="Z70" i="1"/>
  <c r="Z58" i="1"/>
  <c r="Z32" i="1"/>
  <c r="Z151" i="1"/>
  <c r="Z118" i="1"/>
  <c r="Z97" i="1"/>
  <c r="Z459" i="1"/>
  <c r="Y505" i="1"/>
  <c r="Z339" i="1"/>
  <c r="Z295" i="1"/>
  <c r="Y501" i="1"/>
  <c r="Z351" i="1"/>
  <c r="Z332" i="1"/>
  <c r="Z326" i="1"/>
  <c r="Z247" i="1"/>
  <c r="Z90" i="1"/>
  <c r="Z78" i="1"/>
  <c r="Z64" i="1"/>
  <c r="Y503" i="1"/>
  <c r="Z400" i="1"/>
  <c r="Z169" i="1"/>
  <c r="Y502" i="1"/>
  <c r="Y504" i="1" l="1"/>
  <c r="Z506" i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<sst xmlns="http://schemas.openxmlformats.org/spreadsheetml/2006/main" count="2201" uniqueCount="800">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</sst>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07" t="s">
        <v>0</v>
      </c>
      <c r="E1" s="597"/>
      <c r="F1" s="597"/>
      <c r="G1" s="12" t="s">
        <v>1</v>
      </c>
      <c r="H1" s="807" t="s">
        <v>2</v>
      </c>
      <c r="I1" s="597"/>
      <c r="J1" s="597"/>
      <c r="K1" s="597"/>
      <c r="L1" s="597"/>
      <c r="M1" s="597"/>
      <c r="N1" s="597"/>
      <c r="O1" s="597"/>
      <c r="P1" s="597"/>
      <c r="Q1" s="597"/>
      <c r="R1" s="863" t="s">
        <v>3</v>
      </c>
      <c r="S1" s="597"/>
      <c r="T1" s="5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4" t="s">
        <v>8</v>
      </c>
      <c r="B5" s="588"/>
      <c r="C5" s="569"/>
      <c r="D5" s="666"/>
      <c r="E5" s="668"/>
      <c r="F5" s="629" t="s">
        <v>9</v>
      </c>
      <c r="G5" s="569"/>
      <c r="H5" s="666" t="s">
        <v>799</v>
      </c>
      <c r="I5" s="667"/>
      <c r="J5" s="667"/>
      <c r="K5" s="667"/>
      <c r="L5" s="667"/>
      <c r="M5" s="668"/>
      <c r="N5" s="58"/>
      <c r="P5" s="24" t="s">
        <v>10</v>
      </c>
      <c r="Q5" s="605">
        <v>45923</v>
      </c>
      <c r="R5" s="606"/>
      <c r="T5" s="751" t="s">
        <v>11</v>
      </c>
      <c r="U5" s="742"/>
      <c r="V5" s="753" t="s">
        <v>12</v>
      </c>
      <c r="W5" s="606"/>
      <c r="AB5" s="51"/>
      <c r="AC5" s="51"/>
      <c r="AD5" s="51"/>
      <c r="AE5" s="51"/>
    </row>
    <row r="6" spans="1:32" s="543" customFormat="1" ht="24" customHeight="1" x14ac:dyDescent="0.2">
      <c r="A6" s="814" t="s">
        <v>13</v>
      </c>
      <c r="B6" s="588"/>
      <c r="C6" s="569"/>
      <c r="D6" s="671" t="s">
        <v>773</v>
      </c>
      <c r="E6" s="672"/>
      <c r="F6" s="672"/>
      <c r="G6" s="672"/>
      <c r="H6" s="672"/>
      <c r="I6" s="672"/>
      <c r="J6" s="672"/>
      <c r="K6" s="672"/>
      <c r="L6" s="672"/>
      <c r="M6" s="606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Вторник</v>
      </c>
      <c r="R6" s="559"/>
      <c r="T6" s="759" t="s">
        <v>16</v>
      </c>
      <c r="U6" s="742"/>
      <c r="V6" s="711" t="s">
        <v>17</v>
      </c>
      <c r="W6" s="71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0" t="str">
        <f>IFERROR(VLOOKUP(DeliveryAddress,Table,3,0),1)</f>
        <v>1</v>
      </c>
      <c r="E7" s="831"/>
      <c r="F7" s="831"/>
      <c r="G7" s="831"/>
      <c r="H7" s="831"/>
      <c r="I7" s="831"/>
      <c r="J7" s="831"/>
      <c r="K7" s="831"/>
      <c r="L7" s="831"/>
      <c r="M7" s="755"/>
      <c r="N7" s="60"/>
      <c r="P7" s="24"/>
      <c r="Q7" s="42"/>
      <c r="R7" s="42"/>
      <c r="T7" s="554"/>
      <c r="U7" s="742"/>
      <c r="V7" s="713"/>
      <c r="W7" s="714"/>
      <c r="AB7" s="51"/>
      <c r="AC7" s="51"/>
      <c r="AD7" s="51"/>
      <c r="AE7" s="51"/>
    </row>
    <row r="8" spans="1:32" s="543" customFormat="1" ht="25.5" customHeight="1" x14ac:dyDescent="0.2">
      <c r="A8" s="570" t="s">
        <v>18</v>
      </c>
      <c r="B8" s="556"/>
      <c r="C8" s="557"/>
      <c r="D8" s="836"/>
      <c r="E8" s="837"/>
      <c r="F8" s="837"/>
      <c r="G8" s="837"/>
      <c r="H8" s="837"/>
      <c r="I8" s="837"/>
      <c r="J8" s="837"/>
      <c r="K8" s="837"/>
      <c r="L8" s="837"/>
      <c r="M8" s="838"/>
      <c r="N8" s="61"/>
      <c r="P8" s="24" t="s">
        <v>19</v>
      </c>
      <c r="Q8" s="754">
        <v>0.375</v>
      </c>
      <c r="R8" s="755"/>
      <c r="T8" s="554"/>
      <c r="U8" s="742"/>
      <c r="V8" s="713"/>
      <c r="W8" s="714"/>
      <c r="AB8" s="51"/>
      <c r="AC8" s="51"/>
      <c r="AD8" s="51"/>
      <c r="AE8" s="51"/>
    </row>
    <row r="9" spans="1:32" s="543" customFormat="1" ht="39.950000000000003" customHeight="1" x14ac:dyDescent="0.2">
      <c r="A9" s="5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42"/>
      <c r="E9" s="576"/>
      <c r="F9" s="5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41"/>
      <c r="P9" s="26" t="s">
        <v>20</v>
      </c>
      <c r="Q9" s="812"/>
      <c r="R9" s="604"/>
      <c r="T9" s="554"/>
      <c r="U9" s="742"/>
      <c r="V9" s="715"/>
      <c r="W9" s="71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42"/>
      <c r="E10" s="576"/>
      <c r="F10" s="5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687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60"/>
      <c r="R10" s="761"/>
      <c r="U10" s="24" t="s">
        <v>22</v>
      </c>
      <c r="V10" s="723" t="s">
        <v>23</v>
      </c>
      <c r="W10" s="71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3"/>
      <c r="R11" s="606"/>
      <c r="U11" s="24" t="s">
        <v>26</v>
      </c>
      <c r="V11" s="603" t="s">
        <v>27</v>
      </c>
      <c r="W11" s="60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19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69"/>
      <c r="N12" s="62"/>
      <c r="P12" s="24" t="s">
        <v>29</v>
      </c>
      <c r="Q12" s="754"/>
      <c r="R12" s="755"/>
      <c r="S12" s="23"/>
      <c r="U12" s="24"/>
      <c r="V12" s="597"/>
      <c r="W12" s="554"/>
      <c r="AB12" s="51"/>
      <c r="AC12" s="51"/>
      <c r="AD12" s="51"/>
      <c r="AE12" s="51"/>
    </row>
    <row r="13" spans="1:32" s="543" customFormat="1" ht="23.25" customHeight="1" x14ac:dyDescent="0.2">
      <c r="A13" s="719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69"/>
      <c r="N13" s="62"/>
      <c r="O13" s="26"/>
      <c r="P13" s="26" t="s">
        <v>31</v>
      </c>
      <c r="Q13" s="603"/>
      <c r="R13" s="6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19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5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69"/>
      <c r="N15" s="63"/>
      <c r="P15" s="720" t="s">
        <v>34</v>
      </c>
      <c r="Q15" s="597"/>
      <c r="R15" s="597"/>
      <c r="S15" s="597"/>
      <c r="T15" s="5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1"/>
      <c r="Q16" s="721"/>
      <c r="R16" s="721"/>
      <c r="S16" s="721"/>
      <c r="T16" s="7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35</v>
      </c>
      <c r="B17" s="578" t="s">
        <v>36</v>
      </c>
      <c r="C17" s="780" t="s">
        <v>37</v>
      </c>
      <c r="D17" s="578" t="s">
        <v>38</v>
      </c>
      <c r="E17" s="582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578" t="s">
        <v>47</v>
      </c>
      <c r="O17" s="578" t="s">
        <v>48</v>
      </c>
      <c r="P17" s="578" t="s">
        <v>49</v>
      </c>
      <c r="Q17" s="809"/>
      <c r="R17" s="809"/>
      <c r="S17" s="809"/>
      <c r="T17" s="582"/>
      <c r="U17" s="568" t="s">
        <v>50</v>
      </c>
      <c r="V17" s="569"/>
      <c r="W17" s="578" t="s">
        <v>51</v>
      </c>
      <c r="X17" s="578" t="s">
        <v>52</v>
      </c>
      <c r="Y17" s="566" t="s">
        <v>53</v>
      </c>
      <c r="Z17" s="680" t="s">
        <v>54</v>
      </c>
      <c r="AA17" s="623" t="s">
        <v>55</v>
      </c>
      <c r="AB17" s="623" t="s">
        <v>56</v>
      </c>
      <c r="AC17" s="623" t="s">
        <v>57</v>
      </c>
      <c r="AD17" s="623" t="s">
        <v>58</v>
      </c>
      <c r="AE17" s="624"/>
      <c r="AF17" s="625"/>
      <c r="AG17" s="66"/>
      <c r="BD17" s="65" t="s">
        <v>59</v>
      </c>
    </row>
    <row r="18" spans="1:68" ht="14.25" customHeight="1" x14ac:dyDescent="0.2">
      <c r="A18" s="579"/>
      <c r="B18" s="579"/>
      <c r="C18" s="579"/>
      <c r="D18" s="583"/>
      <c r="E18" s="584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583"/>
      <c r="Q18" s="810"/>
      <c r="R18" s="810"/>
      <c r="S18" s="810"/>
      <c r="T18" s="584"/>
      <c r="U18" s="67" t="s">
        <v>60</v>
      </c>
      <c r="V18" s="67" t="s">
        <v>61</v>
      </c>
      <c r="W18" s="579"/>
      <c r="X18" s="579"/>
      <c r="Y18" s="567"/>
      <c r="Z18" s="681"/>
      <c r="AA18" s="682"/>
      <c r="AB18" s="682"/>
      <c r="AC18" s="682"/>
      <c r="AD18" s="626"/>
      <c r="AE18" s="627"/>
      <c r="AF18" s="628"/>
      <c r="AG18" s="66"/>
      <c r="BD18" s="65"/>
    </row>
    <row r="19" spans="1:68" ht="27.75" hidden="1" customHeight="1" x14ac:dyDescent="0.2">
      <c r="A19" s="572" t="s">
        <v>62</v>
      </c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/>
      <c r="N19" s="573"/>
      <c r="O19" s="573"/>
      <c r="P19" s="573"/>
      <c r="Q19" s="573"/>
      <c r="R19" s="573"/>
      <c r="S19" s="573"/>
      <c r="T19" s="573"/>
      <c r="U19" s="573"/>
      <c r="V19" s="573"/>
      <c r="W19" s="573"/>
      <c r="X19" s="573"/>
      <c r="Y19" s="573"/>
      <c r="Z19" s="573"/>
      <c r="AA19" s="48"/>
      <c r="AB19" s="48"/>
      <c r="AC19" s="48"/>
    </row>
    <row r="20" spans="1:68" ht="16.5" hidden="1" customHeight="1" x14ac:dyDescent="0.25">
      <c r="A20" s="56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4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5"/>
      <c r="P23" s="555" t="s">
        <v>70</v>
      </c>
      <c r="Q23" s="556"/>
      <c r="R23" s="556"/>
      <c r="S23" s="556"/>
      <c r="T23" s="556"/>
      <c r="U23" s="556"/>
      <c r="V23" s="557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5"/>
      <c r="P24" s="555" t="s">
        <v>70</v>
      </c>
      <c r="Q24" s="556"/>
      <c r="R24" s="556"/>
      <c r="S24" s="556"/>
      <c r="T24" s="556"/>
      <c r="U24" s="556"/>
      <c r="V24" s="557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6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5"/>
      <c r="P32" s="555" t="s">
        <v>70</v>
      </c>
      <c r="Q32" s="556"/>
      <c r="R32" s="556"/>
      <c r="S32" s="556"/>
      <c r="T32" s="556"/>
      <c r="U32" s="556"/>
      <c r="V32" s="557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5"/>
      <c r="P33" s="555" t="s">
        <v>70</v>
      </c>
      <c r="Q33" s="556"/>
      <c r="R33" s="556"/>
      <c r="S33" s="556"/>
      <c r="T33" s="556"/>
      <c r="U33" s="556"/>
      <c r="V33" s="557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5"/>
      <c r="P36" s="555" t="s">
        <v>70</v>
      </c>
      <c r="Q36" s="556"/>
      <c r="R36" s="556"/>
      <c r="S36" s="556"/>
      <c r="T36" s="556"/>
      <c r="U36" s="556"/>
      <c r="V36" s="557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5"/>
      <c r="P37" s="555" t="s">
        <v>70</v>
      </c>
      <c r="Q37" s="556"/>
      <c r="R37" s="556"/>
      <c r="S37" s="556"/>
      <c r="T37" s="556"/>
      <c r="U37" s="556"/>
      <c r="V37" s="557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72" t="s">
        <v>100</v>
      </c>
      <c r="B38" s="573"/>
      <c r="C38" s="573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3"/>
      <c r="R38" s="573"/>
      <c r="S38" s="573"/>
      <c r="T38" s="573"/>
      <c r="U38" s="573"/>
      <c r="V38" s="573"/>
      <c r="W38" s="573"/>
      <c r="X38" s="573"/>
      <c r="Y38" s="573"/>
      <c r="Z38" s="573"/>
      <c r="AA38" s="48"/>
      <c r="AB38" s="48"/>
      <c r="AC38" s="48"/>
    </row>
    <row r="39" spans="1:68" ht="16.5" hidden="1" customHeight="1" x14ac:dyDescent="0.25">
      <c r="A39" s="56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49">
        <v>20</v>
      </c>
      <c r="Y41" s="55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5"/>
      <c r="P44" s="555" t="s">
        <v>70</v>
      </c>
      <c r="Q44" s="556"/>
      <c r="R44" s="556"/>
      <c r="S44" s="556"/>
      <c r="T44" s="556"/>
      <c r="U44" s="556"/>
      <c r="V44" s="557"/>
      <c r="W44" s="37" t="s">
        <v>71</v>
      </c>
      <c r="X44" s="551">
        <f>IFERROR(X41/H41,"0")+IFERROR(X42/H42,"0")+IFERROR(X43/H43,"0")</f>
        <v>1.8518518518518516</v>
      </c>
      <c r="Y44" s="551">
        <f>IFERROR(Y41/H41,"0")+IFERROR(Y42/H42,"0")+IFERROR(Y43/H43,"0")</f>
        <v>2</v>
      </c>
      <c r="Z44" s="551">
        <f>IFERROR(IF(Z41="",0,Z41),"0")+IFERROR(IF(Z42="",0,Z42),"0")+IFERROR(IF(Z43="",0,Z43),"0")</f>
        <v>3.7960000000000001E-2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5"/>
      <c r="P45" s="555" t="s">
        <v>70</v>
      </c>
      <c r="Q45" s="556"/>
      <c r="R45" s="556"/>
      <c r="S45" s="556"/>
      <c r="T45" s="556"/>
      <c r="U45" s="556"/>
      <c r="V45" s="557"/>
      <c r="W45" s="37" t="s">
        <v>68</v>
      </c>
      <c r="X45" s="551">
        <f>IFERROR(SUM(X41:X43),"0")</f>
        <v>20</v>
      </c>
      <c r="Y45" s="551">
        <f>IFERROR(SUM(Y41:Y43),"0")</f>
        <v>21.6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5"/>
      <c r="P48" s="555" t="s">
        <v>70</v>
      </c>
      <c r="Q48" s="556"/>
      <c r="R48" s="556"/>
      <c r="S48" s="556"/>
      <c r="T48" s="556"/>
      <c r="U48" s="556"/>
      <c r="V48" s="557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5"/>
      <c r="P49" s="555" t="s">
        <v>70</v>
      </c>
      <c r="Q49" s="556"/>
      <c r="R49" s="556"/>
      <c r="S49" s="556"/>
      <c r="T49" s="556"/>
      <c r="U49" s="556"/>
      <c r="V49" s="557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49">
        <v>72</v>
      </c>
      <c r="Y57" s="550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75.36</v>
      </c>
      <c r="BN57" s="64">
        <f t="shared" si="8"/>
        <v>75.36</v>
      </c>
      <c r="BO57" s="64">
        <f t="shared" si="9"/>
        <v>0.12121212121212122</v>
      </c>
      <c r="BP57" s="64">
        <f t="shared" si="10"/>
        <v>0.12121212121212122</v>
      </c>
    </row>
    <row r="58" spans="1:68" x14ac:dyDescent="0.2">
      <c r="A58" s="56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5"/>
      <c r="P58" s="555" t="s">
        <v>70</v>
      </c>
      <c r="Q58" s="556"/>
      <c r="R58" s="556"/>
      <c r="S58" s="556"/>
      <c r="T58" s="556"/>
      <c r="U58" s="556"/>
      <c r="V58" s="557"/>
      <c r="W58" s="37" t="s">
        <v>71</v>
      </c>
      <c r="X58" s="551">
        <f>IFERROR(X52/H52,"0")+IFERROR(X53/H53,"0")+IFERROR(X54/H54,"0")+IFERROR(X55/H55,"0")+IFERROR(X56/H56,"0")+IFERROR(X57/H57,"0")</f>
        <v>25.25925925925926</v>
      </c>
      <c r="Y58" s="551">
        <f>IFERROR(Y52/H52,"0")+IFERROR(Y53/H53,"0")+IFERROR(Y54/H54,"0")+IFERROR(Y55/H55,"0")+IFERROR(Y56/H56,"0")+IFERROR(Y57/H57,"0")</f>
        <v>26</v>
      </c>
      <c r="Z58" s="551">
        <f>IFERROR(IF(Z52="",0,Z52),"0")+IFERROR(IF(Z53="",0,Z53),"0")+IFERROR(IF(Z54="",0,Z54),"0")+IFERROR(IF(Z55="",0,Z55),"0")+IFERROR(IF(Z56="",0,Z56),"0")+IFERROR(IF(Z57="",0,Z57),"0")</f>
        <v>0.33411999999999997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5"/>
      <c r="P59" s="555" t="s">
        <v>70</v>
      </c>
      <c r="Q59" s="556"/>
      <c r="R59" s="556"/>
      <c r="S59" s="556"/>
      <c r="T59" s="556"/>
      <c r="U59" s="556"/>
      <c r="V59" s="557"/>
      <c r="W59" s="37" t="s">
        <v>68</v>
      </c>
      <c r="X59" s="551">
        <f>IFERROR(SUM(X52:X57),"0")</f>
        <v>172</v>
      </c>
      <c r="Y59" s="551">
        <f>IFERROR(SUM(Y52:Y57),"0")</f>
        <v>180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49">
        <v>20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5"/>
      <c r="P64" s="555" t="s">
        <v>70</v>
      </c>
      <c r="Q64" s="556"/>
      <c r="R64" s="556"/>
      <c r="S64" s="556"/>
      <c r="T64" s="556"/>
      <c r="U64" s="556"/>
      <c r="V64" s="557"/>
      <c r="W64" s="37" t="s">
        <v>71</v>
      </c>
      <c r="X64" s="551">
        <f>IFERROR(X61/H61,"0")+IFERROR(X62/H62,"0")+IFERROR(X63/H63,"0")</f>
        <v>1.8518518518518516</v>
      </c>
      <c r="Y64" s="551">
        <f>IFERROR(Y61/H61,"0")+IFERROR(Y62/H62,"0")+IFERROR(Y63/H63,"0")</f>
        <v>2</v>
      </c>
      <c r="Z64" s="551">
        <f>IFERROR(IF(Z61="",0,Z61),"0")+IFERROR(IF(Z62="",0,Z62),"0")+IFERROR(IF(Z63="",0,Z63),"0")</f>
        <v>3.7960000000000001E-2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5"/>
      <c r="P65" s="555" t="s">
        <v>70</v>
      </c>
      <c r="Q65" s="556"/>
      <c r="R65" s="556"/>
      <c r="S65" s="556"/>
      <c r="T65" s="556"/>
      <c r="U65" s="556"/>
      <c r="V65" s="557"/>
      <c r="W65" s="37" t="s">
        <v>68</v>
      </c>
      <c r="X65" s="551">
        <f>IFERROR(SUM(X61:X63),"0")</f>
        <v>20</v>
      </c>
      <c r="Y65" s="551">
        <f>IFERROR(SUM(Y61:Y63),"0")</f>
        <v>21.6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2"/>
      <c r="R67" s="562"/>
      <c r="S67" s="562"/>
      <c r="T67" s="563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5"/>
      <c r="P70" s="555" t="s">
        <v>70</v>
      </c>
      <c r="Q70" s="556"/>
      <c r="R70" s="556"/>
      <c r="S70" s="556"/>
      <c r="T70" s="556"/>
      <c r="U70" s="556"/>
      <c r="V70" s="557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5"/>
      <c r="P71" s="555" t="s">
        <v>70</v>
      </c>
      <c r="Q71" s="556"/>
      <c r="R71" s="556"/>
      <c r="S71" s="556"/>
      <c r="T71" s="556"/>
      <c r="U71" s="556"/>
      <c r="V71" s="557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2"/>
      <c r="R73" s="562"/>
      <c r="S73" s="562"/>
      <c r="T73" s="563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5"/>
      <c r="P78" s="555" t="s">
        <v>70</v>
      </c>
      <c r="Q78" s="556"/>
      <c r="R78" s="556"/>
      <c r="S78" s="556"/>
      <c r="T78" s="556"/>
      <c r="U78" s="556"/>
      <c r="V78" s="557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5"/>
      <c r="P79" s="555" t="s">
        <v>70</v>
      </c>
      <c r="Q79" s="556"/>
      <c r="R79" s="556"/>
      <c r="S79" s="556"/>
      <c r="T79" s="556"/>
      <c r="U79" s="556"/>
      <c r="V79" s="557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2"/>
      <c r="R81" s="562"/>
      <c r="S81" s="562"/>
      <c r="T81" s="563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2"/>
      <c r="R82" s="562"/>
      <c r="S82" s="562"/>
      <c r="T82" s="563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5"/>
      <c r="P83" s="555" t="s">
        <v>70</v>
      </c>
      <c r="Q83" s="556"/>
      <c r="R83" s="556"/>
      <c r="S83" s="556"/>
      <c r="T83" s="556"/>
      <c r="U83" s="556"/>
      <c r="V83" s="557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5"/>
      <c r="P84" s="555" t="s">
        <v>70</v>
      </c>
      <c r="Q84" s="556"/>
      <c r="R84" s="556"/>
      <c r="S84" s="556"/>
      <c r="T84" s="556"/>
      <c r="U84" s="556"/>
      <c r="V84" s="557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0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2"/>
      <c r="R87" s="562"/>
      <c r="S87" s="562"/>
      <c r="T87" s="563"/>
      <c r="U87" s="34"/>
      <c r="V87" s="34"/>
      <c r="W87" s="35" t="s">
        <v>68</v>
      </c>
      <c r="X87" s="549">
        <v>20</v>
      </c>
      <c r="Y87" s="55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2"/>
      <c r="R88" s="562"/>
      <c r="S88" s="562"/>
      <c r="T88" s="563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2"/>
      <c r="R89" s="562"/>
      <c r="S89" s="562"/>
      <c r="T89" s="563"/>
      <c r="U89" s="34"/>
      <c r="V89" s="34"/>
      <c r="W89" s="35" t="s">
        <v>68</v>
      </c>
      <c r="X89" s="549">
        <v>22.5</v>
      </c>
      <c r="Y89" s="550">
        <f>IFERROR(IF(X89="",0,CEILING((X89/$H89),1)*$H89),"")</f>
        <v>22.5</v>
      </c>
      <c r="Z89" s="36">
        <f>IFERROR(IF(Y89=0,"",ROUNDUP(Y89/H89,0)*0.00902),"")</f>
        <v>4.5100000000000001E-2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23.549999999999997</v>
      </c>
      <c r="BN89" s="64">
        <f>IFERROR(Y89*I89/H89,"0")</f>
        <v>23.549999999999997</v>
      </c>
      <c r="BO89" s="64">
        <f>IFERROR(1/J89*(X89/H89),"0")</f>
        <v>3.787878787878788E-2</v>
      </c>
      <c r="BP89" s="64">
        <f>IFERROR(1/J89*(Y89/H89),"0")</f>
        <v>3.787878787878788E-2</v>
      </c>
    </row>
    <row r="90" spans="1:68" x14ac:dyDescent="0.2">
      <c r="A90" s="56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5"/>
      <c r="P90" s="555" t="s">
        <v>70</v>
      </c>
      <c r="Q90" s="556"/>
      <c r="R90" s="556"/>
      <c r="S90" s="556"/>
      <c r="T90" s="556"/>
      <c r="U90" s="556"/>
      <c r="V90" s="557"/>
      <c r="W90" s="37" t="s">
        <v>71</v>
      </c>
      <c r="X90" s="551">
        <f>IFERROR(X87/H87,"0")+IFERROR(X88/H88,"0")+IFERROR(X89/H89,"0")</f>
        <v>6.8518518518518512</v>
      </c>
      <c r="Y90" s="551">
        <f>IFERROR(Y87/H87,"0")+IFERROR(Y88/H88,"0")+IFERROR(Y89/H89,"0")</f>
        <v>7</v>
      </c>
      <c r="Z90" s="551">
        <f>IFERROR(IF(Z87="",0,Z87),"0")+IFERROR(IF(Z88="",0,Z88),"0")+IFERROR(IF(Z89="",0,Z89),"0")</f>
        <v>8.3059999999999995E-2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5"/>
      <c r="P91" s="555" t="s">
        <v>70</v>
      </c>
      <c r="Q91" s="556"/>
      <c r="R91" s="556"/>
      <c r="S91" s="556"/>
      <c r="T91" s="556"/>
      <c r="U91" s="556"/>
      <c r="V91" s="557"/>
      <c r="W91" s="37" t="s">
        <v>68</v>
      </c>
      <c r="X91" s="551">
        <f>IFERROR(SUM(X87:X89),"0")</f>
        <v>42.5</v>
      </c>
      <c r="Y91" s="551">
        <f>IFERROR(SUM(Y87:Y89),"0")</f>
        <v>44.1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77" t="s">
        <v>181</v>
      </c>
      <c r="Q93" s="562"/>
      <c r="R93" s="562"/>
      <c r="S93" s="562"/>
      <c r="T93" s="563"/>
      <c r="U93" s="34"/>
      <c r="V93" s="34"/>
      <c r="W93" s="35" t="s">
        <v>68</v>
      </c>
      <c r="X93" s="549">
        <v>40</v>
      </c>
      <c r="Y93" s="550">
        <f>IFERROR(IF(X93="",0,CEILING((X93/$H93),1)*$H93),"")</f>
        <v>40.5</v>
      </c>
      <c r="Z93" s="36">
        <f>IFERROR(IF(Y93=0,"",ROUNDUP(Y93/H93,0)*0.01898),"")</f>
        <v>9.4899999999999998E-2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42.562962962962963</v>
      </c>
      <c r="BN93" s="64">
        <f>IFERROR(Y93*I93/H93,"0")</f>
        <v>43.095000000000006</v>
      </c>
      <c r="BO93" s="64">
        <f>IFERROR(1/J93*(X93/H93),"0")</f>
        <v>7.7160493827160503E-2</v>
      </c>
      <c r="BP93" s="64">
        <f>IFERROR(1/J93*(Y93/H93),"0")</f>
        <v>7.8125E-2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2"/>
      <c r="R94" s="562"/>
      <c r="S94" s="562"/>
      <c r="T94" s="563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2"/>
      <c r="R95" s="562"/>
      <c r="S95" s="562"/>
      <c r="T95" s="563"/>
      <c r="U95" s="34"/>
      <c r="V95" s="34"/>
      <c r="W95" s="35" t="s">
        <v>68</v>
      </c>
      <c r="X95" s="549">
        <v>10.8</v>
      </c>
      <c r="Y95" s="550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11.808</v>
      </c>
      <c r="BN95" s="64">
        <f>IFERROR(Y95*I95/H95,"0")</f>
        <v>11.808</v>
      </c>
      <c r="BO95" s="64">
        <f>IFERROR(1/J95*(X95/H95),"0")</f>
        <v>2.197802197802198E-2</v>
      </c>
      <c r="BP95" s="64">
        <f>IFERROR(1/J95*(Y95/H95),"0")</f>
        <v>2.197802197802198E-2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5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2"/>
      <c r="R96" s="562"/>
      <c r="S96" s="562"/>
      <c r="T96" s="563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5"/>
      <c r="P97" s="555" t="s">
        <v>70</v>
      </c>
      <c r="Q97" s="556"/>
      <c r="R97" s="556"/>
      <c r="S97" s="556"/>
      <c r="T97" s="556"/>
      <c r="U97" s="556"/>
      <c r="V97" s="557"/>
      <c r="W97" s="37" t="s">
        <v>71</v>
      </c>
      <c r="X97" s="551">
        <f>IFERROR(X93/H93,"0")+IFERROR(X94/H94,"0")+IFERROR(X95/H95,"0")+IFERROR(X96/H96,"0")</f>
        <v>8.9382716049382722</v>
      </c>
      <c r="Y97" s="551">
        <f>IFERROR(Y93/H93,"0")+IFERROR(Y94/H94,"0")+IFERROR(Y95/H95,"0")+IFERROR(Y96/H96,"0")</f>
        <v>9</v>
      </c>
      <c r="Z97" s="551">
        <f>IFERROR(IF(Z93="",0,Z93),"0")+IFERROR(IF(Z94="",0,Z94),"0")+IFERROR(IF(Z95="",0,Z95),"0")+IFERROR(IF(Z96="",0,Z96),"0")</f>
        <v>0.12093999999999999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5"/>
      <c r="P98" s="555" t="s">
        <v>70</v>
      </c>
      <c r="Q98" s="556"/>
      <c r="R98" s="556"/>
      <c r="S98" s="556"/>
      <c r="T98" s="556"/>
      <c r="U98" s="556"/>
      <c r="V98" s="557"/>
      <c r="W98" s="37" t="s">
        <v>68</v>
      </c>
      <c r="X98" s="551">
        <f>IFERROR(SUM(X93:X96),"0")</f>
        <v>50.8</v>
      </c>
      <c r="Y98" s="551">
        <f>IFERROR(SUM(Y93:Y96),"0")</f>
        <v>51.3</v>
      </c>
      <c r="Z98" s="37"/>
      <c r="AA98" s="552"/>
      <c r="AB98" s="552"/>
      <c r="AC98" s="552"/>
    </row>
    <row r="99" spans="1:68" ht="16.5" hidden="1" customHeight="1" x14ac:dyDescent="0.25">
      <c r="A99" s="560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2"/>
      <c r="R101" s="562"/>
      <c r="S101" s="562"/>
      <c r="T101" s="563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2"/>
      <c r="R102" s="562"/>
      <c r="S102" s="562"/>
      <c r="T102" s="563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2"/>
      <c r="R103" s="562"/>
      <c r="S103" s="562"/>
      <c r="T103" s="563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2"/>
      <c r="R104" s="562"/>
      <c r="S104" s="562"/>
      <c r="T104" s="563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5"/>
      <c r="P105" s="555" t="s">
        <v>70</v>
      </c>
      <c r="Q105" s="556"/>
      <c r="R105" s="556"/>
      <c r="S105" s="556"/>
      <c r="T105" s="556"/>
      <c r="U105" s="556"/>
      <c r="V105" s="557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5"/>
      <c r="P106" s="555" t="s">
        <v>70</v>
      </c>
      <c r="Q106" s="556"/>
      <c r="R106" s="556"/>
      <c r="S106" s="556"/>
      <c r="T106" s="556"/>
      <c r="U106" s="556"/>
      <c r="V106" s="557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2"/>
      <c r="R108" s="562"/>
      <c r="S108" s="562"/>
      <c r="T108" s="563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2"/>
      <c r="R109" s="562"/>
      <c r="S109" s="562"/>
      <c r="T109" s="563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1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2"/>
      <c r="R110" s="562"/>
      <c r="S110" s="562"/>
      <c r="T110" s="563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5"/>
      <c r="P111" s="555" t="s">
        <v>70</v>
      </c>
      <c r="Q111" s="556"/>
      <c r="R111" s="556"/>
      <c r="S111" s="556"/>
      <c r="T111" s="556"/>
      <c r="U111" s="556"/>
      <c r="V111" s="557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5"/>
      <c r="P112" s="555" t="s">
        <v>70</v>
      </c>
      <c r="Q112" s="556"/>
      <c r="R112" s="556"/>
      <c r="S112" s="556"/>
      <c r="T112" s="556"/>
      <c r="U112" s="556"/>
      <c r="V112" s="557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2"/>
      <c r="R114" s="562"/>
      <c r="S114" s="562"/>
      <c r="T114" s="563"/>
      <c r="U114" s="34"/>
      <c r="V114" s="34"/>
      <c r="W114" s="35" t="s">
        <v>68</v>
      </c>
      <c r="X114" s="549">
        <v>200</v>
      </c>
      <c r="Y114" s="550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2"/>
      <c r="R115" s="562"/>
      <c r="S115" s="562"/>
      <c r="T115" s="563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2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2"/>
      <c r="R116" s="562"/>
      <c r="S116" s="562"/>
      <c r="T116" s="563"/>
      <c r="U116" s="34"/>
      <c r="V116" s="34"/>
      <c r="W116" s="35" t="s">
        <v>68</v>
      </c>
      <c r="X116" s="549">
        <v>10.8</v>
      </c>
      <c r="Y116" s="550">
        <f>IFERROR(IF(X116="",0,CEILING((X116/$H116),1)*$H116),"")</f>
        <v>10.8</v>
      </c>
      <c r="Z116" s="36">
        <f>IFERROR(IF(Y116=0,"",ROUNDUP(Y116/H116,0)*0.00651),"")</f>
        <v>2.6040000000000001E-2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11.808</v>
      </c>
      <c r="BN116" s="64">
        <f>IFERROR(Y116*I116/H116,"0")</f>
        <v>11.808</v>
      </c>
      <c r="BO116" s="64">
        <f>IFERROR(1/J116*(X116/H116),"0")</f>
        <v>2.197802197802198E-2</v>
      </c>
      <c r="BP116" s="64">
        <f>IFERROR(1/J116*(Y116/H116),"0")</f>
        <v>2.197802197802198E-2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8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5"/>
      <c r="P118" s="555" t="s">
        <v>70</v>
      </c>
      <c r="Q118" s="556"/>
      <c r="R118" s="556"/>
      <c r="S118" s="556"/>
      <c r="T118" s="556"/>
      <c r="U118" s="556"/>
      <c r="V118" s="557"/>
      <c r="W118" s="37" t="s">
        <v>71</v>
      </c>
      <c r="X118" s="551">
        <f>IFERROR(X114/H114,"0")+IFERROR(X115/H115,"0")+IFERROR(X116/H116,"0")+IFERROR(X117/H117,"0")</f>
        <v>28.691358024691358</v>
      </c>
      <c r="Y118" s="551">
        <f>IFERROR(Y114/H114,"0")+IFERROR(Y115/H115,"0")+IFERROR(Y116/H116,"0")+IFERROR(Y117/H117,"0")</f>
        <v>29</v>
      </c>
      <c r="Z118" s="551">
        <f>IFERROR(IF(Z114="",0,Z114),"0")+IFERROR(IF(Z115="",0,Z115),"0")+IFERROR(IF(Z116="",0,Z116),"0")+IFERROR(IF(Z117="",0,Z117),"0")</f>
        <v>0.50053999999999998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5"/>
      <c r="P119" s="555" t="s">
        <v>70</v>
      </c>
      <c r="Q119" s="556"/>
      <c r="R119" s="556"/>
      <c r="S119" s="556"/>
      <c r="T119" s="556"/>
      <c r="U119" s="556"/>
      <c r="V119" s="557"/>
      <c r="W119" s="37" t="s">
        <v>68</v>
      </c>
      <c r="X119" s="551">
        <f>IFERROR(SUM(X114:X117),"0")</f>
        <v>210.8</v>
      </c>
      <c r="Y119" s="551">
        <f>IFERROR(SUM(Y114:Y117),"0")</f>
        <v>213.3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5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2"/>
      <c r="R121" s="562"/>
      <c r="S121" s="562"/>
      <c r="T121" s="563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7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2"/>
      <c r="R122" s="562"/>
      <c r="S122" s="562"/>
      <c r="T122" s="563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4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5"/>
      <c r="P123" s="555" t="s">
        <v>70</v>
      </c>
      <c r="Q123" s="556"/>
      <c r="R123" s="556"/>
      <c r="S123" s="556"/>
      <c r="T123" s="556"/>
      <c r="U123" s="556"/>
      <c r="V123" s="557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5"/>
      <c r="P124" s="555" t="s">
        <v>70</v>
      </c>
      <c r="Q124" s="556"/>
      <c r="R124" s="556"/>
      <c r="S124" s="556"/>
      <c r="T124" s="556"/>
      <c r="U124" s="556"/>
      <c r="V124" s="557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60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2"/>
      <c r="R127" s="562"/>
      <c r="S127" s="562"/>
      <c r="T127" s="563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2"/>
      <c r="R128" s="562"/>
      <c r="S128" s="562"/>
      <c r="T128" s="563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4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5"/>
      <c r="P129" s="555" t="s">
        <v>70</v>
      </c>
      <c r="Q129" s="556"/>
      <c r="R129" s="556"/>
      <c r="S129" s="556"/>
      <c r="T129" s="556"/>
      <c r="U129" s="556"/>
      <c r="V129" s="557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5"/>
      <c r="P130" s="555" t="s">
        <v>70</v>
      </c>
      <c r="Q130" s="556"/>
      <c r="R130" s="556"/>
      <c r="S130" s="556"/>
      <c r="T130" s="556"/>
      <c r="U130" s="556"/>
      <c r="V130" s="557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2"/>
      <c r="R132" s="562"/>
      <c r="S132" s="562"/>
      <c r="T132" s="563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2"/>
      <c r="R133" s="562"/>
      <c r="S133" s="562"/>
      <c r="T133" s="563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4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5"/>
      <c r="P134" s="555" t="s">
        <v>70</v>
      </c>
      <c r="Q134" s="556"/>
      <c r="R134" s="556"/>
      <c r="S134" s="556"/>
      <c r="T134" s="556"/>
      <c r="U134" s="556"/>
      <c r="V134" s="557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5"/>
      <c r="P135" s="555" t="s">
        <v>70</v>
      </c>
      <c r="Q135" s="556"/>
      <c r="R135" s="556"/>
      <c r="S135" s="556"/>
      <c r="T135" s="556"/>
      <c r="U135" s="556"/>
      <c r="V135" s="557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2"/>
      <c r="R137" s="562"/>
      <c r="S137" s="562"/>
      <c r="T137" s="563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2"/>
      <c r="R138" s="562"/>
      <c r="S138" s="562"/>
      <c r="T138" s="563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4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5"/>
      <c r="P139" s="555" t="s">
        <v>70</v>
      </c>
      <c r="Q139" s="556"/>
      <c r="R139" s="556"/>
      <c r="S139" s="556"/>
      <c r="T139" s="556"/>
      <c r="U139" s="556"/>
      <c r="V139" s="557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5"/>
      <c r="P140" s="555" t="s">
        <v>70</v>
      </c>
      <c r="Q140" s="556"/>
      <c r="R140" s="556"/>
      <c r="S140" s="556"/>
      <c r="T140" s="556"/>
      <c r="U140" s="556"/>
      <c r="V140" s="557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0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2"/>
      <c r="R143" s="562"/>
      <c r="S143" s="562"/>
      <c r="T143" s="563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59" t="s">
        <v>241</v>
      </c>
      <c r="Q144" s="562"/>
      <c r="R144" s="562"/>
      <c r="S144" s="562"/>
      <c r="T144" s="563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5"/>
      <c r="P145" s="555" t="s">
        <v>70</v>
      </c>
      <c r="Q145" s="556"/>
      <c r="R145" s="556"/>
      <c r="S145" s="556"/>
      <c r="T145" s="556"/>
      <c r="U145" s="556"/>
      <c r="V145" s="557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65"/>
      <c r="P146" s="555" t="s">
        <v>70</v>
      </c>
      <c r="Q146" s="556"/>
      <c r="R146" s="556"/>
      <c r="S146" s="556"/>
      <c r="T146" s="556"/>
      <c r="U146" s="556"/>
      <c r="V146" s="557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3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7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2"/>
      <c r="R148" s="562"/>
      <c r="S148" s="562"/>
      <c r="T148" s="563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2"/>
      <c r="R149" s="562"/>
      <c r="S149" s="562"/>
      <c r="T149" s="563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5"/>
      <c r="P151" s="555" t="s">
        <v>70</v>
      </c>
      <c r="Q151" s="556"/>
      <c r="R151" s="556"/>
      <c r="S151" s="556"/>
      <c r="T151" s="556"/>
      <c r="U151" s="556"/>
      <c r="V151" s="557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65"/>
      <c r="P152" s="555" t="s">
        <v>70</v>
      </c>
      <c r="Q152" s="556"/>
      <c r="R152" s="556"/>
      <c r="S152" s="556"/>
      <c r="T152" s="556"/>
      <c r="U152" s="556"/>
      <c r="V152" s="557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72" t="s">
        <v>252</v>
      </c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3"/>
      <c r="P153" s="573"/>
      <c r="Q153" s="573"/>
      <c r="R153" s="573"/>
      <c r="S153" s="573"/>
      <c r="T153" s="573"/>
      <c r="U153" s="573"/>
      <c r="V153" s="573"/>
      <c r="W153" s="573"/>
      <c r="X153" s="573"/>
      <c r="Y153" s="573"/>
      <c r="Z153" s="573"/>
      <c r="AA153" s="48"/>
      <c r="AB153" s="48"/>
      <c r="AC153" s="48"/>
    </row>
    <row r="154" spans="1:68" ht="16.5" hidden="1" customHeight="1" x14ac:dyDescent="0.25">
      <c r="A154" s="560" t="s">
        <v>253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4"/>
      <c r="AB154" s="544"/>
      <c r="AC154" s="544"/>
    </row>
    <row r="155" spans="1:68" ht="14.25" hidden="1" customHeight="1" x14ac:dyDescent="0.25">
      <c r="A155" s="553" t="s">
        <v>134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2"/>
      <c r="R156" s="562"/>
      <c r="S156" s="562"/>
      <c r="T156" s="563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5"/>
      <c r="P157" s="555" t="s">
        <v>70</v>
      </c>
      <c r="Q157" s="556"/>
      <c r="R157" s="556"/>
      <c r="S157" s="556"/>
      <c r="T157" s="556"/>
      <c r="U157" s="556"/>
      <c r="V157" s="557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65"/>
      <c r="P158" s="555" t="s">
        <v>70</v>
      </c>
      <c r="Q158" s="556"/>
      <c r="R158" s="556"/>
      <c r="S158" s="556"/>
      <c r="T158" s="556"/>
      <c r="U158" s="556"/>
      <c r="V158" s="557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3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7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2"/>
      <c r="R160" s="562"/>
      <c r="S160" s="562"/>
      <c r="T160" s="563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2"/>
      <c r="R161" s="562"/>
      <c r="S161" s="562"/>
      <c r="T161" s="563"/>
      <c r="U161" s="34"/>
      <c r="V161" s="34"/>
      <c r="W161" s="35" t="s">
        <v>68</v>
      </c>
      <c r="X161" s="549">
        <v>20</v>
      </c>
      <c r="Y161" s="550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2"/>
      <c r="R162" s="562"/>
      <c r="S162" s="562"/>
      <c r="T162" s="563"/>
      <c r="U162" s="34"/>
      <c r="V162" s="34"/>
      <c r="W162" s="35" t="s">
        <v>68</v>
      </c>
      <c r="X162" s="549">
        <v>30</v>
      </c>
      <c r="Y162" s="550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2"/>
      <c r="R163" s="562"/>
      <c r="S163" s="562"/>
      <c r="T163" s="563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2"/>
      <c r="R165" s="562"/>
      <c r="S165" s="562"/>
      <c r="T165" s="563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8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2"/>
      <c r="R167" s="562"/>
      <c r="S167" s="562"/>
      <c r="T167" s="563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2"/>
      <c r="R168" s="562"/>
      <c r="S168" s="562"/>
      <c r="T168" s="563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5"/>
      <c r="P169" s="555" t="s">
        <v>70</v>
      </c>
      <c r="Q169" s="556"/>
      <c r="R169" s="556"/>
      <c r="S169" s="556"/>
      <c r="T169" s="556"/>
      <c r="U169" s="556"/>
      <c r="V169" s="557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11.904761904761905</v>
      </c>
      <c r="Y169" s="551">
        <f>IFERROR(Y160/H160,"0")+IFERROR(Y161/H161,"0")+IFERROR(Y162/H162,"0")+IFERROR(Y163/H163,"0")+IFERROR(Y164/H164,"0")+IFERROR(Y165/H165,"0")+IFERROR(Y166/H166,"0")+IFERROR(Y167/H167,"0")+IFERROR(Y168/H168,"0")</f>
        <v>13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0.11726</v>
      </c>
      <c r="AA169" s="552"/>
      <c r="AB169" s="552"/>
      <c r="AC169" s="552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65"/>
      <c r="P170" s="555" t="s">
        <v>70</v>
      </c>
      <c r="Q170" s="556"/>
      <c r="R170" s="556"/>
      <c r="S170" s="556"/>
      <c r="T170" s="556"/>
      <c r="U170" s="556"/>
      <c r="V170" s="557"/>
      <c r="W170" s="37" t="s">
        <v>68</v>
      </c>
      <c r="X170" s="551">
        <f>IFERROR(SUM(X160:X168),"0")</f>
        <v>50</v>
      </c>
      <c r="Y170" s="551">
        <f>IFERROR(SUM(Y160:Y168),"0")</f>
        <v>54.6</v>
      </c>
      <c r="Z170" s="37"/>
      <c r="AA170" s="552"/>
      <c r="AB170" s="552"/>
      <c r="AC170" s="552"/>
    </row>
    <row r="171" spans="1:68" ht="14.25" hidden="1" customHeight="1" x14ac:dyDescent="0.25">
      <c r="A171" s="553" t="s">
        <v>94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2"/>
      <c r="R172" s="562"/>
      <c r="S172" s="562"/>
      <c r="T172" s="563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2"/>
      <c r="R173" s="562"/>
      <c r="S173" s="562"/>
      <c r="T173" s="563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8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5"/>
      <c r="P175" s="555" t="s">
        <v>70</v>
      </c>
      <c r="Q175" s="556"/>
      <c r="R175" s="556"/>
      <c r="S175" s="556"/>
      <c r="T175" s="556"/>
      <c r="U175" s="556"/>
      <c r="V175" s="557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65"/>
      <c r="P176" s="555" t="s">
        <v>70</v>
      </c>
      <c r="Q176" s="556"/>
      <c r="R176" s="556"/>
      <c r="S176" s="556"/>
      <c r="T176" s="556"/>
      <c r="U176" s="556"/>
      <c r="V176" s="557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3" t="s">
        <v>290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2"/>
      <c r="R178" s="562"/>
      <c r="S178" s="562"/>
      <c r="T178" s="563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5"/>
      <c r="P179" s="555" t="s">
        <v>70</v>
      </c>
      <c r="Q179" s="556"/>
      <c r="R179" s="556"/>
      <c r="S179" s="556"/>
      <c r="T179" s="556"/>
      <c r="U179" s="556"/>
      <c r="V179" s="557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65"/>
      <c r="P180" s="555" t="s">
        <v>70</v>
      </c>
      <c r="Q180" s="556"/>
      <c r="R180" s="556"/>
      <c r="S180" s="556"/>
      <c r="T180" s="556"/>
      <c r="U180" s="556"/>
      <c r="V180" s="557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0" t="s">
        <v>293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4"/>
      <c r="AB181" s="544"/>
      <c r="AC181" s="544"/>
    </row>
    <row r="182" spans="1:68" ht="14.25" hidden="1" customHeight="1" x14ac:dyDescent="0.25">
      <c r="A182" s="553" t="s">
        <v>102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2"/>
      <c r="R183" s="562"/>
      <c r="S183" s="562"/>
      <c r="T183" s="563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2"/>
      <c r="R184" s="562"/>
      <c r="S184" s="562"/>
      <c r="T184" s="563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5"/>
      <c r="P185" s="555" t="s">
        <v>70</v>
      </c>
      <c r="Q185" s="556"/>
      <c r="R185" s="556"/>
      <c r="S185" s="556"/>
      <c r="T185" s="556"/>
      <c r="U185" s="556"/>
      <c r="V185" s="557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65"/>
      <c r="P186" s="555" t="s">
        <v>70</v>
      </c>
      <c r="Q186" s="556"/>
      <c r="R186" s="556"/>
      <c r="S186" s="556"/>
      <c r="T186" s="556"/>
      <c r="U186" s="556"/>
      <c r="V186" s="557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3" t="s">
        <v>134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2"/>
      <c r="R188" s="562"/>
      <c r="S188" s="562"/>
      <c r="T188" s="563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2"/>
      <c r="R189" s="562"/>
      <c r="S189" s="562"/>
      <c r="T189" s="563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5"/>
      <c r="P190" s="555" t="s">
        <v>70</v>
      </c>
      <c r="Q190" s="556"/>
      <c r="R190" s="556"/>
      <c r="S190" s="556"/>
      <c r="T190" s="556"/>
      <c r="U190" s="556"/>
      <c r="V190" s="557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65"/>
      <c r="P191" s="555" t="s">
        <v>70</v>
      </c>
      <c r="Q191" s="556"/>
      <c r="R191" s="556"/>
      <c r="S191" s="556"/>
      <c r="T191" s="556"/>
      <c r="U191" s="556"/>
      <c r="V191" s="557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3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2"/>
      <c r="R193" s="562"/>
      <c r="S193" s="562"/>
      <c r="T193" s="563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2"/>
      <c r="R194" s="562"/>
      <c r="S194" s="562"/>
      <c r="T194" s="563"/>
      <c r="U194" s="34"/>
      <c r="V194" s="34"/>
      <c r="W194" s="35" t="s">
        <v>68</v>
      </c>
      <c r="X194" s="549">
        <v>60</v>
      </c>
      <c r="Y194" s="550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8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49">
        <v>140</v>
      </c>
      <c r="Y196" s="550">
        <f t="shared" si="16"/>
        <v>140.4</v>
      </c>
      <c r="Z196" s="36">
        <f>IFERROR(IF(Y196=0,"",ROUNDUP(Y196/H196,0)*0.00902),"")</f>
        <v>0.23452000000000001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145.44444444444446</v>
      </c>
      <c r="BN196" s="64">
        <f t="shared" si="18"/>
        <v>145.86000000000001</v>
      </c>
      <c r="BO196" s="64">
        <f t="shared" si="19"/>
        <v>0.19640852974186307</v>
      </c>
      <c r="BP196" s="64">
        <f t="shared" si="20"/>
        <v>0.19696969696969696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5"/>
      <c r="P201" s="555" t="s">
        <v>70</v>
      </c>
      <c r="Q201" s="556"/>
      <c r="R201" s="556"/>
      <c r="S201" s="556"/>
      <c r="T201" s="556"/>
      <c r="U201" s="556"/>
      <c r="V201" s="557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37.037037037037038</v>
      </c>
      <c r="Y201" s="551">
        <f>IFERROR(Y193/H193,"0")+IFERROR(Y194/H194,"0")+IFERROR(Y195/H195,"0")+IFERROR(Y196/H196,"0")+IFERROR(Y197/H197,"0")+IFERROR(Y198/H198,"0")+IFERROR(Y199/H199,"0")+IFERROR(Y200/H200,"0")</f>
        <v>38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0.34276000000000001</v>
      </c>
      <c r="AA201" s="552"/>
      <c r="AB201" s="552"/>
      <c r="AC201" s="552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65"/>
      <c r="P202" s="555" t="s">
        <v>70</v>
      </c>
      <c r="Q202" s="556"/>
      <c r="R202" s="556"/>
      <c r="S202" s="556"/>
      <c r="T202" s="556"/>
      <c r="U202" s="556"/>
      <c r="V202" s="557"/>
      <c r="W202" s="37" t="s">
        <v>68</v>
      </c>
      <c r="X202" s="551">
        <f>IFERROR(SUM(X193:X200),"0")</f>
        <v>200</v>
      </c>
      <c r="Y202" s="551">
        <f>IFERROR(SUM(Y193:Y200),"0")</f>
        <v>205.20000000000002</v>
      </c>
      <c r="Z202" s="37"/>
      <c r="AA202" s="552"/>
      <c r="AB202" s="552"/>
      <c r="AC202" s="552"/>
    </row>
    <row r="203" spans="1:68" ht="14.25" hidden="1" customHeight="1" x14ac:dyDescent="0.25">
      <c r="A203" s="553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2"/>
      <c r="R204" s="562"/>
      <c r="S204" s="562"/>
      <c r="T204" s="563"/>
      <c r="U204" s="34"/>
      <c r="V204" s="34"/>
      <c r="W204" s="35" t="s">
        <v>68</v>
      </c>
      <c r="X204" s="549">
        <v>20</v>
      </c>
      <c r="Y204" s="550">
        <f t="shared" ref="Y204:Y212" si="21">IFERROR(IF(X204="",0,CEILING((X204/$H204),1)*$H204),"")</f>
        <v>24.299999999999997</v>
      </c>
      <c r="Z204" s="36">
        <f>IFERROR(IF(Y204=0,"",ROUNDUP(Y204/H204,0)*0.01898),"")</f>
        <v>5.6940000000000004E-2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21.281481481481482</v>
      </c>
      <c r="BN204" s="64">
        <f t="shared" ref="BN204:BN212" si="23">IFERROR(Y204*I204/H204,"0")</f>
        <v>25.856999999999996</v>
      </c>
      <c r="BO204" s="64">
        <f t="shared" ref="BO204:BO212" si="24">IFERROR(1/J204*(X204/H204),"0")</f>
        <v>3.8580246913580252E-2</v>
      </c>
      <c r="BP204" s="64">
        <f t="shared" ref="BP204:BP212" si="25">IFERROR(1/J204*(Y204/H204),"0")</f>
        <v>4.6875E-2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2"/>
      <c r="R205" s="562"/>
      <c r="S205" s="562"/>
      <c r="T205" s="563"/>
      <c r="U205" s="34"/>
      <c r="V205" s="34"/>
      <c r="W205" s="35" t="s">
        <v>68</v>
      </c>
      <c r="X205" s="549">
        <v>20</v>
      </c>
      <c r="Y205" s="550">
        <f t="shared" si="21"/>
        <v>24.299999999999997</v>
      </c>
      <c r="Z205" s="36">
        <f>IFERROR(IF(Y205=0,"",ROUNDUP(Y205/H205,0)*0.01898),"")</f>
        <v>5.6940000000000004E-2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21.237037037037041</v>
      </c>
      <c r="BN205" s="64">
        <f t="shared" si="23"/>
        <v>25.803000000000001</v>
      </c>
      <c r="BO205" s="64">
        <f t="shared" si="24"/>
        <v>3.8580246913580252E-2</v>
      </c>
      <c r="BP205" s="64">
        <f t="shared" si="25"/>
        <v>4.6875E-2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2"/>
      <c r="R207" s="562"/>
      <c r="S207" s="562"/>
      <c r="T207" s="563"/>
      <c r="U207" s="34"/>
      <c r="V207" s="34"/>
      <c r="W207" s="35" t="s">
        <v>68</v>
      </c>
      <c r="X207" s="549">
        <v>12</v>
      </c>
      <c r="Y207" s="550">
        <f t="shared" si="21"/>
        <v>12</v>
      </c>
      <c r="Z207" s="36">
        <f t="shared" ref="Z207:Z212" si="26">IFERROR(IF(Y207=0,"",ROUNDUP(Y207/H207,0)*0.00651),"")</f>
        <v>3.2550000000000003E-2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13.35</v>
      </c>
      <c r="BN207" s="64">
        <f t="shared" si="23"/>
        <v>13.35</v>
      </c>
      <c r="BO207" s="64">
        <f t="shared" si="24"/>
        <v>2.7472527472527476E-2</v>
      </c>
      <c r="BP207" s="64">
        <f t="shared" si="25"/>
        <v>2.7472527472527476E-2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49">
        <v>14.4</v>
      </c>
      <c r="Y209" s="550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15.912000000000001</v>
      </c>
      <c r="BN209" s="64">
        <f t="shared" si="23"/>
        <v>15.912000000000001</v>
      </c>
      <c r="BO209" s="64">
        <f t="shared" si="24"/>
        <v>3.2967032967032968E-2</v>
      </c>
      <c r="BP209" s="64">
        <f t="shared" si="25"/>
        <v>3.2967032967032968E-2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2"/>
      <c r="R211" s="562"/>
      <c r="S211" s="562"/>
      <c r="T211" s="563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5"/>
      <c r="P213" s="555" t="s">
        <v>70</v>
      </c>
      <c r="Q213" s="556"/>
      <c r="R213" s="556"/>
      <c r="S213" s="556"/>
      <c r="T213" s="556"/>
      <c r="U213" s="556"/>
      <c r="V213" s="557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15.938271604938272</v>
      </c>
      <c r="Y213" s="551">
        <f>IFERROR(Y204/H204,"0")+IFERROR(Y205/H205,"0")+IFERROR(Y206/H206,"0")+IFERROR(Y207/H207,"0")+IFERROR(Y208/H208,"0")+IFERROR(Y209/H209,"0")+IFERROR(Y210/H210,"0")+IFERROR(Y211/H211,"0")+IFERROR(Y212/H212,"0")</f>
        <v>17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0.18548999999999999</v>
      </c>
      <c r="AA213" s="552"/>
      <c r="AB213" s="552"/>
      <c r="AC213" s="552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65"/>
      <c r="P214" s="555" t="s">
        <v>70</v>
      </c>
      <c r="Q214" s="556"/>
      <c r="R214" s="556"/>
      <c r="S214" s="556"/>
      <c r="T214" s="556"/>
      <c r="U214" s="556"/>
      <c r="V214" s="557"/>
      <c r="W214" s="37" t="s">
        <v>68</v>
      </c>
      <c r="X214" s="551">
        <f>IFERROR(SUM(X204:X212),"0")</f>
        <v>66.400000000000006</v>
      </c>
      <c r="Y214" s="551">
        <f>IFERROR(SUM(Y204:Y212),"0")</f>
        <v>75</v>
      </c>
      <c r="Z214" s="37"/>
      <c r="AA214" s="552"/>
      <c r="AB214" s="552"/>
      <c r="AC214" s="552"/>
    </row>
    <row r="215" spans="1:68" ht="14.25" hidden="1" customHeight="1" x14ac:dyDescent="0.25">
      <c r="A215" s="553" t="s">
        <v>164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2"/>
      <c r="R216" s="562"/>
      <c r="S216" s="562"/>
      <c r="T216" s="563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2"/>
      <c r="R217" s="562"/>
      <c r="S217" s="562"/>
      <c r="T217" s="563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5"/>
      <c r="P218" s="555" t="s">
        <v>70</v>
      </c>
      <c r="Q218" s="556"/>
      <c r="R218" s="556"/>
      <c r="S218" s="556"/>
      <c r="T218" s="556"/>
      <c r="U218" s="556"/>
      <c r="V218" s="557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65"/>
      <c r="P219" s="555" t="s">
        <v>70</v>
      </c>
      <c r="Q219" s="556"/>
      <c r="R219" s="556"/>
      <c r="S219" s="556"/>
      <c r="T219" s="556"/>
      <c r="U219" s="556"/>
      <c r="V219" s="557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0" t="s">
        <v>353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4"/>
      <c r="AB220" s="544"/>
      <c r="AC220" s="544"/>
    </row>
    <row r="221" spans="1:68" ht="14.25" hidden="1" customHeight="1" x14ac:dyDescent="0.25">
      <c r="A221" s="553" t="s">
        <v>102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2"/>
      <c r="R222" s="562"/>
      <c r="S222" s="562"/>
      <c r="T222" s="563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2"/>
      <c r="R223" s="562"/>
      <c r="S223" s="562"/>
      <c r="T223" s="563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6" t="s">
        <v>366</v>
      </c>
      <c r="Q226" s="562"/>
      <c r="R226" s="562"/>
      <c r="S226" s="562"/>
      <c r="T226" s="563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1" t="s">
        <v>376</v>
      </c>
      <c r="Q230" s="562"/>
      <c r="R230" s="562"/>
      <c r="S230" s="562"/>
      <c r="T230" s="563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5"/>
      <c r="P231" s="555" t="s">
        <v>70</v>
      </c>
      <c r="Q231" s="556"/>
      <c r="R231" s="556"/>
      <c r="S231" s="556"/>
      <c r="T231" s="556"/>
      <c r="U231" s="556"/>
      <c r="V231" s="557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65"/>
      <c r="P232" s="555" t="s">
        <v>70</v>
      </c>
      <c r="Q232" s="556"/>
      <c r="R232" s="556"/>
      <c r="S232" s="556"/>
      <c r="T232" s="556"/>
      <c r="U232" s="556"/>
      <c r="V232" s="557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5"/>
      <c r="P235" s="555" t="s">
        <v>70</v>
      </c>
      <c r="Q235" s="556"/>
      <c r="R235" s="556"/>
      <c r="S235" s="556"/>
      <c r="T235" s="556"/>
      <c r="U235" s="556"/>
      <c r="V235" s="557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65"/>
      <c r="P236" s="555" t="s">
        <v>70</v>
      </c>
      <c r="Q236" s="556"/>
      <c r="R236" s="556"/>
      <c r="S236" s="556"/>
      <c r="T236" s="556"/>
      <c r="U236" s="556"/>
      <c r="V236" s="557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380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77" t="s">
        <v>383</v>
      </c>
      <c r="Q238" s="562"/>
      <c r="R238" s="562"/>
      <c r="S238" s="562"/>
      <c r="T238" s="563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5"/>
      <c r="P239" s="555" t="s">
        <v>70</v>
      </c>
      <c r="Q239" s="556"/>
      <c r="R239" s="556"/>
      <c r="S239" s="556"/>
      <c r="T239" s="556"/>
      <c r="U239" s="556"/>
      <c r="V239" s="557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65"/>
      <c r="P240" s="555" t="s">
        <v>70</v>
      </c>
      <c r="Q240" s="556"/>
      <c r="R240" s="556"/>
      <c r="S240" s="556"/>
      <c r="T240" s="556"/>
      <c r="U240" s="556"/>
      <c r="V240" s="557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4" t="s">
        <v>391</v>
      </c>
      <c r="Q243" s="562"/>
      <c r="R243" s="562"/>
      <c r="S243" s="562"/>
      <c r="T243" s="563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5"/>
      <c r="P247" s="555" t="s">
        <v>70</v>
      </c>
      <c r="Q247" s="556"/>
      <c r="R247" s="556"/>
      <c r="S247" s="556"/>
      <c r="T247" s="556"/>
      <c r="U247" s="556"/>
      <c r="V247" s="557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4"/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65"/>
      <c r="P248" s="555" t="s">
        <v>70</v>
      </c>
      <c r="Q248" s="556"/>
      <c r="R248" s="556"/>
      <c r="S248" s="556"/>
      <c r="T248" s="556"/>
      <c r="U248" s="556"/>
      <c r="V248" s="557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0" t="s">
        <v>398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4"/>
      <c r="AB249" s="544"/>
      <c r="AC249" s="544"/>
    </row>
    <row r="250" spans="1:68" ht="14.25" hidden="1" customHeight="1" x14ac:dyDescent="0.25">
      <c r="A250" s="553" t="s">
        <v>102</v>
      </c>
      <c r="B250" s="554"/>
      <c r="C250" s="554"/>
      <c r="D250" s="554"/>
      <c r="E250" s="554"/>
      <c r="F250" s="554"/>
      <c r="G250" s="554"/>
      <c r="H250" s="554"/>
      <c r="I250" s="554"/>
      <c r="J250" s="554"/>
      <c r="K250" s="554"/>
      <c r="L250" s="554"/>
      <c r="M250" s="554"/>
      <c r="N250" s="554"/>
      <c r="O250" s="554"/>
      <c r="P250" s="554"/>
      <c r="Q250" s="554"/>
      <c r="R250" s="554"/>
      <c r="S250" s="554"/>
      <c r="T250" s="554"/>
      <c r="U250" s="554"/>
      <c r="V250" s="554"/>
      <c r="W250" s="554"/>
      <c r="X250" s="554"/>
      <c r="Y250" s="554"/>
      <c r="Z250" s="554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49">
        <v>20</v>
      </c>
      <c r="Y252" s="550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5"/>
      <c r="P256" s="555" t="s">
        <v>70</v>
      </c>
      <c r="Q256" s="556"/>
      <c r="R256" s="556"/>
      <c r="S256" s="556"/>
      <c r="T256" s="556"/>
      <c r="U256" s="556"/>
      <c r="V256" s="557"/>
      <c r="W256" s="37" t="s">
        <v>71</v>
      </c>
      <c r="X256" s="551">
        <f>IFERROR(X251/H251,"0")+IFERROR(X252/H252,"0")+IFERROR(X253/H253,"0")+IFERROR(X254/H254,"0")+IFERROR(X255/H255,"0")</f>
        <v>1.8518518518518516</v>
      </c>
      <c r="Y256" s="551">
        <f>IFERROR(Y251/H251,"0")+IFERROR(Y252/H252,"0")+IFERROR(Y253/H253,"0")+IFERROR(Y254/H254,"0")+IFERROR(Y255/H255,"0")</f>
        <v>2</v>
      </c>
      <c r="Z256" s="551">
        <f>IFERROR(IF(Z251="",0,Z251),"0")+IFERROR(IF(Z252="",0,Z252),"0")+IFERROR(IF(Z253="",0,Z253),"0")+IFERROR(IF(Z254="",0,Z254),"0")+IFERROR(IF(Z255="",0,Z255),"0")</f>
        <v>3.7960000000000001E-2</v>
      </c>
      <c r="AA256" s="552"/>
      <c r="AB256" s="552"/>
      <c r="AC256" s="552"/>
    </row>
    <row r="257" spans="1:68" x14ac:dyDescent="0.2">
      <c r="A257" s="554"/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65"/>
      <c r="P257" s="555" t="s">
        <v>70</v>
      </c>
      <c r="Q257" s="556"/>
      <c r="R257" s="556"/>
      <c r="S257" s="556"/>
      <c r="T257" s="556"/>
      <c r="U257" s="556"/>
      <c r="V257" s="557"/>
      <c r="W257" s="37" t="s">
        <v>68</v>
      </c>
      <c r="X257" s="551">
        <f>IFERROR(SUM(X251:X255),"0")</f>
        <v>20</v>
      </c>
      <c r="Y257" s="551">
        <f>IFERROR(SUM(Y251:Y255),"0")</f>
        <v>21.6</v>
      </c>
      <c r="Z257" s="37"/>
      <c r="AA257" s="552"/>
      <c r="AB257" s="552"/>
      <c r="AC257" s="552"/>
    </row>
    <row r="258" spans="1:68" ht="16.5" hidden="1" customHeight="1" x14ac:dyDescent="0.25">
      <c r="A258" s="560" t="s">
        <v>414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4"/>
      <c r="AB258" s="544"/>
      <c r="AC258" s="544"/>
    </row>
    <row r="259" spans="1:68" ht="14.25" hidden="1" customHeight="1" x14ac:dyDescent="0.25">
      <c r="A259" s="553" t="s">
        <v>102</v>
      </c>
      <c r="B259" s="554"/>
      <c r="C259" s="554"/>
      <c r="D259" s="554"/>
      <c r="E259" s="554"/>
      <c r="F259" s="554"/>
      <c r="G259" s="554"/>
      <c r="H259" s="554"/>
      <c r="I259" s="554"/>
      <c r="J259" s="554"/>
      <c r="K259" s="554"/>
      <c r="L259" s="554"/>
      <c r="M259" s="554"/>
      <c r="N259" s="554"/>
      <c r="O259" s="554"/>
      <c r="P259" s="554"/>
      <c r="Q259" s="554"/>
      <c r="R259" s="554"/>
      <c r="S259" s="554"/>
      <c r="T259" s="554"/>
      <c r="U259" s="554"/>
      <c r="V259" s="554"/>
      <c r="W259" s="554"/>
      <c r="X259" s="554"/>
      <c r="Y259" s="554"/>
      <c r="Z259" s="554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580" t="s">
        <v>419</v>
      </c>
      <c r="Q261" s="562"/>
      <c r="R261" s="562"/>
      <c r="S261" s="562"/>
      <c r="T261" s="563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13" t="s">
        <v>426</v>
      </c>
      <c r="Q263" s="562"/>
      <c r="R263" s="562"/>
      <c r="S263" s="562"/>
      <c r="T263" s="563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5"/>
      <c r="P264" s="555" t="s">
        <v>70</v>
      </c>
      <c r="Q264" s="556"/>
      <c r="R264" s="556"/>
      <c r="S264" s="556"/>
      <c r="T264" s="556"/>
      <c r="U264" s="556"/>
      <c r="V264" s="557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4"/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65"/>
      <c r="P265" s="555" t="s">
        <v>70</v>
      </c>
      <c r="Q265" s="556"/>
      <c r="R265" s="556"/>
      <c r="S265" s="556"/>
      <c r="T265" s="556"/>
      <c r="U265" s="556"/>
      <c r="V265" s="557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0" t="s">
        <v>428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4"/>
      <c r="AB266" s="544"/>
      <c r="AC266" s="544"/>
    </row>
    <row r="267" spans="1:68" ht="14.25" hidden="1" customHeight="1" x14ac:dyDescent="0.25">
      <c r="A267" s="553" t="s">
        <v>72</v>
      </c>
      <c r="B267" s="554"/>
      <c r="C267" s="554"/>
      <c r="D267" s="554"/>
      <c r="E267" s="554"/>
      <c r="F267" s="554"/>
      <c r="G267" s="554"/>
      <c r="H267" s="554"/>
      <c r="I267" s="554"/>
      <c r="J267" s="554"/>
      <c r="K267" s="554"/>
      <c r="L267" s="554"/>
      <c r="M267" s="554"/>
      <c r="N267" s="554"/>
      <c r="O267" s="554"/>
      <c r="P267" s="554"/>
      <c r="Q267" s="554"/>
      <c r="R267" s="554"/>
      <c r="S267" s="554"/>
      <c r="T267" s="554"/>
      <c r="U267" s="554"/>
      <c r="V267" s="554"/>
      <c r="W267" s="554"/>
      <c r="X267" s="554"/>
      <c r="Y267" s="554"/>
      <c r="Z267" s="554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6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5"/>
      <c r="P271" s="555" t="s">
        <v>70</v>
      </c>
      <c r="Q271" s="556"/>
      <c r="R271" s="556"/>
      <c r="S271" s="556"/>
      <c r="T271" s="556"/>
      <c r="U271" s="556"/>
      <c r="V271" s="557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hidden="1" x14ac:dyDescent="0.2">
      <c r="A272" s="554"/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65"/>
      <c r="P272" s="555" t="s">
        <v>70</v>
      </c>
      <c r="Q272" s="556"/>
      <c r="R272" s="556"/>
      <c r="S272" s="556"/>
      <c r="T272" s="556"/>
      <c r="U272" s="556"/>
      <c r="V272" s="557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hidden="1" customHeight="1" x14ac:dyDescent="0.25">
      <c r="A273" s="560" t="s">
        <v>438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4"/>
      <c r="AB273" s="544"/>
      <c r="AC273" s="544"/>
    </row>
    <row r="274" spans="1:68" ht="14.25" hidden="1" customHeight="1" x14ac:dyDescent="0.25">
      <c r="A274" s="553" t="s">
        <v>63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4"/>
      <c r="Y274" s="554"/>
      <c r="Z274" s="554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5"/>
      <c r="P276" s="555" t="s">
        <v>70</v>
      </c>
      <c r="Q276" s="556"/>
      <c r="R276" s="556"/>
      <c r="S276" s="556"/>
      <c r="T276" s="556"/>
      <c r="U276" s="556"/>
      <c r="V276" s="557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4"/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65"/>
      <c r="P277" s="555" t="s">
        <v>70</v>
      </c>
      <c r="Q277" s="556"/>
      <c r="R277" s="556"/>
      <c r="S277" s="556"/>
      <c r="T277" s="556"/>
      <c r="U277" s="556"/>
      <c r="V277" s="557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3" t="s">
        <v>72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45"/>
      <c r="AB278" s="545"/>
      <c r="AC278" s="545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5"/>
      <c r="P280" s="555" t="s">
        <v>70</v>
      </c>
      <c r="Q280" s="556"/>
      <c r="R280" s="556"/>
      <c r="S280" s="556"/>
      <c r="T280" s="556"/>
      <c r="U280" s="556"/>
      <c r="V280" s="557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hidden="1" x14ac:dyDescent="0.2">
      <c r="A281" s="554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65"/>
      <c r="P281" s="555" t="s">
        <v>70</v>
      </c>
      <c r="Q281" s="556"/>
      <c r="R281" s="556"/>
      <c r="S281" s="556"/>
      <c r="T281" s="556"/>
      <c r="U281" s="556"/>
      <c r="V281" s="557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hidden="1" customHeight="1" x14ac:dyDescent="0.25">
      <c r="A282" s="560" t="s">
        <v>445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4"/>
      <c r="AB282" s="544"/>
      <c r="AC282" s="544"/>
    </row>
    <row r="283" spans="1:68" ht="14.25" hidden="1" customHeight="1" x14ac:dyDescent="0.25">
      <c r="A283" s="553" t="s">
        <v>102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5"/>
      <c r="P285" s="555" t="s">
        <v>70</v>
      </c>
      <c r="Q285" s="556"/>
      <c r="R285" s="556"/>
      <c r="S285" s="556"/>
      <c r="T285" s="556"/>
      <c r="U285" s="556"/>
      <c r="V285" s="557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65"/>
      <c r="P286" s="555" t="s">
        <v>70</v>
      </c>
      <c r="Q286" s="556"/>
      <c r="R286" s="556"/>
      <c r="S286" s="556"/>
      <c r="T286" s="556"/>
      <c r="U286" s="556"/>
      <c r="V286" s="557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0" t="s">
        <v>450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4"/>
      <c r="AB287" s="544"/>
      <c r="AC287" s="544"/>
    </row>
    <row r="288" spans="1:68" ht="14.25" hidden="1" customHeight="1" x14ac:dyDescent="0.25">
      <c r="A288" s="553" t="s">
        <v>102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5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hidden="1" x14ac:dyDescent="0.2">
      <c r="A295" s="56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65"/>
      <c r="P295" s="555" t="s">
        <v>70</v>
      </c>
      <c r="Q295" s="556"/>
      <c r="R295" s="556"/>
      <c r="S295" s="556"/>
      <c r="T295" s="556"/>
      <c r="U295" s="556"/>
      <c r="V295" s="557"/>
      <c r="W295" s="37" t="s">
        <v>71</v>
      </c>
      <c r="X295" s="551">
        <f>IFERROR(X289/H289,"0")+IFERROR(X290/H290,"0")+IFERROR(X291/H291,"0")+IFERROR(X292/H292,"0")+IFERROR(X293/H293,"0")+IFERROR(X294/H294,"0")</f>
        <v>0</v>
      </c>
      <c r="Y295" s="551">
        <f>IFERROR(Y289/H289,"0")+IFERROR(Y290/H290,"0")+IFERROR(Y291/H291,"0")+IFERROR(Y292/H292,"0")+IFERROR(Y293/H293,"0")+IFERROR(Y294/H294,"0")</f>
        <v>0</v>
      </c>
      <c r="Z295" s="551">
        <f>IFERROR(IF(Z289="",0,Z289),"0")+IFERROR(IF(Z290="",0,Z290),"0")+IFERROR(IF(Z291="",0,Z291),"0")+IFERROR(IF(Z292="",0,Z292),"0")+IFERROR(IF(Z293="",0,Z293),"0")+IFERROR(IF(Z294="",0,Z294),"0")</f>
        <v>0</v>
      </c>
      <c r="AA295" s="552"/>
      <c r="AB295" s="552"/>
      <c r="AC295" s="552"/>
    </row>
    <row r="296" spans="1:68" hidden="1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65"/>
      <c r="P296" s="555" t="s">
        <v>70</v>
      </c>
      <c r="Q296" s="556"/>
      <c r="R296" s="556"/>
      <c r="S296" s="556"/>
      <c r="T296" s="556"/>
      <c r="U296" s="556"/>
      <c r="V296" s="557"/>
      <c r="W296" s="37" t="s">
        <v>68</v>
      </c>
      <c r="X296" s="551">
        <f>IFERROR(SUM(X289:X294),"0")</f>
        <v>0</v>
      </c>
      <c r="Y296" s="551">
        <f>IFERROR(SUM(Y289:Y294),"0")</f>
        <v>0</v>
      </c>
      <c r="Z296" s="37"/>
      <c r="AA296" s="552"/>
      <c r="AB296" s="552"/>
      <c r="AC296" s="552"/>
    </row>
    <row r="297" spans="1:68" ht="14.25" hidden="1" customHeight="1" x14ac:dyDescent="0.25">
      <c r="A297" s="553" t="s">
        <v>63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49">
        <v>25</v>
      </c>
      <c r="Y298" s="550">
        <f t="shared" ref="Y298:Y304" si="38">IFERROR(IF(X298="",0,CEILING((X298/$H298),1)*$H298),"")</f>
        <v>25.200000000000003</v>
      </c>
      <c r="Z298" s="36">
        <f>IFERROR(IF(Y298=0,"",ROUNDUP(Y298/H298,0)*0.00902),"")</f>
        <v>5.4120000000000001E-2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26.607142857142858</v>
      </c>
      <c r="BN298" s="64">
        <f t="shared" ref="BN298:BN304" si="40">IFERROR(Y298*I298/H298,"0")</f>
        <v>26.82</v>
      </c>
      <c r="BO298" s="64">
        <f t="shared" ref="BO298:BO304" si="41">IFERROR(1/J298*(X298/H298),"0")</f>
        <v>4.5093795093795096E-2</v>
      </c>
      <c r="BP298" s="64">
        <f t="shared" ref="BP298:BP304" si="42">IFERROR(1/J298*(Y298/H298),"0")</f>
        <v>4.5454545454545456E-2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66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65"/>
      <c r="P305" s="555" t="s">
        <v>70</v>
      </c>
      <c r="Q305" s="556"/>
      <c r="R305" s="556"/>
      <c r="S305" s="556"/>
      <c r="T305" s="556"/>
      <c r="U305" s="556"/>
      <c r="V305" s="557"/>
      <c r="W305" s="37" t="s">
        <v>71</v>
      </c>
      <c r="X305" s="551">
        <f>IFERROR(X298/H298,"0")+IFERROR(X299/H299,"0")+IFERROR(X300/H300,"0")+IFERROR(X301/H301,"0")+IFERROR(X302/H302,"0")+IFERROR(X303/H303,"0")+IFERROR(X304/H304,"0")</f>
        <v>5.9523809523809526</v>
      </c>
      <c r="Y305" s="551">
        <f>IFERROR(Y298/H298,"0")+IFERROR(Y299/H299,"0")+IFERROR(Y300/H300,"0")+IFERROR(Y301/H301,"0")+IFERROR(Y302/H302,"0")+IFERROR(Y303/H303,"0")+IFERROR(Y304/H304,"0")</f>
        <v>6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5.4120000000000001E-2</v>
      </c>
      <c r="AA305" s="552"/>
      <c r="AB305" s="552"/>
      <c r="AC305" s="552"/>
    </row>
    <row r="306" spans="1:68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65"/>
      <c r="P306" s="555" t="s">
        <v>70</v>
      </c>
      <c r="Q306" s="556"/>
      <c r="R306" s="556"/>
      <c r="S306" s="556"/>
      <c r="T306" s="556"/>
      <c r="U306" s="556"/>
      <c r="V306" s="557"/>
      <c r="W306" s="37" t="s">
        <v>68</v>
      </c>
      <c r="X306" s="551">
        <f>IFERROR(SUM(X298:X304),"0")</f>
        <v>25</v>
      </c>
      <c r="Y306" s="551">
        <f>IFERROR(SUM(Y298:Y304),"0")</f>
        <v>25.200000000000003</v>
      </c>
      <c r="Z306" s="37"/>
      <c r="AA306" s="552"/>
      <c r="AB306" s="552"/>
      <c r="AC306" s="552"/>
    </row>
    <row r="307" spans="1:68" ht="14.25" hidden="1" customHeight="1" x14ac:dyDescent="0.25">
      <c r="A307" s="553" t="s">
        <v>72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45"/>
      <c r="AB307" s="545"/>
      <c r="AC307" s="545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8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65"/>
      <c r="P313" s="555" t="s">
        <v>70</v>
      </c>
      <c r="Q313" s="556"/>
      <c r="R313" s="556"/>
      <c r="S313" s="556"/>
      <c r="T313" s="556"/>
      <c r="U313" s="556"/>
      <c r="V313" s="557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hidden="1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65"/>
      <c r="P314" s="555" t="s">
        <v>70</v>
      </c>
      <c r="Q314" s="556"/>
      <c r="R314" s="556"/>
      <c r="S314" s="556"/>
      <c r="T314" s="556"/>
      <c r="U314" s="556"/>
      <c r="V314" s="557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hidden="1" customHeight="1" x14ac:dyDescent="0.25">
      <c r="A315" s="553" t="s">
        <v>164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49">
        <v>40</v>
      </c>
      <c r="Y317" s="550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42.66153846153847</v>
      </c>
      <c r="BN317" s="64">
        <f>IFERROR(Y317*I317/H317,"0")</f>
        <v>49.914000000000001</v>
      </c>
      <c r="BO317" s="64">
        <f>IFERROR(1/J317*(X317/H317),"0")</f>
        <v>8.0128205128205135E-2</v>
      </c>
      <c r="BP317" s="64">
        <f>IFERROR(1/J317*(Y317/H317),"0")</f>
        <v>9.375E-2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6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65"/>
      <c r="P319" s="555" t="s">
        <v>70</v>
      </c>
      <c r="Q319" s="556"/>
      <c r="R319" s="556"/>
      <c r="S319" s="556"/>
      <c r="T319" s="556"/>
      <c r="U319" s="556"/>
      <c r="V319" s="557"/>
      <c r="W319" s="37" t="s">
        <v>71</v>
      </c>
      <c r="X319" s="551">
        <f>IFERROR(X316/H316,"0")+IFERROR(X317/H317,"0")+IFERROR(X318/H318,"0")</f>
        <v>5.1282051282051286</v>
      </c>
      <c r="Y319" s="551">
        <f>IFERROR(Y316/H316,"0")+IFERROR(Y317/H317,"0")+IFERROR(Y318/H318,"0")</f>
        <v>6</v>
      </c>
      <c r="Z319" s="551">
        <f>IFERROR(IF(Z316="",0,Z316),"0")+IFERROR(IF(Z317="",0,Z317),"0")+IFERROR(IF(Z318="",0,Z318),"0")</f>
        <v>0.11388000000000001</v>
      </c>
      <c r="AA319" s="552"/>
      <c r="AB319" s="552"/>
      <c r="AC319" s="552"/>
    </row>
    <row r="320" spans="1:68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65"/>
      <c r="P320" s="555" t="s">
        <v>70</v>
      </c>
      <c r="Q320" s="556"/>
      <c r="R320" s="556"/>
      <c r="S320" s="556"/>
      <c r="T320" s="556"/>
      <c r="U320" s="556"/>
      <c r="V320" s="557"/>
      <c r="W320" s="37" t="s">
        <v>68</v>
      </c>
      <c r="X320" s="551">
        <f>IFERROR(SUM(X316:X318),"0")</f>
        <v>40</v>
      </c>
      <c r="Y320" s="551">
        <f>IFERROR(SUM(Y316:Y318),"0")</f>
        <v>46.8</v>
      </c>
      <c r="Z320" s="37"/>
      <c r="AA320" s="552"/>
      <c r="AB320" s="552"/>
      <c r="AC320" s="552"/>
    </row>
    <row r="321" spans="1:68" ht="14.25" hidden="1" customHeight="1" x14ac:dyDescent="0.25">
      <c r="A321" s="553" t="s">
        <v>94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45"/>
      <c r="AB321" s="545"/>
      <c r="AC321" s="545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45" t="s">
        <v>513</v>
      </c>
      <c r="Q322" s="562"/>
      <c r="R322" s="562"/>
      <c r="S322" s="562"/>
      <c r="T322" s="563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24" t="s">
        <v>517</v>
      </c>
      <c r="Q323" s="562"/>
      <c r="R323" s="562"/>
      <c r="S323" s="562"/>
      <c r="T323" s="563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6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65"/>
      <c r="P326" s="555" t="s">
        <v>70</v>
      </c>
      <c r="Q326" s="556"/>
      <c r="R326" s="556"/>
      <c r="S326" s="556"/>
      <c r="T326" s="556"/>
      <c r="U326" s="556"/>
      <c r="V326" s="557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hidden="1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65"/>
      <c r="P327" s="555" t="s">
        <v>70</v>
      </c>
      <c r="Q327" s="556"/>
      <c r="R327" s="556"/>
      <c r="S327" s="556"/>
      <c r="T327" s="556"/>
      <c r="U327" s="556"/>
      <c r="V327" s="557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hidden="1" customHeight="1" x14ac:dyDescent="0.25">
      <c r="A328" s="553" t="s">
        <v>523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65"/>
      <c r="P332" s="555" t="s">
        <v>70</v>
      </c>
      <c r="Q332" s="556"/>
      <c r="R332" s="556"/>
      <c r="S332" s="556"/>
      <c r="T332" s="556"/>
      <c r="U332" s="556"/>
      <c r="V332" s="557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hidden="1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65"/>
      <c r="P333" s="555" t="s">
        <v>70</v>
      </c>
      <c r="Q333" s="556"/>
      <c r="R333" s="556"/>
      <c r="S333" s="556"/>
      <c r="T333" s="556"/>
      <c r="U333" s="556"/>
      <c r="V333" s="557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hidden="1" customHeight="1" x14ac:dyDescent="0.25">
      <c r="A334" s="560" t="s">
        <v>532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44"/>
      <c r="AB334" s="544"/>
      <c r="AC334" s="544"/>
    </row>
    <row r="335" spans="1:68" ht="14.25" hidden="1" customHeight="1" x14ac:dyDescent="0.25">
      <c r="A335" s="553" t="s">
        <v>72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49">
        <v>8.3999999999999986</v>
      </c>
      <c r="Y337" s="550">
        <f>IFERROR(IF(X337="",0,CEILING((X337/$H337),1)*$H337),"")</f>
        <v>8.4</v>
      </c>
      <c r="Z337" s="36">
        <f>IFERROR(IF(Y337=0,"",ROUNDUP(Y337/H337,0)*0.00651),"")</f>
        <v>2.6040000000000001E-2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9.4079999999999977</v>
      </c>
      <c r="BN337" s="64">
        <f>IFERROR(Y337*I337/H337,"0")</f>
        <v>9.4079999999999995</v>
      </c>
      <c r="BO337" s="64">
        <f>IFERROR(1/J337*(X337/H337),"0")</f>
        <v>2.1978021978021976E-2</v>
      </c>
      <c r="BP337" s="64">
        <f>IFERROR(1/J337*(Y337/H337),"0")</f>
        <v>2.197802197802198E-2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5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65"/>
      <c r="P339" s="555" t="s">
        <v>70</v>
      </c>
      <c r="Q339" s="556"/>
      <c r="R339" s="556"/>
      <c r="S339" s="556"/>
      <c r="T339" s="556"/>
      <c r="U339" s="556"/>
      <c r="V339" s="557"/>
      <c r="W339" s="37" t="s">
        <v>71</v>
      </c>
      <c r="X339" s="551">
        <f>IFERROR(X336/H336,"0")+IFERROR(X337/H337,"0")+IFERROR(X338/H338,"0")</f>
        <v>3.9999999999999991</v>
      </c>
      <c r="Y339" s="551">
        <f>IFERROR(Y336/H336,"0")+IFERROR(Y337/H337,"0")+IFERROR(Y338/H338,"0")</f>
        <v>4</v>
      </c>
      <c r="Z339" s="551">
        <f>IFERROR(IF(Z336="",0,Z336),"0")+IFERROR(IF(Z337="",0,Z337),"0")+IFERROR(IF(Z338="",0,Z338),"0")</f>
        <v>2.6040000000000001E-2</v>
      </c>
      <c r="AA339" s="552"/>
      <c r="AB339" s="552"/>
      <c r="AC339" s="552"/>
    </row>
    <row r="340" spans="1:68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65"/>
      <c r="P340" s="555" t="s">
        <v>70</v>
      </c>
      <c r="Q340" s="556"/>
      <c r="R340" s="556"/>
      <c r="S340" s="556"/>
      <c r="T340" s="556"/>
      <c r="U340" s="556"/>
      <c r="V340" s="557"/>
      <c r="W340" s="37" t="s">
        <v>68</v>
      </c>
      <c r="X340" s="551">
        <f>IFERROR(SUM(X336:X338),"0")</f>
        <v>8.3999999999999986</v>
      </c>
      <c r="Y340" s="551">
        <f>IFERROR(SUM(Y336:Y338),"0")</f>
        <v>8.4</v>
      </c>
      <c r="Z340" s="37"/>
      <c r="AA340" s="552"/>
      <c r="AB340" s="552"/>
      <c r="AC340" s="552"/>
    </row>
    <row r="341" spans="1:68" ht="27.75" hidden="1" customHeight="1" x14ac:dyDescent="0.2">
      <c r="A341" s="572" t="s">
        <v>542</v>
      </c>
      <c r="B341" s="573"/>
      <c r="C341" s="573"/>
      <c r="D341" s="573"/>
      <c r="E341" s="573"/>
      <c r="F341" s="573"/>
      <c r="G341" s="573"/>
      <c r="H341" s="573"/>
      <c r="I341" s="573"/>
      <c r="J341" s="573"/>
      <c r="K341" s="573"/>
      <c r="L341" s="573"/>
      <c r="M341" s="573"/>
      <c r="N341" s="573"/>
      <c r="O341" s="573"/>
      <c r="P341" s="573"/>
      <c r="Q341" s="573"/>
      <c r="R341" s="573"/>
      <c r="S341" s="573"/>
      <c r="T341" s="573"/>
      <c r="U341" s="573"/>
      <c r="V341" s="573"/>
      <c r="W341" s="573"/>
      <c r="X341" s="573"/>
      <c r="Y341" s="573"/>
      <c r="Z341" s="573"/>
      <c r="AA341" s="48"/>
      <c r="AB341" s="48"/>
      <c r="AC341" s="48"/>
    </row>
    <row r="342" spans="1:68" ht="16.5" hidden="1" customHeight="1" x14ac:dyDescent="0.25">
      <c r="A342" s="560" t="s">
        <v>543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44"/>
      <c r="AB342" s="544"/>
      <c r="AC342" s="544"/>
    </row>
    <row r="343" spans="1:68" ht="14.25" hidden="1" customHeight="1" x14ac:dyDescent="0.25">
      <c r="A343" s="553" t="s">
        <v>102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49">
        <v>100</v>
      </c>
      <c r="Y344" s="550">
        <f t="shared" ref="Y344:Y350" si="43">IFERROR(IF(X344="",0,CEILING((X344/$H344),1)*$H344),"")</f>
        <v>105</v>
      </c>
      <c r="Z344" s="36">
        <f>IFERROR(IF(Y344=0,"",ROUNDUP(Y344/H344,0)*0.02175),"")</f>
        <v>0.15225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103.2</v>
      </c>
      <c r="BN344" s="64">
        <f t="shared" ref="BN344:BN350" si="45">IFERROR(Y344*I344/H344,"0")</f>
        <v>108.36</v>
      </c>
      <c r="BO344" s="64">
        <f t="shared" ref="BO344:BO350" si="46">IFERROR(1/J344*(X344/H344),"0")</f>
        <v>0.1388888888888889</v>
      </c>
      <c r="BP344" s="64">
        <f t="shared" ref="BP344:BP350" si="47">IFERROR(1/J344*(Y344/H344),"0")</f>
        <v>0.14583333333333331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49">
        <v>100</v>
      </c>
      <c r="Y345" s="550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49">
        <v>400</v>
      </c>
      <c r="Y347" s="550">
        <f t="shared" si="43"/>
        <v>405</v>
      </c>
      <c r="Z347" s="36">
        <f>IFERROR(IF(Y347=0,"",ROUNDUP(Y347/H347,0)*0.02175),"")</f>
        <v>0.58724999999999994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412.8</v>
      </c>
      <c r="BN347" s="64">
        <f t="shared" si="45"/>
        <v>417.96000000000004</v>
      </c>
      <c r="BO347" s="64">
        <f t="shared" si="46"/>
        <v>0.55555555555555558</v>
      </c>
      <c r="BP347" s="64">
        <f t="shared" si="47"/>
        <v>0.5625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7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65"/>
      <c r="P351" s="555" t="s">
        <v>70</v>
      </c>
      <c r="Q351" s="556"/>
      <c r="R351" s="556"/>
      <c r="S351" s="556"/>
      <c r="T351" s="556"/>
      <c r="U351" s="556"/>
      <c r="V351" s="557"/>
      <c r="W351" s="37" t="s">
        <v>71</v>
      </c>
      <c r="X351" s="551">
        <f>IFERROR(X344/H344,"0")+IFERROR(X345/H345,"0")+IFERROR(X346/H346,"0")+IFERROR(X347/H347,"0")+IFERROR(X348/H348,"0")+IFERROR(X349/H349,"0")+IFERROR(X350/H350,"0")</f>
        <v>40</v>
      </c>
      <c r="Y351" s="551">
        <f>IFERROR(Y344/H344,"0")+IFERROR(Y345/H345,"0")+IFERROR(Y346/H346,"0")+IFERROR(Y347/H347,"0")+IFERROR(Y348/H348,"0")+IFERROR(Y349/H349,"0")+IFERROR(Y350/H350,"0")</f>
        <v>41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0.89174999999999993</v>
      </c>
      <c r="AA351" s="552"/>
      <c r="AB351" s="552"/>
      <c r="AC351" s="552"/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65"/>
      <c r="P352" s="555" t="s">
        <v>70</v>
      </c>
      <c r="Q352" s="556"/>
      <c r="R352" s="556"/>
      <c r="S352" s="556"/>
      <c r="T352" s="556"/>
      <c r="U352" s="556"/>
      <c r="V352" s="557"/>
      <c r="W352" s="37" t="s">
        <v>68</v>
      </c>
      <c r="X352" s="551">
        <f>IFERROR(SUM(X344:X350),"0")</f>
        <v>600</v>
      </c>
      <c r="Y352" s="551">
        <f>IFERROR(SUM(Y344:Y350),"0")</f>
        <v>615</v>
      </c>
      <c r="Z352" s="37"/>
      <c r="AA352" s="552"/>
      <c r="AB352" s="552"/>
      <c r="AC352" s="552"/>
    </row>
    <row r="353" spans="1:68" ht="14.25" hidden="1" customHeight="1" x14ac:dyDescent="0.25">
      <c r="A353" s="553" t="s">
        <v>134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49">
        <v>150</v>
      </c>
      <c r="Y354" s="550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65"/>
      <c r="P356" s="555" t="s">
        <v>70</v>
      </c>
      <c r="Q356" s="556"/>
      <c r="R356" s="556"/>
      <c r="S356" s="556"/>
      <c r="T356" s="556"/>
      <c r="U356" s="556"/>
      <c r="V356" s="557"/>
      <c r="W356" s="37" t="s">
        <v>71</v>
      </c>
      <c r="X356" s="551">
        <f>IFERROR(X354/H354,"0")+IFERROR(X355/H355,"0")</f>
        <v>10</v>
      </c>
      <c r="Y356" s="551">
        <f>IFERROR(Y354/H354,"0")+IFERROR(Y355/H355,"0")</f>
        <v>10</v>
      </c>
      <c r="Z356" s="551">
        <f>IFERROR(IF(Z354="",0,Z354),"0")+IFERROR(IF(Z355="",0,Z355),"0")</f>
        <v>0.21749999999999997</v>
      </c>
      <c r="AA356" s="552"/>
      <c r="AB356" s="552"/>
      <c r="AC356" s="552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65"/>
      <c r="P357" s="555" t="s">
        <v>70</v>
      </c>
      <c r="Q357" s="556"/>
      <c r="R357" s="556"/>
      <c r="S357" s="556"/>
      <c r="T357" s="556"/>
      <c r="U357" s="556"/>
      <c r="V357" s="557"/>
      <c r="W357" s="37" t="s">
        <v>68</v>
      </c>
      <c r="X357" s="551">
        <f>IFERROR(SUM(X354:X355),"0")</f>
        <v>150</v>
      </c>
      <c r="Y357" s="551">
        <f>IFERROR(SUM(Y354:Y355),"0")</f>
        <v>150</v>
      </c>
      <c r="Z357" s="37"/>
      <c r="AA357" s="552"/>
      <c r="AB357" s="552"/>
      <c r="AC357" s="552"/>
    </row>
    <row r="358" spans="1:68" ht="14.25" hidden="1" customHeight="1" x14ac:dyDescent="0.25">
      <c r="A358" s="553" t="s">
        <v>72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5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65"/>
      <c r="P361" s="555" t="s">
        <v>70</v>
      </c>
      <c r="Q361" s="556"/>
      <c r="R361" s="556"/>
      <c r="S361" s="556"/>
      <c r="T361" s="556"/>
      <c r="U361" s="556"/>
      <c r="V361" s="557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65"/>
      <c r="P362" s="555" t="s">
        <v>70</v>
      </c>
      <c r="Q362" s="556"/>
      <c r="R362" s="556"/>
      <c r="S362" s="556"/>
      <c r="T362" s="556"/>
      <c r="U362" s="556"/>
      <c r="V362" s="557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3" t="s">
        <v>164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649" t="s">
        <v>576</v>
      </c>
      <c r="Q364" s="562"/>
      <c r="R364" s="562"/>
      <c r="S364" s="562"/>
      <c r="T364" s="563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65"/>
      <c r="P365" s="555" t="s">
        <v>70</v>
      </c>
      <c r="Q365" s="556"/>
      <c r="R365" s="556"/>
      <c r="S365" s="556"/>
      <c r="T365" s="556"/>
      <c r="U365" s="556"/>
      <c r="V365" s="557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65"/>
      <c r="P366" s="555" t="s">
        <v>70</v>
      </c>
      <c r="Q366" s="556"/>
      <c r="R366" s="556"/>
      <c r="S366" s="556"/>
      <c r="T366" s="556"/>
      <c r="U366" s="556"/>
      <c r="V366" s="557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0" t="s">
        <v>578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44"/>
      <c r="AB367" s="544"/>
      <c r="AC367" s="544"/>
    </row>
    <row r="368" spans="1:68" ht="14.25" hidden="1" customHeight="1" x14ac:dyDescent="0.25">
      <c r="A368" s="553" t="s">
        <v>102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49">
        <v>20</v>
      </c>
      <c r="Y370" s="550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20.725000000000001</v>
      </c>
      <c r="BN370" s="64">
        <f>IFERROR(Y370*I370/H370,"0")</f>
        <v>24.87</v>
      </c>
      <c r="BO370" s="64">
        <f>IFERROR(1/J370*(X370/H370),"0")</f>
        <v>2.6041666666666668E-2</v>
      </c>
      <c r="BP370" s="64">
        <f>IFERROR(1/J370*(Y370/H370),"0")</f>
        <v>3.125E-2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65"/>
      <c r="P372" s="555" t="s">
        <v>70</v>
      </c>
      <c r="Q372" s="556"/>
      <c r="R372" s="556"/>
      <c r="S372" s="556"/>
      <c r="T372" s="556"/>
      <c r="U372" s="556"/>
      <c r="V372" s="557"/>
      <c r="W372" s="37" t="s">
        <v>71</v>
      </c>
      <c r="X372" s="551">
        <f>IFERROR(X369/H369,"0")+IFERROR(X370/H370,"0")+IFERROR(X371/H371,"0")</f>
        <v>1.6666666666666667</v>
      </c>
      <c r="Y372" s="551">
        <f>IFERROR(Y369/H369,"0")+IFERROR(Y370/H370,"0")+IFERROR(Y371/H371,"0")</f>
        <v>2</v>
      </c>
      <c r="Z372" s="551">
        <f>IFERROR(IF(Z369="",0,Z369),"0")+IFERROR(IF(Z370="",0,Z370),"0")+IFERROR(IF(Z371="",0,Z371),"0")</f>
        <v>3.7960000000000001E-2</v>
      </c>
      <c r="AA372" s="552"/>
      <c r="AB372" s="552"/>
      <c r="AC372" s="552"/>
    </row>
    <row r="373" spans="1:68" x14ac:dyDescent="0.2">
      <c r="A373" s="554"/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65"/>
      <c r="P373" s="555" t="s">
        <v>70</v>
      </c>
      <c r="Q373" s="556"/>
      <c r="R373" s="556"/>
      <c r="S373" s="556"/>
      <c r="T373" s="556"/>
      <c r="U373" s="556"/>
      <c r="V373" s="557"/>
      <c r="W373" s="37" t="s">
        <v>68</v>
      </c>
      <c r="X373" s="551">
        <f>IFERROR(SUM(X369:X371),"0")</f>
        <v>20</v>
      </c>
      <c r="Y373" s="551">
        <f>IFERROR(SUM(Y369:Y371),"0")</f>
        <v>24</v>
      </c>
      <c r="Z373" s="37"/>
      <c r="AA373" s="552"/>
      <c r="AB373" s="552"/>
      <c r="AC373" s="552"/>
    </row>
    <row r="374" spans="1:68" ht="14.25" hidden="1" customHeight="1" x14ac:dyDescent="0.25">
      <c r="A374" s="553" t="s">
        <v>63</v>
      </c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54"/>
      <c r="P374" s="554"/>
      <c r="Q374" s="554"/>
      <c r="R374" s="554"/>
      <c r="S374" s="554"/>
      <c r="T374" s="554"/>
      <c r="U374" s="554"/>
      <c r="V374" s="554"/>
      <c r="W374" s="554"/>
      <c r="X374" s="554"/>
      <c r="Y374" s="554"/>
      <c r="Z374" s="554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65"/>
      <c r="P376" s="555" t="s">
        <v>70</v>
      </c>
      <c r="Q376" s="556"/>
      <c r="R376" s="556"/>
      <c r="S376" s="556"/>
      <c r="T376" s="556"/>
      <c r="U376" s="556"/>
      <c r="V376" s="557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65"/>
      <c r="P377" s="555" t="s">
        <v>70</v>
      </c>
      <c r="Q377" s="556"/>
      <c r="R377" s="556"/>
      <c r="S377" s="556"/>
      <c r="T377" s="556"/>
      <c r="U377" s="556"/>
      <c r="V377" s="557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3" t="s">
        <v>72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85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49">
        <v>30</v>
      </c>
      <c r="Y379" s="550">
        <f>IFERROR(IF(X379="",0,CEILING((X379/$H379),1)*$H379),"")</f>
        <v>36</v>
      </c>
      <c r="Z379" s="36">
        <f>IFERROR(IF(Y379=0,"",ROUNDUP(Y379/H379,0)*0.01898),"")</f>
        <v>7.5920000000000001E-2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31.73</v>
      </c>
      <c r="BN379" s="64">
        <f>IFERROR(Y379*I379/H379,"0")</f>
        <v>38.076000000000001</v>
      </c>
      <c r="BO379" s="64">
        <f>IFERROR(1/J379*(X379/H379),"0")</f>
        <v>5.2083333333333336E-2</v>
      </c>
      <c r="BP379" s="64">
        <f>IFERROR(1/J379*(Y379/H379),"0")</f>
        <v>6.25E-2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65"/>
      <c r="P381" s="555" t="s">
        <v>70</v>
      </c>
      <c r="Q381" s="556"/>
      <c r="R381" s="556"/>
      <c r="S381" s="556"/>
      <c r="T381" s="556"/>
      <c r="U381" s="556"/>
      <c r="V381" s="557"/>
      <c r="W381" s="37" t="s">
        <v>71</v>
      </c>
      <c r="X381" s="551">
        <f>IFERROR(X379/H379,"0")+IFERROR(X380/H380,"0")</f>
        <v>3.3333333333333335</v>
      </c>
      <c r="Y381" s="551">
        <f>IFERROR(Y379/H379,"0")+IFERROR(Y380/H380,"0")</f>
        <v>4</v>
      </c>
      <c r="Z381" s="551">
        <f>IFERROR(IF(Z379="",0,Z379),"0")+IFERROR(IF(Z380="",0,Z380),"0")</f>
        <v>7.5920000000000001E-2</v>
      </c>
      <c r="AA381" s="552"/>
      <c r="AB381" s="552"/>
      <c r="AC381" s="552"/>
    </row>
    <row r="382" spans="1:68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65"/>
      <c r="P382" s="555" t="s">
        <v>70</v>
      </c>
      <c r="Q382" s="556"/>
      <c r="R382" s="556"/>
      <c r="S382" s="556"/>
      <c r="T382" s="556"/>
      <c r="U382" s="556"/>
      <c r="V382" s="557"/>
      <c r="W382" s="37" t="s">
        <v>68</v>
      </c>
      <c r="X382" s="551">
        <f>IFERROR(SUM(X379:X380),"0")</f>
        <v>30</v>
      </c>
      <c r="Y382" s="551">
        <f>IFERROR(SUM(Y379:Y380),"0")</f>
        <v>36</v>
      </c>
      <c r="Z382" s="37"/>
      <c r="AA382" s="552"/>
      <c r="AB382" s="552"/>
      <c r="AC382" s="552"/>
    </row>
    <row r="383" spans="1:68" ht="14.25" hidden="1" customHeight="1" x14ac:dyDescent="0.25">
      <c r="A383" s="553" t="s">
        <v>164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87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65"/>
      <c r="P385" s="555" t="s">
        <v>70</v>
      </c>
      <c r="Q385" s="556"/>
      <c r="R385" s="556"/>
      <c r="S385" s="556"/>
      <c r="T385" s="556"/>
      <c r="U385" s="556"/>
      <c r="V385" s="557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4"/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65"/>
      <c r="P386" s="555" t="s">
        <v>70</v>
      </c>
      <c r="Q386" s="556"/>
      <c r="R386" s="556"/>
      <c r="S386" s="556"/>
      <c r="T386" s="556"/>
      <c r="U386" s="556"/>
      <c r="V386" s="557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72" t="s">
        <v>598</v>
      </c>
      <c r="B387" s="573"/>
      <c r="C387" s="573"/>
      <c r="D387" s="573"/>
      <c r="E387" s="573"/>
      <c r="F387" s="573"/>
      <c r="G387" s="573"/>
      <c r="H387" s="573"/>
      <c r="I387" s="573"/>
      <c r="J387" s="573"/>
      <c r="K387" s="573"/>
      <c r="L387" s="573"/>
      <c r="M387" s="573"/>
      <c r="N387" s="573"/>
      <c r="O387" s="573"/>
      <c r="P387" s="573"/>
      <c r="Q387" s="573"/>
      <c r="R387" s="573"/>
      <c r="S387" s="573"/>
      <c r="T387" s="573"/>
      <c r="U387" s="573"/>
      <c r="V387" s="573"/>
      <c r="W387" s="573"/>
      <c r="X387" s="573"/>
      <c r="Y387" s="573"/>
      <c r="Z387" s="573"/>
      <c r="AA387" s="48"/>
      <c r="AB387" s="48"/>
      <c r="AC387" s="48"/>
    </row>
    <row r="388" spans="1:68" ht="16.5" hidden="1" customHeight="1" x14ac:dyDescent="0.25">
      <c r="A388" s="560" t="s">
        <v>599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44"/>
      <c r="AB388" s="544"/>
      <c r="AC388" s="544"/>
    </row>
    <row r="389" spans="1:68" ht="14.25" hidden="1" customHeight="1" x14ac:dyDescent="0.25">
      <c r="A389" s="553" t="s">
        <v>63</v>
      </c>
      <c r="B389" s="554"/>
      <c r="C389" s="554"/>
      <c r="D389" s="554"/>
      <c r="E389" s="554"/>
      <c r="F389" s="554"/>
      <c r="G389" s="554"/>
      <c r="H389" s="554"/>
      <c r="I389" s="554"/>
      <c r="J389" s="554"/>
      <c r="K389" s="554"/>
      <c r="L389" s="554"/>
      <c r="M389" s="554"/>
      <c r="N389" s="554"/>
      <c r="O389" s="554"/>
      <c r="P389" s="554"/>
      <c r="Q389" s="554"/>
      <c r="R389" s="554"/>
      <c r="S389" s="554"/>
      <c r="T389" s="554"/>
      <c r="U389" s="554"/>
      <c r="V389" s="554"/>
      <c r="W389" s="554"/>
      <c r="X389" s="554"/>
      <c r="Y389" s="554"/>
      <c r="Z389" s="554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49">
        <v>30</v>
      </c>
      <c r="Y390" s="550">
        <f t="shared" ref="Y390:Y399" si="48">IFERROR(IF(X390="",0,CEILING((X390/$H390),1)*$H390),"")</f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31.166666666666668</v>
      </c>
      <c r="BN390" s="64">
        <f t="shared" ref="BN390:BN399" si="50">IFERROR(Y390*I390/H390,"0")</f>
        <v>33.660000000000004</v>
      </c>
      <c r="BO390" s="64">
        <f t="shared" ref="BO390:BO399" si="51">IFERROR(1/J390*(X390/H390),"0")</f>
        <v>4.208754208754209E-2</v>
      </c>
      <c r="BP390" s="64">
        <f t="shared" ref="BP390:BP399" si="52">IFERROR(1/J390*(Y390/H390),"0")</f>
        <v>4.5454545454545463E-2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0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hidden="1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hidden="1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hidden="1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65"/>
      <c r="P400" s="555" t="s">
        <v>70</v>
      </c>
      <c r="Q400" s="556"/>
      <c r="R400" s="556"/>
      <c r="S400" s="556"/>
      <c r="T400" s="556"/>
      <c r="U400" s="556"/>
      <c r="V400" s="557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5.5555555555555554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6.0000000000000009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5.4120000000000001E-2</v>
      </c>
      <c r="AA400" s="552"/>
      <c r="AB400" s="552"/>
      <c r="AC400" s="552"/>
    </row>
    <row r="401" spans="1:68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65"/>
      <c r="P401" s="555" t="s">
        <v>70</v>
      </c>
      <c r="Q401" s="556"/>
      <c r="R401" s="556"/>
      <c r="S401" s="556"/>
      <c r="T401" s="556"/>
      <c r="U401" s="556"/>
      <c r="V401" s="557"/>
      <c r="W401" s="37" t="s">
        <v>68</v>
      </c>
      <c r="X401" s="551">
        <f>IFERROR(SUM(X390:X399),"0")</f>
        <v>30</v>
      </c>
      <c r="Y401" s="551">
        <f>IFERROR(SUM(Y390:Y399),"0")</f>
        <v>32.400000000000006</v>
      </c>
      <c r="Z401" s="37"/>
      <c r="AA401" s="552"/>
      <c r="AB401" s="552"/>
      <c r="AC401" s="552"/>
    </row>
    <row r="402" spans="1:68" ht="14.25" hidden="1" customHeight="1" x14ac:dyDescent="0.25">
      <c r="A402" s="553" t="s">
        <v>72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45"/>
      <c r="AB402" s="545"/>
      <c r="AC402" s="545"/>
    </row>
    <row r="403" spans="1:68" ht="27" hidden="1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65"/>
      <c r="P405" s="555" t="s">
        <v>70</v>
      </c>
      <c r="Q405" s="556"/>
      <c r="R405" s="556"/>
      <c r="S405" s="556"/>
      <c r="T405" s="556"/>
      <c r="U405" s="556"/>
      <c r="V405" s="557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hidden="1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65"/>
      <c r="P406" s="555" t="s">
        <v>70</v>
      </c>
      <c r="Q406" s="556"/>
      <c r="R406" s="556"/>
      <c r="S406" s="556"/>
      <c r="T406" s="556"/>
      <c r="U406" s="556"/>
      <c r="V406" s="557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hidden="1" customHeight="1" x14ac:dyDescent="0.25">
      <c r="A407" s="560" t="s">
        <v>631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44"/>
      <c r="AB407" s="544"/>
      <c r="AC407" s="544"/>
    </row>
    <row r="408" spans="1:68" ht="14.25" hidden="1" customHeight="1" x14ac:dyDescent="0.25">
      <c r="A408" s="553" t="s">
        <v>134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4"/>
      <c r="Y408" s="554"/>
      <c r="Z408" s="554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4"/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65"/>
      <c r="P410" s="555" t="s">
        <v>70</v>
      </c>
      <c r="Q410" s="556"/>
      <c r="R410" s="556"/>
      <c r="S410" s="556"/>
      <c r="T410" s="556"/>
      <c r="U410" s="556"/>
      <c r="V410" s="557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4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65"/>
      <c r="P411" s="555" t="s">
        <v>70</v>
      </c>
      <c r="Q411" s="556"/>
      <c r="R411" s="556"/>
      <c r="S411" s="556"/>
      <c r="T411" s="556"/>
      <c r="U411" s="556"/>
      <c r="V411" s="557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3" t="s">
        <v>63</v>
      </c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4"/>
      <c r="P412" s="554"/>
      <c r="Q412" s="554"/>
      <c r="R412" s="554"/>
      <c r="S412" s="554"/>
      <c r="T412" s="554"/>
      <c r="U412" s="554"/>
      <c r="V412" s="554"/>
      <c r="W412" s="554"/>
      <c r="X412" s="554"/>
      <c r="Y412" s="554"/>
      <c r="Z412" s="554"/>
      <c r="AA412" s="545"/>
      <c r="AB412" s="545"/>
      <c r="AC412" s="545"/>
    </row>
    <row r="413" spans="1:68" ht="27" hidden="1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65"/>
      <c r="P417" s="555" t="s">
        <v>70</v>
      </c>
      <c r="Q417" s="556"/>
      <c r="R417" s="556"/>
      <c r="S417" s="556"/>
      <c r="T417" s="556"/>
      <c r="U417" s="556"/>
      <c r="V417" s="557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hidden="1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65"/>
      <c r="P418" s="555" t="s">
        <v>70</v>
      </c>
      <c r="Q418" s="556"/>
      <c r="R418" s="556"/>
      <c r="S418" s="556"/>
      <c r="T418" s="556"/>
      <c r="U418" s="556"/>
      <c r="V418" s="557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hidden="1" customHeight="1" x14ac:dyDescent="0.25">
      <c r="A419" s="560" t="s">
        <v>646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44"/>
      <c r="AB419" s="544"/>
      <c r="AC419" s="544"/>
    </row>
    <row r="420" spans="1:68" ht="14.25" hidden="1" customHeight="1" x14ac:dyDescent="0.25">
      <c r="A420" s="553" t="s">
        <v>63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4"/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65"/>
      <c r="P422" s="555" t="s">
        <v>70</v>
      </c>
      <c r="Q422" s="556"/>
      <c r="R422" s="556"/>
      <c r="S422" s="556"/>
      <c r="T422" s="556"/>
      <c r="U422" s="556"/>
      <c r="V422" s="557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4"/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65"/>
      <c r="P423" s="555" t="s">
        <v>70</v>
      </c>
      <c r="Q423" s="556"/>
      <c r="R423" s="556"/>
      <c r="S423" s="556"/>
      <c r="T423" s="556"/>
      <c r="U423" s="556"/>
      <c r="V423" s="557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0" t="s">
        <v>650</v>
      </c>
      <c r="B424" s="554"/>
      <c r="C424" s="554"/>
      <c r="D424" s="554"/>
      <c r="E424" s="554"/>
      <c r="F424" s="554"/>
      <c r="G424" s="554"/>
      <c r="H424" s="554"/>
      <c r="I424" s="554"/>
      <c r="J424" s="554"/>
      <c r="K424" s="554"/>
      <c r="L424" s="554"/>
      <c r="M424" s="554"/>
      <c r="N424" s="554"/>
      <c r="O424" s="554"/>
      <c r="P424" s="554"/>
      <c r="Q424" s="554"/>
      <c r="R424" s="554"/>
      <c r="S424" s="554"/>
      <c r="T424" s="554"/>
      <c r="U424" s="554"/>
      <c r="V424" s="554"/>
      <c r="W424" s="554"/>
      <c r="X424" s="554"/>
      <c r="Y424" s="554"/>
      <c r="Z424" s="554"/>
      <c r="AA424" s="544"/>
      <c r="AB424" s="544"/>
      <c r="AC424" s="544"/>
    </row>
    <row r="425" spans="1:68" ht="14.25" hidden="1" customHeight="1" x14ac:dyDescent="0.25">
      <c r="A425" s="553" t="s">
        <v>63</v>
      </c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4"/>
      <c r="P425" s="554"/>
      <c r="Q425" s="554"/>
      <c r="R425" s="554"/>
      <c r="S425" s="554"/>
      <c r="T425" s="554"/>
      <c r="U425" s="554"/>
      <c r="V425" s="554"/>
      <c r="W425" s="554"/>
      <c r="X425" s="554"/>
      <c r="Y425" s="554"/>
      <c r="Z425" s="554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7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4"/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65"/>
      <c r="P427" s="555" t="s">
        <v>70</v>
      </c>
      <c r="Q427" s="556"/>
      <c r="R427" s="556"/>
      <c r="S427" s="556"/>
      <c r="T427" s="556"/>
      <c r="U427" s="556"/>
      <c r="V427" s="557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4"/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65"/>
      <c r="P428" s="555" t="s">
        <v>70</v>
      </c>
      <c r="Q428" s="556"/>
      <c r="R428" s="556"/>
      <c r="S428" s="556"/>
      <c r="T428" s="556"/>
      <c r="U428" s="556"/>
      <c r="V428" s="557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72" t="s">
        <v>654</v>
      </c>
      <c r="B429" s="573"/>
      <c r="C429" s="573"/>
      <c r="D429" s="573"/>
      <c r="E429" s="573"/>
      <c r="F429" s="573"/>
      <c r="G429" s="573"/>
      <c r="H429" s="573"/>
      <c r="I429" s="573"/>
      <c r="J429" s="573"/>
      <c r="K429" s="573"/>
      <c r="L429" s="573"/>
      <c r="M429" s="573"/>
      <c r="N429" s="573"/>
      <c r="O429" s="573"/>
      <c r="P429" s="573"/>
      <c r="Q429" s="573"/>
      <c r="R429" s="573"/>
      <c r="S429" s="573"/>
      <c r="T429" s="573"/>
      <c r="U429" s="573"/>
      <c r="V429" s="573"/>
      <c r="W429" s="573"/>
      <c r="X429" s="573"/>
      <c r="Y429" s="573"/>
      <c r="Z429" s="573"/>
      <c r="AA429" s="48"/>
      <c r="AB429" s="48"/>
      <c r="AC429" s="48"/>
    </row>
    <row r="430" spans="1:68" ht="16.5" hidden="1" customHeight="1" x14ac:dyDescent="0.25">
      <c r="A430" s="560" t="s">
        <v>654</v>
      </c>
      <c r="B430" s="554"/>
      <c r="C430" s="554"/>
      <c r="D430" s="554"/>
      <c r="E430" s="554"/>
      <c r="F430" s="554"/>
      <c r="G430" s="554"/>
      <c r="H430" s="554"/>
      <c r="I430" s="554"/>
      <c r="J430" s="554"/>
      <c r="K430" s="554"/>
      <c r="L430" s="554"/>
      <c r="M430" s="554"/>
      <c r="N430" s="554"/>
      <c r="O430" s="554"/>
      <c r="P430" s="554"/>
      <c r="Q430" s="554"/>
      <c r="R430" s="554"/>
      <c r="S430" s="554"/>
      <c r="T430" s="554"/>
      <c r="U430" s="554"/>
      <c r="V430" s="554"/>
      <c r="W430" s="554"/>
      <c r="X430" s="554"/>
      <c r="Y430" s="554"/>
      <c r="Z430" s="554"/>
      <c r="AA430" s="544"/>
      <c r="AB430" s="544"/>
      <c r="AC430" s="544"/>
    </row>
    <row r="431" spans="1:68" ht="14.25" hidden="1" customHeight="1" x14ac:dyDescent="0.25">
      <c r="A431" s="553" t="s">
        <v>102</v>
      </c>
      <c r="B431" s="554"/>
      <c r="C431" s="554"/>
      <c r="D431" s="554"/>
      <c r="E431" s="554"/>
      <c r="F431" s="554"/>
      <c r="G431" s="554"/>
      <c r="H431" s="554"/>
      <c r="I431" s="554"/>
      <c r="J431" s="554"/>
      <c r="K431" s="554"/>
      <c r="L431" s="554"/>
      <c r="M431" s="554"/>
      <c r="N431" s="554"/>
      <c r="O431" s="554"/>
      <c r="P431" s="554"/>
      <c r="Q431" s="554"/>
      <c r="R431" s="554"/>
      <c r="S431" s="554"/>
      <c r="T431" s="554"/>
      <c r="U431" s="554"/>
      <c r="V431" s="554"/>
      <c r="W431" s="554"/>
      <c r="X431" s="554"/>
      <c r="Y431" s="554"/>
      <c r="Z431" s="554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49">
        <v>20</v>
      </c>
      <c r="Y432" s="550">
        <f t="shared" ref="Y432:Y443" si="54">IFERROR(IF(X432="",0,CEILING((X432/$H432),1)*$H432),"")</f>
        <v>21.12</v>
      </c>
      <c r="Z432" s="36">
        <f t="shared" ref="Z432:Z437" si="55">IFERROR(IF(Y432=0,"",ROUNDUP(Y432/H432,0)*0.01196),"")</f>
        <v>4.7840000000000001E-2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21.363636363636363</v>
      </c>
      <c r="BN432" s="64">
        <f t="shared" ref="BN432:BN443" si="57">IFERROR(Y432*I432/H432,"0")</f>
        <v>22.56</v>
      </c>
      <c r="BO432" s="64">
        <f t="shared" ref="BO432:BO443" si="58">IFERROR(1/J432*(X432/H432),"0")</f>
        <v>3.6421911421911424E-2</v>
      </c>
      <c r="BP432" s="64">
        <f t="shared" ref="BP432:BP443" si="59">IFERROR(1/J432*(Y432/H432),"0")</f>
        <v>3.8461538461538464E-2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49">
        <v>20</v>
      </c>
      <c r="Y433" s="550">
        <f t="shared" si="54"/>
        <v>21.12</v>
      </c>
      <c r="Z433" s="36">
        <f t="shared" si="55"/>
        <v>4.7840000000000001E-2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21.363636363636363</v>
      </c>
      <c r="BN433" s="64">
        <f t="shared" si="57"/>
        <v>22.56</v>
      </c>
      <c r="BO433" s="64">
        <f t="shared" si="58"/>
        <v>3.6421911421911424E-2</v>
      </c>
      <c r="BP433" s="64">
        <f t="shared" si="59"/>
        <v>3.8461538461538464E-2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49">
        <v>90</v>
      </c>
      <c r="Y434" s="550">
        <f t="shared" si="54"/>
        <v>95.04</v>
      </c>
      <c r="Z434" s="36">
        <f t="shared" si="55"/>
        <v>0.21528</v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96.136363636363626</v>
      </c>
      <c r="BN434" s="64">
        <f t="shared" si="57"/>
        <v>101.52000000000001</v>
      </c>
      <c r="BO434" s="64">
        <f t="shared" si="58"/>
        <v>0.16389860139860138</v>
      </c>
      <c r="BP434" s="64">
        <f t="shared" si="59"/>
        <v>0.17307692307692307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9" t="s">
        <v>666</v>
      </c>
      <c r="Q435" s="562"/>
      <c r="R435" s="562"/>
      <c r="S435" s="562"/>
      <c r="T435" s="563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49">
        <v>100</v>
      </c>
      <c r="Y437" s="550">
        <f t="shared" si="54"/>
        <v>100.32000000000001</v>
      </c>
      <c r="Z437" s="36">
        <f t="shared" si="55"/>
        <v>0.22724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106.81818181818181</v>
      </c>
      <c r="BN437" s="64">
        <f t="shared" si="57"/>
        <v>107.16</v>
      </c>
      <c r="BO437" s="64">
        <f t="shared" si="58"/>
        <v>0.18210955710955709</v>
      </c>
      <c r="BP437" s="64">
        <f t="shared" si="59"/>
        <v>0.18269230769230771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2"/>
      <c r="R438" s="562"/>
      <c r="S438" s="562"/>
      <c r="T438" s="563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2"/>
      <c r="R439" s="562"/>
      <c r="S439" s="562"/>
      <c r="T439" s="563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0" t="s">
        <v>680</v>
      </c>
      <c r="Q440" s="562"/>
      <c r="R440" s="562"/>
      <c r="S440" s="562"/>
      <c r="T440" s="563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2"/>
      <c r="R441" s="562"/>
      <c r="S441" s="562"/>
      <c r="T441" s="563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8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79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5"/>
      <c r="P444" s="555" t="s">
        <v>70</v>
      </c>
      <c r="Q444" s="556"/>
      <c r="R444" s="556"/>
      <c r="S444" s="556"/>
      <c r="T444" s="556"/>
      <c r="U444" s="556"/>
      <c r="V444" s="557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43.560606060606055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45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0.53820000000000001</v>
      </c>
      <c r="AA444" s="552"/>
      <c r="AB444" s="552"/>
      <c r="AC444" s="552"/>
    </row>
    <row r="445" spans="1:68" x14ac:dyDescent="0.2">
      <c r="A445" s="554"/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65"/>
      <c r="P445" s="555" t="s">
        <v>70</v>
      </c>
      <c r="Q445" s="556"/>
      <c r="R445" s="556"/>
      <c r="S445" s="556"/>
      <c r="T445" s="556"/>
      <c r="U445" s="556"/>
      <c r="V445" s="557"/>
      <c r="W445" s="37" t="s">
        <v>68</v>
      </c>
      <c r="X445" s="551">
        <f>IFERROR(SUM(X432:X443),"0")</f>
        <v>230</v>
      </c>
      <c r="Y445" s="551">
        <f>IFERROR(SUM(Y432:Y443),"0")</f>
        <v>237.60000000000002</v>
      </c>
      <c r="Z445" s="37"/>
      <c r="AA445" s="552"/>
      <c r="AB445" s="552"/>
      <c r="AC445" s="552"/>
    </row>
    <row r="446" spans="1:68" ht="14.25" hidden="1" customHeight="1" x14ac:dyDescent="0.25">
      <c r="A446" s="553" t="s">
        <v>134</v>
      </c>
      <c r="B446" s="554"/>
      <c r="C446" s="554"/>
      <c r="D446" s="554"/>
      <c r="E446" s="554"/>
      <c r="F446" s="554"/>
      <c r="G446" s="554"/>
      <c r="H446" s="554"/>
      <c r="I446" s="554"/>
      <c r="J446" s="554"/>
      <c r="K446" s="554"/>
      <c r="L446" s="554"/>
      <c r="M446" s="554"/>
      <c r="N446" s="554"/>
      <c r="O446" s="554"/>
      <c r="P446" s="554"/>
      <c r="Q446" s="554"/>
      <c r="R446" s="554"/>
      <c r="S446" s="554"/>
      <c r="T446" s="554"/>
      <c r="U446" s="554"/>
      <c r="V446" s="554"/>
      <c r="W446" s="554"/>
      <c r="X446" s="554"/>
      <c r="Y446" s="554"/>
      <c r="Z446" s="554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2"/>
      <c r="R447" s="562"/>
      <c r="S447" s="562"/>
      <c r="T447" s="563"/>
      <c r="U447" s="34"/>
      <c r="V447" s="34"/>
      <c r="W447" s="35" t="s">
        <v>68</v>
      </c>
      <c r="X447" s="549">
        <v>150</v>
      </c>
      <c r="Y447" s="550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6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2"/>
      <c r="R448" s="562"/>
      <c r="S448" s="562"/>
      <c r="T448" s="563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59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2"/>
      <c r="R449" s="562"/>
      <c r="S449" s="562"/>
      <c r="T449" s="563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5"/>
      <c r="P450" s="555" t="s">
        <v>70</v>
      </c>
      <c r="Q450" s="556"/>
      <c r="R450" s="556"/>
      <c r="S450" s="556"/>
      <c r="T450" s="556"/>
      <c r="U450" s="556"/>
      <c r="V450" s="557"/>
      <c r="W450" s="37" t="s">
        <v>71</v>
      </c>
      <c r="X450" s="551">
        <f>IFERROR(X447/H447,"0")+IFERROR(X448/H448,"0")+IFERROR(X449/H449,"0")</f>
        <v>28.409090909090907</v>
      </c>
      <c r="Y450" s="551">
        <f>IFERROR(Y447/H447,"0")+IFERROR(Y448/H448,"0")+IFERROR(Y449/H449,"0")</f>
        <v>29</v>
      </c>
      <c r="Z450" s="551">
        <f>IFERROR(IF(Z447="",0,Z447),"0")+IFERROR(IF(Z448="",0,Z448),"0")+IFERROR(IF(Z449="",0,Z449),"0")</f>
        <v>0.34683999999999998</v>
      </c>
      <c r="AA450" s="552"/>
      <c r="AB450" s="552"/>
      <c r="AC450" s="552"/>
    </row>
    <row r="451" spans="1:68" x14ac:dyDescent="0.2">
      <c r="A451" s="554"/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65"/>
      <c r="P451" s="555" t="s">
        <v>70</v>
      </c>
      <c r="Q451" s="556"/>
      <c r="R451" s="556"/>
      <c r="S451" s="556"/>
      <c r="T451" s="556"/>
      <c r="U451" s="556"/>
      <c r="V451" s="557"/>
      <c r="W451" s="37" t="s">
        <v>68</v>
      </c>
      <c r="X451" s="551">
        <f>IFERROR(SUM(X447:X449),"0")</f>
        <v>150</v>
      </c>
      <c r="Y451" s="551">
        <f>IFERROR(SUM(Y447:Y449),"0")</f>
        <v>153.12</v>
      </c>
      <c r="Z451" s="37"/>
      <c r="AA451" s="552"/>
      <c r="AB451" s="552"/>
      <c r="AC451" s="552"/>
    </row>
    <row r="452" spans="1:68" ht="14.25" hidden="1" customHeight="1" x14ac:dyDescent="0.25">
      <c r="A452" s="553" t="s">
        <v>63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4"/>
      <c r="Y452" s="554"/>
      <c r="Z452" s="554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2"/>
      <c r="R453" s="562"/>
      <c r="S453" s="562"/>
      <c r="T453" s="563"/>
      <c r="U453" s="34"/>
      <c r="V453" s="34"/>
      <c r="W453" s="35" t="s">
        <v>68</v>
      </c>
      <c r="X453" s="549">
        <v>70</v>
      </c>
      <c r="Y453" s="550">
        <f t="shared" ref="Y453:Y458" si="60">IFERROR(IF(X453="",0,CEILING((X453/$H453),1)*$H453),"")</f>
        <v>73.92</v>
      </c>
      <c r="Z453" s="36">
        <f>IFERROR(IF(Y453=0,"",ROUNDUP(Y453/H453,0)*0.01196),"")</f>
        <v>0.16744000000000001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74.772727272727266</v>
      </c>
      <c r="BN453" s="64">
        <f t="shared" ref="BN453:BN458" si="62">IFERROR(Y453*I453/H453,"0")</f>
        <v>78.959999999999994</v>
      </c>
      <c r="BO453" s="64">
        <f t="shared" ref="BO453:BO458" si="63">IFERROR(1/J453*(X453/H453),"0")</f>
        <v>0.12747668997668998</v>
      </c>
      <c r="BP453" s="64">
        <f t="shared" ref="BP453:BP458" si="64">IFERROR(1/J453*(Y453/H453),"0")</f>
        <v>0.13461538461538464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2"/>
      <c r="R454" s="562"/>
      <c r="S454" s="562"/>
      <c r="T454" s="563"/>
      <c r="U454" s="34"/>
      <c r="V454" s="34"/>
      <c r="W454" s="35" t="s">
        <v>68</v>
      </c>
      <c r="X454" s="549">
        <v>40</v>
      </c>
      <c r="Y454" s="550">
        <f t="shared" si="60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42.727272727272727</v>
      </c>
      <c r="BN454" s="64">
        <f t="shared" si="62"/>
        <v>45.12</v>
      </c>
      <c r="BO454" s="64">
        <f t="shared" si="63"/>
        <v>7.2843822843822847E-2</v>
      </c>
      <c r="BP454" s="64">
        <f t="shared" si="64"/>
        <v>7.6923076923076927E-2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49">
        <v>40</v>
      </c>
      <c r="Y455" s="550">
        <f t="shared" si="60"/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42.727272727272727</v>
      </c>
      <c r="BN455" s="64">
        <f t="shared" si="62"/>
        <v>45.12</v>
      </c>
      <c r="BO455" s="64">
        <f t="shared" si="63"/>
        <v>7.2843822843822847E-2</v>
      </c>
      <c r="BP455" s="64">
        <f t="shared" si="64"/>
        <v>7.6923076923076927E-2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7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2"/>
      <c r="R457" s="562"/>
      <c r="S457" s="562"/>
      <c r="T457" s="563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2"/>
      <c r="R458" s="562"/>
      <c r="S458" s="562"/>
      <c r="T458" s="563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5"/>
      <c r="P459" s="555" t="s">
        <v>70</v>
      </c>
      <c r="Q459" s="556"/>
      <c r="R459" s="556"/>
      <c r="S459" s="556"/>
      <c r="T459" s="556"/>
      <c r="U459" s="556"/>
      <c r="V459" s="557"/>
      <c r="W459" s="37" t="s">
        <v>71</v>
      </c>
      <c r="X459" s="551">
        <f>IFERROR(X453/H453,"0")+IFERROR(X454/H454,"0")+IFERROR(X455/H455,"0")+IFERROR(X456/H456,"0")+IFERROR(X457/H457,"0")+IFERROR(X458/H458,"0")</f>
        <v>28.409090909090907</v>
      </c>
      <c r="Y459" s="551">
        <f>IFERROR(Y453/H453,"0")+IFERROR(Y454/H454,"0")+IFERROR(Y455/H455,"0")+IFERROR(Y456/H456,"0")+IFERROR(Y457/H457,"0")+IFERROR(Y458/H458,"0")</f>
        <v>30</v>
      </c>
      <c r="Z459" s="551">
        <f>IFERROR(IF(Z453="",0,Z453),"0")+IFERROR(IF(Z454="",0,Z454),"0")+IFERROR(IF(Z455="",0,Z455),"0")+IFERROR(IF(Z456="",0,Z456),"0")+IFERROR(IF(Z457="",0,Z457),"0")+IFERROR(IF(Z458="",0,Z458),"0")</f>
        <v>0.35880000000000001</v>
      </c>
      <c r="AA459" s="552"/>
      <c r="AB459" s="552"/>
      <c r="AC459" s="552"/>
    </row>
    <row r="460" spans="1:68" x14ac:dyDescent="0.2">
      <c r="A460" s="554"/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65"/>
      <c r="P460" s="555" t="s">
        <v>70</v>
      </c>
      <c r="Q460" s="556"/>
      <c r="R460" s="556"/>
      <c r="S460" s="556"/>
      <c r="T460" s="556"/>
      <c r="U460" s="556"/>
      <c r="V460" s="557"/>
      <c r="W460" s="37" t="s">
        <v>68</v>
      </c>
      <c r="X460" s="551">
        <f>IFERROR(SUM(X453:X458),"0")</f>
        <v>150</v>
      </c>
      <c r="Y460" s="551">
        <f>IFERROR(SUM(Y453:Y458),"0")</f>
        <v>158.4</v>
      </c>
      <c r="Z460" s="37"/>
      <c r="AA460" s="552"/>
      <c r="AB460" s="552"/>
      <c r="AC460" s="552"/>
    </row>
    <row r="461" spans="1:68" ht="14.25" hidden="1" customHeight="1" x14ac:dyDescent="0.25">
      <c r="A461" s="553" t="s">
        <v>72</v>
      </c>
      <c r="B461" s="554"/>
      <c r="C461" s="554"/>
      <c r="D461" s="554"/>
      <c r="E461" s="554"/>
      <c r="F461" s="554"/>
      <c r="G461" s="554"/>
      <c r="H461" s="554"/>
      <c r="I461" s="554"/>
      <c r="J461" s="554"/>
      <c r="K461" s="554"/>
      <c r="L461" s="554"/>
      <c r="M461" s="554"/>
      <c r="N461" s="554"/>
      <c r="O461" s="554"/>
      <c r="P461" s="554"/>
      <c r="Q461" s="554"/>
      <c r="R461" s="554"/>
      <c r="S461" s="554"/>
      <c r="T461" s="554"/>
      <c r="U461" s="554"/>
      <c r="V461" s="554"/>
      <c r="W461" s="554"/>
      <c r="X461" s="554"/>
      <c r="Y461" s="554"/>
      <c r="Z461" s="554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2"/>
      <c r="R462" s="562"/>
      <c r="S462" s="562"/>
      <c r="T462" s="563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6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2"/>
      <c r="R463" s="562"/>
      <c r="S463" s="562"/>
      <c r="T463" s="563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8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2"/>
      <c r="R464" s="562"/>
      <c r="S464" s="562"/>
      <c r="T464" s="563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5"/>
      <c r="P465" s="555" t="s">
        <v>70</v>
      </c>
      <c r="Q465" s="556"/>
      <c r="R465" s="556"/>
      <c r="S465" s="556"/>
      <c r="T465" s="556"/>
      <c r="U465" s="556"/>
      <c r="V465" s="557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4"/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65"/>
      <c r="P466" s="555" t="s">
        <v>70</v>
      </c>
      <c r="Q466" s="556"/>
      <c r="R466" s="556"/>
      <c r="S466" s="556"/>
      <c r="T466" s="556"/>
      <c r="U466" s="556"/>
      <c r="V466" s="557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72" t="s">
        <v>718</v>
      </c>
      <c r="B467" s="573"/>
      <c r="C467" s="573"/>
      <c r="D467" s="573"/>
      <c r="E467" s="573"/>
      <c r="F467" s="573"/>
      <c r="G467" s="573"/>
      <c r="H467" s="573"/>
      <c r="I467" s="573"/>
      <c r="J467" s="573"/>
      <c r="K467" s="573"/>
      <c r="L467" s="573"/>
      <c r="M467" s="573"/>
      <c r="N467" s="573"/>
      <c r="O467" s="573"/>
      <c r="P467" s="573"/>
      <c r="Q467" s="573"/>
      <c r="R467" s="573"/>
      <c r="S467" s="573"/>
      <c r="T467" s="573"/>
      <c r="U467" s="573"/>
      <c r="V467" s="573"/>
      <c r="W467" s="573"/>
      <c r="X467" s="573"/>
      <c r="Y467" s="573"/>
      <c r="Z467" s="573"/>
      <c r="AA467" s="48"/>
      <c r="AB467" s="48"/>
      <c r="AC467" s="48"/>
    </row>
    <row r="468" spans="1:68" ht="16.5" hidden="1" customHeight="1" x14ac:dyDescent="0.25">
      <c r="A468" s="560" t="s">
        <v>718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4"/>
      <c r="AB468" s="544"/>
      <c r="AC468" s="544"/>
    </row>
    <row r="469" spans="1:68" ht="14.25" hidden="1" customHeight="1" x14ac:dyDescent="0.25">
      <c r="A469" s="553" t="s">
        <v>102</v>
      </c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4"/>
      <c r="P469" s="554"/>
      <c r="Q469" s="554"/>
      <c r="R469" s="554"/>
      <c r="S469" s="554"/>
      <c r="T469" s="554"/>
      <c r="U469" s="554"/>
      <c r="V469" s="554"/>
      <c r="W469" s="554"/>
      <c r="X469" s="554"/>
      <c r="Y469" s="554"/>
      <c r="Z469" s="554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6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2"/>
      <c r="R470" s="562"/>
      <c r="S470" s="562"/>
      <c r="T470" s="563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2"/>
      <c r="R471" s="562"/>
      <c r="S471" s="562"/>
      <c r="T471" s="563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6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2"/>
      <c r="R472" s="562"/>
      <c r="S472" s="562"/>
      <c r="T472" s="563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84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5"/>
      <c r="P474" s="555" t="s">
        <v>70</v>
      </c>
      <c r="Q474" s="556"/>
      <c r="R474" s="556"/>
      <c r="S474" s="556"/>
      <c r="T474" s="556"/>
      <c r="U474" s="556"/>
      <c r="V474" s="557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hidden="1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65"/>
      <c r="P475" s="555" t="s">
        <v>70</v>
      </c>
      <c r="Q475" s="556"/>
      <c r="R475" s="556"/>
      <c r="S475" s="556"/>
      <c r="T475" s="556"/>
      <c r="U475" s="556"/>
      <c r="V475" s="557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hidden="1" customHeight="1" x14ac:dyDescent="0.25">
      <c r="A476" s="553" t="s">
        <v>134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2"/>
      <c r="R477" s="562"/>
      <c r="S477" s="562"/>
      <c r="T477" s="563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659" t="s">
        <v>735</v>
      </c>
      <c r="Q478" s="562"/>
      <c r="R478" s="562"/>
      <c r="S478" s="562"/>
      <c r="T478" s="563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85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2"/>
      <c r="R479" s="562"/>
      <c r="S479" s="562"/>
      <c r="T479" s="563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5"/>
      <c r="P480" s="555" t="s">
        <v>70</v>
      </c>
      <c r="Q480" s="556"/>
      <c r="R480" s="556"/>
      <c r="S480" s="556"/>
      <c r="T480" s="556"/>
      <c r="U480" s="556"/>
      <c r="V480" s="557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4"/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65"/>
      <c r="P481" s="555" t="s">
        <v>70</v>
      </c>
      <c r="Q481" s="556"/>
      <c r="R481" s="556"/>
      <c r="S481" s="556"/>
      <c r="T481" s="556"/>
      <c r="U481" s="556"/>
      <c r="V481" s="557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3" t="s">
        <v>63</v>
      </c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4"/>
      <c r="P482" s="554"/>
      <c r="Q482" s="554"/>
      <c r="R482" s="554"/>
      <c r="S482" s="554"/>
      <c r="T482" s="554"/>
      <c r="U482" s="554"/>
      <c r="V482" s="554"/>
      <c r="W482" s="554"/>
      <c r="X482" s="554"/>
      <c r="Y482" s="554"/>
      <c r="Z482" s="554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5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2"/>
      <c r="R483" s="562"/>
      <c r="S483" s="562"/>
      <c r="T483" s="563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61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2"/>
      <c r="R484" s="562"/>
      <c r="S484" s="562"/>
      <c r="T484" s="563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5"/>
      <c r="P485" s="555" t="s">
        <v>70</v>
      </c>
      <c r="Q485" s="556"/>
      <c r="R485" s="556"/>
      <c r="S485" s="556"/>
      <c r="T485" s="556"/>
      <c r="U485" s="556"/>
      <c r="V485" s="557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hidden="1" x14ac:dyDescent="0.2">
      <c r="A486" s="554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65"/>
      <c r="P486" s="555" t="s">
        <v>70</v>
      </c>
      <c r="Q486" s="556"/>
      <c r="R486" s="556"/>
      <c r="S486" s="556"/>
      <c r="T486" s="556"/>
      <c r="U486" s="556"/>
      <c r="V486" s="557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hidden="1" customHeight="1" x14ac:dyDescent="0.25">
      <c r="A487" s="553" t="s">
        <v>72</v>
      </c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4"/>
      <c r="P487" s="554"/>
      <c r="Q487" s="554"/>
      <c r="R487" s="554"/>
      <c r="S487" s="554"/>
      <c r="T487" s="554"/>
      <c r="U487" s="554"/>
      <c r="V487" s="554"/>
      <c r="W487" s="554"/>
      <c r="X487" s="554"/>
      <c r="Y487" s="554"/>
      <c r="Z487" s="554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2"/>
      <c r="R488" s="562"/>
      <c r="S488" s="562"/>
      <c r="T488" s="563"/>
      <c r="U488" s="34"/>
      <c r="V488" s="34"/>
      <c r="W488" s="35" t="s">
        <v>68</v>
      </c>
      <c r="X488" s="549">
        <v>100</v>
      </c>
      <c r="Y488" s="550">
        <f>IFERROR(IF(X488="",0,CEILING((X488/$H488),1)*$H488),"")</f>
        <v>108</v>
      </c>
      <c r="Z488" s="36">
        <f>IFERROR(IF(Y488=0,"",ROUNDUP(Y488/H488,0)*0.01898),"")</f>
        <v>0.22776000000000002</v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105.76666666666667</v>
      </c>
      <c r="BN488" s="64">
        <f>IFERROR(Y488*I488/H488,"0")</f>
        <v>114.22799999999999</v>
      </c>
      <c r="BO488" s="64">
        <f>IFERROR(1/J488*(X488/H488),"0")</f>
        <v>0.1736111111111111</v>
      </c>
      <c r="BP488" s="64">
        <f>IFERROR(1/J488*(Y488/H488),"0")</f>
        <v>0.1875</v>
      </c>
    </row>
    <row r="489" spans="1:68" x14ac:dyDescent="0.2">
      <c r="A489" s="56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5"/>
      <c r="P489" s="555" t="s">
        <v>70</v>
      </c>
      <c r="Q489" s="556"/>
      <c r="R489" s="556"/>
      <c r="S489" s="556"/>
      <c r="T489" s="556"/>
      <c r="U489" s="556"/>
      <c r="V489" s="557"/>
      <c r="W489" s="37" t="s">
        <v>71</v>
      </c>
      <c r="X489" s="551">
        <f>IFERROR(X488/H488,"0")</f>
        <v>11.111111111111111</v>
      </c>
      <c r="Y489" s="551">
        <f>IFERROR(Y488/H488,"0")</f>
        <v>12</v>
      </c>
      <c r="Z489" s="551">
        <f>IFERROR(IF(Z488="",0,Z488),"0")</f>
        <v>0.22776000000000002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5"/>
      <c r="P490" s="555" t="s">
        <v>70</v>
      </c>
      <c r="Q490" s="556"/>
      <c r="R490" s="556"/>
      <c r="S490" s="556"/>
      <c r="T490" s="556"/>
      <c r="U490" s="556"/>
      <c r="V490" s="557"/>
      <c r="W490" s="37" t="s">
        <v>68</v>
      </c>
      <c r="X490" s="551">
        <f>IFERROR(SUM(X488:X488),"0")</f>
        <v>100</v>
      </c>
      <c r="Y490" s="551">
        <f>IFERROR(SUM(Y488:Y488),"0")</f>
        <v>108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7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2"/>
      <c r="R493" s="562"/>
      <c r="S493" s="562"/>
      <c r="T493" s="563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5"/>
      <c r="P494" s="555" t="s">
        <v>70</v>
      </c>
      <c r="Q494" s="556"/>
      <c r="R494" s="556"/>
      <c r="S494" s="556"/>
      <c r="T494" s="556"/>
      <c r="U494" s="556"/>
      <c r="V494" s="557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5"/>
      <c r="P495" s="555" t="s">
        <v>70</v>
      </c>
      <c r="Q495" s="556"/>
      <c r="R495" s="556"/>
      <c r="S495" s="556"/>
      <c r="T495" s="556"/>
      <c r="U495" s="556"/>
      <c r="V495" s="557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0" t="s">
        <v>755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91" t="s">
        <v>758</v>
      </c>
      <c r="Q498" s="562"/>
      <c r="R498" s="562"/>
      <c r="S498" s="562"/>
      <c r="T498" s="563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5"/>
      <c r="P499" s="555" t="s">
        <v>70</v>
      </c>
      <c r="Q499" s="556"/>
      <c r="R499" s="556"/>
      <c r="S499" s="556"/>
      <c r="T499" s="556"/>
      <c r="U499" s="556"/>
      <c r="V499" s="557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5"/>
      <c r="P500" s="555" t="s">
        <v>70</v>
      </c>
      <c r="Q500" s="556"/>
      <c r="R500" s="556"/>
      <c r="S500" s="556"/>
      <c r="T500" s="556"/>
      <c r="U500" s="556"/>
      <c r="V500" s="557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41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42"/>
      <c r="P501" s="587" t="s">
        <v>760</v>
      </c>
      <c r="Q501" s="588"/>
      <c r="R501" s="588"/>
      <c r="S501" s="588"/>
      <c r="T501" s="588"/>
      <c r="U501" s="588"/>
      <c r="V501" s="569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2385.9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2483.2200000000003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42"/>
      <c r="P502" s="587" t="s">
        <v>761</v>
      </c>
      <c r="Q502" s="588"/>
      <c r="R502" s="588"/>
      <c r="S502" s="588"/>
      <c r="T502" s="588"/>
      <c r="U502" s="588"/>
      <c r="V502" s="569"/>
      <c r="W502" s="37" t="s">
        <v>68</v>
      </c>
      <c r="X502" s="551">
        <f>IFERROR(SUM(BM22:BM498),"0")</f>
        <v>2505.5510185000185</v>
      </c>
      <c r="Y502" s="551">
        <f>IFERROR(SUM(BN22:BN498),"0")</f>
        <v>2607.9239999999995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42"/>
      <c r="P503" s="587" t="s">
        <v>762</v>
      </c>
      <c r="Q503" s="588"/>
      <c r="R503" s="588"/>
      <c r="S503" s="588"/>
      <c r="T503" s="588"/>
      <c r="U503" s="588"/>
      <c r="V503" s="569"/>
      <c r="W503" s="37" t="s">
        <v>763</v>
      </c>
      <c r="X503" s="38">
        <f>ROUNDUP(SUM(BO22:BO498),0)</f>
        <v>4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42"/>
      <c r="P504" s="587" t="s">
        <v>764</v>
      </c>
      <c r="Q504" s="588"/>
      <c r="R504" s="588"/>
      <c r="S504" s="588"/>
      <c r="T504" s="588"/>
      <c r="U504" s="588"/>
      <c r="V504" s="569"/>
      <c r="W504" s="37" t="s">
        <v>68</v>
      </c>
      <c r="X504" s="551">
        <f>GrossWeightTotal+PalletQtyTotal*25</f>
        <v>2605.5510185000185</v>
      </c>
      <c r="Y504" s="551">
        <f>GrossWeightTotalR+PalletQtyTotalR*25</f>
        <v>2732.9239999999995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42"/>
      <c r="P505" s="587" t="s">
        <v>765</v>
      </c>
      <c r="Q505" s="588"/>
      <c r="R505" s="588"/>
      <c r="S505" s="588"/>
      <c r="T505" s="588"/>
      <c r="U505" s="588"/>
      <c r="V505" s="569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327.30240746907407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340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42"/>
      <c r="P506" s="587" t="s">
        <v>766</v>
      </c>
      <c r="Q506" s="588"/>
      <c r="R506" s="588"/>
      <c r="S506" s="588"/>
      <c r="T506" s="588"/>
      <c r="U506" s="588"/>
      <c r="V506" s="569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4.7409400000000002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85" t="s">
        <v>100</v>
      </c>
      <c r="D508" s="709"/>
      <c r="E508" s="709"/>
      <c r="F508" s="709"/>
      <c r="G508" s="709"/>
      <c r="H508" s="710"/>
      <c r="I508" s="585" t="s">
        <v>252</v>
      </c>
      <c r="J508" s="709"/>
      <c r="K508" s="709"/>
      <c r="L508" s="709"/>
      <c r="M508" s="709"/>
      <c r="N508" s="709"/>
      <c r="O508" s="709"/>
      <c r="P508" s="709"/>
      <c r="Q508" s="709"/>
      <c r="R508" s="709"/>
      <c r="S508" s="710"/>
      <c r="T508" s="585" t="s">
        <v>542</v>
      </c>
      <c r="U508" s="710"/>
      <c r="V508" s="585" t="s">
        <v>598</v>
      </c>
      <c r="W508" s="709"/>
      <c r="X508" s="709"/>
      <c r="Y508" s="710"/>
      <c r="Z508" s="546" t="s">
        <v>654</v>
      </c>
      <c r="AA508" s="585" t="s">
        <v>718</v>
      </c>
      <c r="AB508" s="710"/>
      <c r="AC508" s="52"/>
      <c r="AF508" s="547"/>
    </row>
    <row r="509" spans="1:68" ht="14.25" customHeight="1" thickTop="1" x14ac:dyDescent="0.2">
      <c r="A509" s="846" t="s">
        <v>769</v>
      </c>
      <c r="B509" s="585" t="s">
        <v>62</v>
      </c>
      <c r="C509" s="585" t="s">
        <v>101</v>
      </c>
      <c r="D509" s="585" t="s">
        <v>116</v>
      </c>
      <c r="E509" s="585" t="s">
        <v>171</v>
      </c>
      <c r="F509" s="585" t="s">
        <v>191</v>
      </c>
      <c r="G509" s="585" t="s">
        <v>224</v>
      </c>
      <c r="H509" s="585" t="s">
        <v>100</v>
      </c>
      <c r="I509" s="585" t="s">
        <v>253</v>
      </c>
      <c r="J509" s="585" t="s">
        <v>293</v>
      </c>
      <c r="K509" s="585" t="s">
        <v>353</v>
      </c>
      <c r="L509" s="585" t="s">
        <v>398</v>
      </c>
      <c r="M509" s="585" t="s">
        <v>414</v>
      </c>
      <c r="N509" s="547"/>
      <c r="O509" s="585" t="s">
        <v>428</v>
      </c>
      <c r="P509" s="585" t="s">
        <v>438</v>
      </c>
      <c r="Q509" s="585" t="s">
        <v>445</v>
      </c>
      <c r="R509" s="585" t="s">
        <v>450</v>
      </c>
      <c r="S509" s="585" t="s">
        <v>532</v>
      </c>
      <c r="T509" s="585" t="s">
        <v>543</v>
      </c>
      <c r="U509" s="585" t="s">
        <v>578</v>
      </c>
      <c r="V509" s="585" t="s">
        <v>599</v>
      </c>
      <c r="W509" s="585" t="s">
        <v>631</v>
      </c>
      <c r="X509" s="585" t="s">
        <v>646</v>
      </c>
      <c r="Y509" s="585" t="s">
        <v>650</v>
      </c>
      <c r="Z509" s="585" t="s">
        <v>654</v>
      </c>
      <c r="AA509" s="585" t="s">
        <v>718</v>
      </c>
      <c r="AB509" s="585" t="s">
        <v>755</v>
      </c>
      <c r="AC509" s="52"/>
      <c r="AF509" s="547"/>
    </row>
    <row r="510" spans="1:68" ht="13.5" customHeight="1" thickBot="1" x14ac:dyDescent="0.25">
      <c r="A510" s="847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47"/>
      <c r="O510" s="586"/>
      <c r="P510" s="586"/>
      <c r="Q510" s="586"/>
      <c r="R510" s="586"/>
      <c r="S510" s="586"/>
      <c r="T510" s="586"/>
      <c r="U510" s="586"/>
      <c r="V510" s="586"/>
      <c r="W510" s="586"/>
      <c r="X510" s="586"/>
      <c r="Y510" s="586"/>
      <c r="Z510" s="586"/>
      <c r="AA510" s="586"/>
      <c r="AB510" s="586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21.6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201.6</v>
      </c>
      <c r="E511" s="46">
        <f>IFERROR(Y87*1,"0")+IFERROR(Y88*1,"0")+IFERROR(Y89*1,"0")+IFERROR(Y93*1,"0")+IFERROR(Y94*1,"0")+IFERROR(Y95*1,"0")+IFERROR(Y96*1,"0")</f>
        <v>95.399999999999991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213.3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54.6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280.2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21.6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72</v>
      </c>
      <c r="S511" s="46">
        <f>IFERROR(Y336*1,"0")+IFERROR(Y337*1,"0")+IFERROR(Y338*1,"0")</f>
        <v>8.4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765</v>
      </c>
      <c r="U511" s="46">
        <f>IFERROR(Y369*1,"0")+IFERROR(Y370*1,"0")+IFERROR(Y371*1,"0")+IFERROR(Y375*1,"0")+IFERROR(Y379*1,"0")+IFERROR(Y380*1,"0")+IFERROR(Y384*1,"0")</f>
        <v>60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32.400000000000006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549.12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108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,85"/>
        <filter val="10,00"/>
        <filter val="10,80"/>
        <filter val="100,00"/>
        <filter val="11,11"/>
        <filter val="11,90"/>
        <filter val="12,00"/>
        <filter val="14,40"/>
        <filter val="140,00"/>
        <filter val="15,94"/>
        <filter val="150,00"/>
        <filter val="172,00"/>
        <filter val="2 385,90"/>
        <filter val="2 505,55"/>
        <filter val="2 605,55"/>
        <filter val="20,00"/>
        <filter val="200,00"/>
        <filter val="210,80"/>
        <filter val="22,50"/>
        <filter val="230,00"/>
        <filter val="25,00"/>
        <filter val="25,26"/>
        <filter val="28,41"/>
        <filter val="28,69"/>
        <filter val="3,33"/>
        <filter val="30,00"/>
        <filter val="327,30"/>
        <filter val="37,04"/>
        <filter val="4"/>
        <filter val="4,00"/>
        <filter val="40,00"/>
        <filter val="400,00"/>
        <filter val="42,50"/>
        <filter val="43,56"/>
        <filter val="5,13"/>
        <filter val="5,56"/>
        <filter val="5,95"/>
        <filter val="50,00"/>
        <filter val="50,80"/>
        <filter val="6,85"/>
        <filter val="60,00"/>
        <filter val="600,00"/>
        <filter val="66,40"/>
        <filter val="70,00"/>
        <filter val="72,00"/>
        <filter val="8,40"/>
        <filter val="8,94"/>
        <filter val="90,00"/>
      </filters>
    </filterColumn>
    <filterColumn colId="29" showButton="0"/>
    <filterColumn colId="30" showButton="0"/>
  </autoFilter>
  <mergeCells count="894"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A402:Z402"/>
    <mergeCell ref="D229:E229"/>
    <mergeCell ref="D77:E77"/>
    <mergeCell ref="D108:E108"/>
    <mergeCell ref="D375:E375"/>
    <mergeCell ref="A111:O112"/>
    <mergeCell ref="P454:T454"/>
    <mergeCell ref="A427:O428"/>
    <mergeCell ref="A256:O257"/>
    <mergeCell ref="P391:T391"/>
    <mergeCell ref="D312:E312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P248:V248"/>
    <mergeCell ref="A266:Z266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280:V280"/>
    <mergeCell ref="A431:Z431"/>
    <mergeCell ref="D263:E263"/>
    <mergeCell ref="A363:Z363"/>
    <mergeCell ref="P437:T437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P489:V489"/>
    <mergeCell ref="D448:E448"/>
    <mergeCell ref="P480:V480"/>
    <mergeCell ref="D479:E479"/>
    <mergeCell ref="P479:T479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D403:E403"/>
    <mergeCell ref="P68:T68"/>
    <mergeCell ref="A247:O248"/>
    <mergeCell ref="P186:V186"/>
    <mergeCell ref="P465:V465"/>
    <mergeCell ref="D322:E322"/>
    <mergeCell ref="D260:E260"/>
    <mergeCell ref="P205:T205"/>
    <mergeCell ref="D453:E453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P492:T492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D207:E207"/>
    <mergeCell ref="P269:T269"/>
    <mergeCell ref="P164:T164"/>
    <mergeCell ref="D299:E299"/>
    <mergeCell ref="D370:E370"/>
    <mergeCell ref="P122:T122"/>
    <mergeCell ref="D166:E166"/>
    <mergeCell ref="D329:E329"/>
    <mergeCell ref="P160:T160"/>
    <mergeCell ref="D290:E290"/>
    <mergeCell ref="P98:V98"/>
    <mergeCell ref="P308:T308"/>
    <mergeCell ref="D391:E391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474:V474"/>
    <mergeCell ref="A155:Z155"/>
    <mergeCell ref="P401:V401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P285:V28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A476:Z476"/>
    <mergeCell ref="P509:P510"/>
    <mergeCell ref="P484:T484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A39:Z39"/>
    <mergeCell ref="A44:O45"/>
    <mergeCell ref="P134:V134"/>
    <mergeCell ref="P339:V3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