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5,25 ПОКОМ КИ Ташкент\"/>
    </mc:Choice>
  </mc:AlternateContent>
  <xr:revisionPtr revIDLastSave="0" documentId="13_ncr:1_{C11661A4-009C-43F4-AEC6-64D5FFDBEA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Sheet!$A$3:$AG$79</definedName>
  </definedNames>
  <calcPr calcId="191029"/>
</workbook>
</file>

<file path=xl/calcChain.xml><?xml version="1.0" encoding="utf-8"?>
<calcChain xmlns="http://schemas.openxmlformats.org/spreadsheetml/2006/main">
  <c r="AG49" i="1" l="1"/>
  <c r="AG36" i="1"/>
  <c r="AG35" i="1"/>
  <c r="AG8" i="1"/>
  <c r="F55" i="1"/>
  <c r="E55" i="1"/>
  <c r="P55" i="1" s="1"/>
  <c r="F54" i="1"/>
  <c r="E54" i="1"/>
  <c r="K54" i="1" s="1"/>
  <c r="F53" i="1"/>
  <c r="E53" i="1"/>
  <c r="K53" i="1" s="1"/>
  <c r="F50" i="1"/>
  <c r="E50" i="1"/>
  <c r="P50" i="1" s="1"/>
  <c r="F48" i="1"/>
  <c r="F44" i="1" s="1"/>
  <c r="E48" i="1"/>
  <c r="E44" i="1" s="1"/>
  <c r="K44" i="1" s="1"/>
  <c r="F47" i="1"/>
  <c r="E47" i="1"/>
  <c r="P47" i="1" s="1"/>
  <c r="AG47" i="1" s="1"/>
  <c r="F46" i="1"/>
  <c r="E46" i="1"/>
  <c r="P46" i="1" s="1"/>
  <c r="F43" i="1"/>
  <c r="E43" i="1"/>
  <c r="P43" i="1" s="1"/>
  <c r="F40" i="1"/>
  <c r="E40" i="1"/>
  <c r="P40" i="1" s="1"/>
  <c r="F39" i="1"/>
  <c r="E39" i="1"/>
  <c r="K39" i="1" s="1"/>
  <c r="F38" i="1"/>
  <c r="E38" i="1"/>
  <c r="K38" i="1" s="1"/>
  <c r="F35" i="1"/>
  <c r="E35" i="1"/>
  <c r="P35" i="1" s="1"/>
  <c r="F29" i="1"/>
  <c r="E29" i="1"/>
  <c r="K29" i="1" s="1"/>
  <c r="F27" i="1"/>
  <c r="E27" i="1"/>
  <c r="K27" i="1" s="1"/>
  <c r="F23" i="1"/>
  <c r="E23" i="1"/>
  <c r="P23" i="1" s="1"/>
  <c r="F21" i="1"/>
  <c r="E21" i="1"/>
  <c r="P21" i="1" s="1"/>
  <c r="F20" i="1"/>
  <c r="E20" i="1"/>
  <c r="P20" i="1" s="1"/>
  <c r="F16" i="1"/>
  <c r="E16" i="1"/>
  <c r="K16" i="1" s="1"/>
  <c r="F15" i="1"/>
  <c r="E15" i="1"/>
  <c r="K15" i="1" s="1"/>
  <c r="F13" i="1"/>
  <c r="E13" i="1"/>
  <c r="P13" i="1" s="1"/>
  <c r="F12" i="1"/>
  <c r="E12" i="1"/>
  <c r="P12" i="1" s="1"/>
  <c r="AG12" i="1" s="1"/>
  <c r="F7" i="1"/>
  <c r="E7" i="1"/>
  <c r="P7" i="1" s="1"/>
  <c r="AG7" i="1" s="1"/>
  <c r="F6" i="1"/>
  <c r="E6" i="1"/>
  <c r="K6" i="1" s="1"/>
  <c r="P8" i="1"/>
  <c r="U8" i="1" s="1"/>
  <c r="P9" i="1"/>
  <c r="U9" i="1" s="1"/>
  <c r="P10" i="1"/>
  <c r="U10" i="1" s="1"/>
  <c r="P11" i="1"/>
  <c r="U11" i="1" s="1"/>
  <c r="P14" i="1"/>
  <c r="Q14" i="1" s="1"/>
  <c r="P17" i="1"/>
  <c r="Q17" i="1" s="1"/>
  <c r="AG17" i="1" s="1"/>
  <c r="P18" i="1"/>
  <c r="Q18" i="1" s="1"/>
  <c r="AG18" i="1" s="1"/>
  <c r="P19" i="1"/>
  <c r="U19" i="1" s="1"/>
  <c r="P22" i="1"/>
  <c r="P24" i="1"/>
  <c r="U24" i="1" s="1"/>
  <c r="P25" i="1"/>
  <c r="Q25" i="1" s="1"/>
  <c r="AG25" i="1" s="1"/>
  <c r="P26" i="1"/>
  <c r="U26" i="1" s="1"/>
  <c r="P28" i="1"/>
  <c r="U28" i="1" s="1"/>
  <c r="P30" i="1"/>
  <c r="U30" i="1" s="1"/>
  <c r="P31" i="1"/>
  <c r="U31" i="1" s="1"/>
  <c r="P32" i="1"/>
  <c r="U32" i="1" s="1"/>
  <c r="P33" i="1"/>
  <c r="U33" i="1" s="1"/>
  <c r="P34" i="1"/>
  <c r="T34" i="1" s="1"/>
  <c r="P36" i="1"/>
  <c r="P37" i="1"/>
  <c r="AG37" i="1" s="1"/>
  <c r="P41" i="1"/>
  <c r="Q41" i="1" s="1"/>
  <c r="P42" i="1"/>
  <c r="P45" i="1"/>
  <c r="P49" i="1"/>
  <c r="U49" i="1" s="1"/>
  <c r="P51" i="1"/>
  <c r="U51" i="1" s="1"/>
  <c r="P52" i="1"/>
  <c r="U52" i="1" s="1"/>
  <c r="P56" i="1"/>
  <c r="T56" i="1" s="1"/>
  <c r="P57" i="1"/>
  <c r="T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T74" i="1" s="1"/>
  <c r="P75" i="1"/>
  <c r="T75" i="1" s="1"/>
  <c r="P76" i="1"/>
  <c r="T76" i="1" s="1"/>
  <c r="P77" i="1"/>
  <c r="T77" i="1" s="1"/>
  <c r="P78" i="1"/>
  <c r="T78" i="1" s="1"/>
  <c r="P79" i="1"/>
  <c r="T79" i="1" s="1"/>
  <c r="K52" i="1"/>
  <c r="K51" i="1"/>
  <c r="K49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2" i="1"/>
  <c r="K41" i="1"/>
  <c r="K37" i="1"/>
  <c r="K36" i="1"/>
  <c r="K34" i="1"/>
  <c r="K33" i="1"/>
  <c r="K32" i="1"/>
  <c r="K31" i="1"/>
  <c r="K30" i="1"/>
  <c r="K28" i="1"/>
  <c r="K26" i="1"/>
  <c r="K25" i="1"/>
  <c r="K24" i="1"/>
  <c r="K22" i="1"/>
  <c r="K19" i="1"/>
  <c r="K18" i="1"/>
  <c r="K17" i="1"/>
  <c r="K14" i="1"/>
  <c r="K11" i="1"/>
  <c r="K10" i="1"/>
  <c r="K9" i="1"/>
  <c r="K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43" i="1" l="1"/>
  <c r="Q52" i="1"/>
  <c r="Q33" i="1"/>
  <c r="Q20" i="1"/>
  <c r="AG20" i="1" s="1"/>
  <c r="Q28" i="1"/>
  <c r="Q19" i="1"/>
  <c r="Q30" i="1"/>
  <c r="AG14" i="1"/>
  <c r="Q23" i="1"/>
  <c r="Q40" i="1"/>
  <c r="AG40" i="1" s="1"/>
  <c r="Q22" i="1"/>
  <c r="AG22" i="1" s="1"/>
  <c r="Q50" i="1"/>
  <c r="AG50" i="1" s="1"/>
  <c r="Q46" i="1"/>
  <c r="AG46" i="1" s="1"/>
  <c r="AG43" i="1"/>
  <c r="Q42" i="1"/>
  <c r="AG42" i="1" s="1"/>
  <c r="AG23" i="1"/>
  <c r="Q13" i="1"/>
  <c r="AG13" i="1" s="1"/>
  <c r="K55" i="1"/>
  <c r="AG19" i="1"/>
  <c r="P48" i="1"/>
  <c r="U48" i="1" s="1"/>
  <c r="Q31" i="1"/>
  <c r="AG31" i="1" s="1"/>
  <c r="Q21" i="1"/>
  <c r="AG21" i="1" s="1"/>
  <c r="AG55" i="1"/>
  <c r="AG41" i="1"/>
  <c r="T37" i="1"/>
  <c r="T36" i="1"/>
  <c r="T18" i="1"/>
  <c r="AG24" i="1"/>
  <c r="Q45" i="1"/>
  <c r="AG45" i="1" s="1"/>
  <c r="AG26" i="1"/>
  <c r="AG28" i="1"/>
  <c r="Q51" i="1"/>
  <c r="AG51" i="1" s="1"/>
  <c r="K47" i="1"/>
  <c r="T25" i="1"/>
  <c r="AG10" i="1"/>
  <c r="AG30" i="1"/>
  <c r="AG52" i="1"/>
  <c r="Q11" i="1"/>
  <c r="AG11" i="1" s="1"/>
  <c r="K48" i="1"/>
  <c r="AG32" i="1"/>
  <c r="P54" i="1"/>
  <c r="AG54" i="1" s="1"/>
  <c r="AG33" i="1"/>
  <c r="T17" i="1"/>
  <c r="T14" i="1"/>
  <c r="K50" i="1"/>
  <c r="K46" i="1"/>
  <c r="P53" i="1"/>
  <c r="Q53" i="1" s="1"/>
  <c r="U47" i="1"/>
  <c r="U50" i="1"/>
  <c r="K35" i="1"/>
  <c r="K43" i="1"/>
  <c r="K23" i="1"/>
  <c r="T43" i="1"/>
  <c r="K20" i="1"/>
  <c r="T40" i="1"/>
  <c r="K40" i="1"/>
  <c r="K21" i="1"/>
  <c r="P39" i="1"/>
  <c r="P38" i="1"/>
  <c r="K12" i="1"/>
  <c r="K13" i="1"/>
  <c r="P29" i="1"/>
  <c r="Q29" i="1" s="1"/>
  <c r="P27" i="1"/>
  <c r="Q27" i="1" s="1"/>
  <c r="K7" i="1"/>
  <c r="P16" i="1"/>
  <c r="Q16" i="1" s="1"/>
  <c r="U21" i="1"/>
  <c r="U20" i="1"/>
  <c r="P15" i="1"/>
  <c r="U12" i="1"/>
  <c r="U13" i="1"/>
  <c r="P6" i="1"/>
  <c r="U7" i="1"/>
  <c r="T72" i="1"/>
  <c r="T32" i="1"/>
  <c r="T73" i="1"/>
  <c r="T70" i="1"/>
  <c r="T68" i="1"/>
  <c r="T50" i="1"/>
  <c r="T69" i="1"/>
  <c r="T24" i="1"/>
  <c r="T12" i="1"/>
  <c r="T7" i="1"/>
  <c r="U79" i="1"/>
  <c r="U66" i="1"/>
  <c r="U65" i="1"/>
  <c r="U64" i="1"/>
  <c r="U45" i="1"/>
  <c r="F5" i="1"/>
  <c r="U63" i="1"/>
  <c r="U61" i="1"/>
  <c r="T67" i="1"/>
  <c r="U60" i="1"/>
  <c r="U59" i="1"/>
  <c r="U46" i="1"/>
  <c r="U43" i="1"/>
  <c r="T20" i="1"/>
  <c r="U41" i="1"/>
  <c r="T19" i="1"/>
  <c r="U40" i="1"/>
  <c r="T49" i="1"/>
  <c r="U25" i="1"/>
  <c r="T9" i="1"/>
  <c r="T47" i="1"/>
  <c r="T8" i="1"/>
  <c r="U23" i="1"/>
  <c r="T71" i="1"/>
  <c r="U62" i="1"/>
  <c r="U42" i="1"/>
  <c r="U22" i="1"/>
  <c r="U78" i="1"/>
  <c r="U58" i="1"/>
  <c r="U18" i="1"/>
  <c r="U77" i="1"/>
  <c r="U57" i="1"/>
  <c r="U37" i="1"/>
  <c r="U17" i="1"/>
  <c r="U76" i="1"/>
  <c r="U56" i="1"/>
  <c r="U36" i="1"/>
  <c r="U75" i="1"/>
  <c r="U55" i="1"/>
  <c r="U35" i="1"/>
  <c r="U74" i="1"/>
  <c r="U34" i="1"/>
  <c r="U14" i="1"/>
  <c r="P44" i="1"/>
  <c r="E5" i="1"/>
  <c r="T35" i="1"/>
  <c r="T22" i="1" l="1"/>
  <c r="T46" i="1"/>
  <c r="Q44" i="1"/>
  <c r="T44" i="1" s="1"/>
  <c r="T54" i="1"/>
  <c r="T42" i="1"/>
  <c r="T48" i="1"/>
  <c r="T21" i="1"/>
  <c r="U54" i="1"/>
  <c r="T31" i="1"/>
  <c r="T23" i="1"/>
  <c r="T33" i="1"/>
  <c r="T13" i="1"/>
  <c r="T30" i="1"/>
  <c r="AG16" i="1"/>
  <c r="U53" i="1"/>
  <c r="AG53" i="1"/>
  <c r="T10" i="1"/>
  <c r="U27" i="1"/>
  <c r="AG27" i="1"/>
  <c r="T52" i="1"/>
  <c r="T11" i="1"/>
  <c r="AG38" i="1"/>
  <c r="T28" i="1"/>
  <c r="T41" i="1"/>
  <c r="U6" i="1"/>
  <c r="Q6" i="1"/>
  <c r="T6" i="1" s="1"/>
  <c r="AG15" i="1"/>
  <c r="T26" i="1"/>
  <c r="T45" i="1"/>
  <c r="U29" i="1"/>
  <c r="AG29" i="1"/>
  <c r="U39" i="1"/>
  <c r="Q39" i="1"/>
  <c r="AG39" i="1" s="1"/>
  <c r="T51" i="1"/>
  <c r="T55" i="1"/>
  <c r="U38" i="1"/>
  <c r="K5" i="1"/>
  <c r="U16" i="1"/>
  <c r="U15" i="1"/>
  <c r="P5" i="1"/>
  <c r="U44" i="1"/>
  <c r="AG44" i="1" l="1"/>
  <c r="T39" i="1"/>
  <c r="T27" i="1"/>
  <c r="T53" i="1"/>
  <c r="T29" i="1"/>
  <c r="T15" i="1"/>
  <c r="AG6" i="1"/>
  <c r="AG5" i="1" s="1"/>
  <c r="Q5" i="1"/>
  <c r="T38" i="1"/>
  <c r="T16" i="1"/>
</calcChain>
</file>

<file path=xl/sharedStrings.xml><?xml version="1.0" encoding="utf-8"?>
<sst xmlns="http://schemas.openxmlformats.org/spreadsheetml/2006/main" count="249" uniqueCount="127">
  <si>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</si>
  <si>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</si>
  <si>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</si>
  <si>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</si>
  <si>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</si>
  <si>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</si>
  <si>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</si>
  <si>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</si>
  <si>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</si>
  <si>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</si>
  <si>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</si>
  <si>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</si>
  <si>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</si>
  <si>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</si>
  <si>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</si>
  <si>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</si>
  <si>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</si>
  <si>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</si>
  <si>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</si>
  <si>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</si>
  <si>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</si>
  <si>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</si>
  <si>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</si>
  <si>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</si>
  <si>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</si>
  <si>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</si>
  <si>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</si>
  <si>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</si>
  <si>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</si>
  <si>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</si>
  <si>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</si>
  <si>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</si>
  <si>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</si>
  <si>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</si>
  <si>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</si>
  <si>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шт</t>
  </si>
  <si>
    <t>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</si>
  <si>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</si>
  <si>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</si>
  <si>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</si>
  <si>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</si>
  <si>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</si>
  <si>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</si>
  <si>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</si>
  <si>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</si>
  <si>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</si>
  <si>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</si>
  <si>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</si>
  <si>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</si>
  <si>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</si>
  <si>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</si>
  <si>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</si>
  <si>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</si>
  <si>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</si>
  <si>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</si>
  <si>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</si>
  <si>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</si>
  <si>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</si>
  <si>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</si>
  <si>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</si>
  <si>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</si>
  <si>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</si>
  <si>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</si>
  <si>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</si>
  <si>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</si>
  <si>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</si>
  <si>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</si>
  <si>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</si>
  <si>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СК4???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</si>
  <si>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</si>
  <si>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</si>
  <si>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</si>
  <si>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1866-Колбаса Филейная Особый рецепт 2,5кг большой батон  ПОКОМ</t>
  </si>
  <si>
    <t>дубль на 1867</t>
  </si>
  <si>
    <t>1867-Колбаса Филейная ТМ Особый рецепт в оболочке полиамид большой батон.  ПОКОМ</t>
  </si>
  <si>
    <t>есть дубль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</si>
  <si>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</si>
  <si>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</si>
  <si>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</si>
  <si>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</si>
  <si>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</si>
  <si>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</si>
  <si>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</si>
  <si>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</si>
  <si>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</si>
  <si>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</si>
  <si>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</si>
  <si>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</si>
  <si>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</si>
  <si>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</si>
  <si>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</si>
  <si>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</si>
  <si>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</si>
  <si>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</si>
  <si>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</si>
  <si>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</si>
  <si>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</si>
  <si>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</si>
  <si>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</si>
  <si>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</si>
  <si>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</si>
  <si>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</si>
  <si>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</si>
  <si>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</si>
  <si>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</si>
  <si>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</si>
  <si>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</si>
  <si>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</si>
  <si>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</si>
  <si>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</si>
  <si>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</si>
  <si>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</si>
  <si>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</si>
  <si>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</si>
  <si>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</si>
  <si>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</si>
  <si>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</si>
  <si>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</si>
  <si>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</si>
  <si>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</si>
  <si>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</si>
  <si>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</si>
  <si>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</si>
  <si>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</si>
  <si>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завод не отгрузил</t>
  </si>
  <si>
    <t>нужно увеличить продажи</t>
  </si>
  <si>
    <t>нужно увеличить продажи / пожеланиеи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</si>
</sst>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52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22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SUM(E6:E464)</f>
        <v>11431.503999999999</v>
      </c>
      <c r="F5" s="4">
        <f>SUM(F6:F464)</f>
        <v>17836.612000000001</v>
      </c>
      <c r="G5" s="7"/>
      <c r="H5" s="1"/>
      <c r="I5" s="1"/>
      <c r="J5" s="4">
        <f>SUM(J6:J464)</f>
        <v>0</v>
      </c>
      <c r="K5" s="4">
        <f>SUM(K6:K464)</f>
        <v>11431.503999999999</v>
      </c>
      <c r="L5" s="4">
        <f>SUM(L6:L464)</f>
        <v>0</v>
      </c>
      <c r="M5" s="4">
        <f>SUM(M6:M464)</f>
        <v>0</v>
      </c>
      <c r="N5" s="4">
        <f>SUM(N6:N464)</f>
        <v>5354.7619047619046</v>
      </c>
      <c r="O5" s="4">
        <f>SUM(O6:O464)</f>
        <v>4300</v>
      </c>
      <c r="P5" s="4">
        <f>SUM(P6:P464)</f>
        <v>2286.3008000000004</v>
      </c>
      <c r="Q5" s="4">
        <f>SUM(Q6:Q464)</f>
        <v>11930.907295238094</v>
      </c>
      <c r="R5" s="4">
        <f>SUM(R6:R464)</f>
        <v>0</v>
      </c>
      <c r="S5" s="1"/>
      <c r="T5" s="1"/>
      <c r="U5" s="1"/>
      <c r="V5" s="4">
        <f>SUM(V6:V464)</f>
        <v>1995.2282000000002</v>
      </c>
      <c r="W5" s="4">
        <f>SUM(W6:W464)</f>
        <v>3209.1130000000003</v>
      </c>
      <c r="X5" s="4">
        <f>SUM(X6:X464)</f>
        <v>2311.1686000000004</v>
      </c>
      <c r="Y5" s="4">
        <f>SUM(Y6:Y464)</f>
        <v>2781.9546000000005</v>
      </c>
      <c r="Z5" s="4">
        <f>SUM(Z6:Z464)</f>
        <v>2206.5981999999995</v>
      </c>
      <c r="AA5" s="4">
        <f>SUM(AA6:AA464)</f>
        <v>2218.154199999999</v>
      </c>
      <c r="AB5" s="4">
        <f>SUM(AB6:AB464)</f>
        <v>1685.3511999999996</v>
      </c>
      <c r="AC5" s="4">
        <f>SUM(AC6:AC464)</f>
        <v>2006.3971999999994</v>
      </c>
      <c r="AD5" s="4">
        <f>SUM(AD6:AD464)</f>
        <v>1602.0942</v>
      </c>
      <c r="AE5" s="4">
        <f>SUM(AE6:AE464)</f>
        <v>1528.7797999999996</v>
      </c>
      <c r="AF5" s="1"/>
      <c r="AG5" s="4">
        <f>SUM(AG6:AG464)</f>
        <v>7752.9792000000007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499.17500000000001</v>
      </c>
      <c r="D6" s="1">
        <v>407.29199999999997</v>
      </c>
      <c r="E6" s="16">
        <f>154.287+E56</f>
        <v>209.505</v>
      </c>
      <c r="F6" s="16">
        <f>746.687+F56</f>
        <v>706.49700000000007</v>
      </c>
      <c r="G6" s="7">
        <v>1</v>
      </c>
      <c r="H6" s="1">
        <v>50</v>
      </c>
      <c r="I6" s="1"/>
      <c r="J6" s="1"/>
      <c r="K6" s="1">
        <f t="shared" ref="K6:K34" si="0">E6-J6</f>
        <v>209.505</v>
      </c>
      <c r="L6" s="1"/>
      <c r="M6" s="1"/>
      <c r="N6" s="1">
        <v>0</v>
      </c>
      <c r="O6" s="1">
        <v>0</v>
      </c>
      <c r="P6" s="1">
        <f>E6/5</f>
        <v>41.900999999999996</v>
      </c>
      <c r="Q6" s="5">
        <f>18*P6-O6-N6-F6</f>
        <v>47.72099999999989</v>
      </c>
      <c r="R6" s="5"/>
      <c r="S6" s="1"/>
      <c r="T6" s="1">
        <f>(F6+N6+O6+Q6)/P6</f>
        <v>18</v>
      </c>
      <c r="U6" s="1">
        <f>(F6+N6+O6)/P6</f>
        <v>16.86110116703659</v>
      </c>
      <c r="V6" s="1">
        <v>43.280799999999999</v>
      </c>
      <c r="W6" s="1">
        <v>85.748999999999995</v>
      </c>
      <c r="X6" s="1">
        <v>44.305600000000013</v>
      </c>
      <c r="Y6" s="1">
        <v>80.176000000000002</v>
      </c>
      <c r="Z6" s="1">
        <v>39.485199999999999</v>
      </c>
      <c r="AA6" s="1">
        <v>56.013199999999998</v>
      </c>
      <c r="AB6" s="1">
        <v>45.081599999999987</v>
      </c>
      <c r="AC6" s="1">
        <v>52.767600000000002</v>
      </c>
      <c r="AD6" s="1">
        <v>47.139800000000001</v>
      </c>
      <c r="AE6" s="1">
        <v>37.405200000000001</v>
      </c>
      <c r="AF6" s="1" t="s">
        <v>39</v>
      </c>
      <c r="AG6" s="1">
        <f>G6*Q6</f>
        <v>47.72099999999989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646.34299999999996</v>
      </c>
      <c r="D7" s="1">
        <v>5.8739999999999997</v>
      </c>
      <c r="E7" s="16">
        <f>202.699+E57</f>
        <v>252.84800000000001</v>
      </c>
      <c r="F7" s="16">
        <f>442.129+F57</f>
        <v>407.83500000000004</v>
      </c>
      <c r="G7" s="7">
        <v>1</v>
      </c>
      <c r="H7" s="1">
        <v>55</v>
      </c>
      <c r="I7" s="1"/>
      <c r="J7" s="1"/>
      <c r="K7" s="1">
        <f t="shared" si="0"/>
        <v>252.84800000000001</v>
      </c>
      <c r="L7" s="1"/>
      <c r="M7" s="1"/>
      <c r="N7" s="1">
        <v>500</v>
      </c>
      <c r="O7" s="1">
        <v>500</v>
      </c>
      <c r="P7" s="1">
        <f t="shared" ref="P7:P70" si="1">E7/5</f>
        <v>50.569600000000001</v>
      </c>
      <c r="Q7" s="5"/>
      <c r="R7" s="5"/>
      <c r="S7" s="1"/>
      <c r="T7" s="1">
        <f t="shared" ref="T7:T70" si="2">(F7+N7+O7+Q7)/P7</f>
        <v>27.839551825602733</v>
      </c>
      <c r="U7" s="1">
        <f t="shared" ref="U7:U70" si="3">(F7+N7+O7)/P7</f>
        <v>27.839551825602733</v>
      </c>
      <c r="V7" s="1">
        <v>58.753999999999998</v>
      </c>
      <c r="W7" s="1">
        <v>60.121000000000002</v>
      </c>
      <c r="X7" s="1">
        <v>50.537400000000012</v>
      </c>
      <c r="Y7" s="1">
        <v>65.963400000000007</v>
      </c>
      <c r="Z7" s="1">
        <v>64.472200000000001</v>
      </c>
      <c r="AA7" s="1">
        <v>47.720999999999997</v>
      </c>
      <c r="AB7" s="1">
        <v>41.454999999999998</v>
      </c>
      <c r="AC7" s="1">
        <v>50.347799999999999</v>
      </c>
      <c r="AD7" s="1">
        <v>36.951999999999998</v>
      </c>
      <c r="AE7" s="1">
        <v>46.1402</v>
      </c>
      <c r="AF7" s="15" t="s">
        <v>125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62.387</v>
      </c>
      <c r="D8" s="1">
        <v>51.683999999999997</v>
      </c>
      <c r="E8" s="1">
        <v>5.468</v>
      </c>
      <c r="F8" s="1">
        <v>108.60299999999999</v>
      </c>
      <c r="G8" s="7">
        <v>1</v>
      </c>
      <c r="H8" s="1">
        <v>180</v>
      </c>
      <c r="I8" s="1"/>
      <c r="J8" s="1"/>
      <c r="K8" s="1">
        <f t="shared" si="0"/>
        <v>5.468</v>
      </c>
      <c r="L8" s="1"/>
      <c r="M8" s="1"/>
      <c r="N8" s="1">
        <v>0</v>
      </c>
      <c r="O8" s="1">
        <v>0</v>
      </c>
      <c r="P8" s="1">
        <f t="shared" si="1"/>
        <v>1.0935999999999999</v>
      </c>
      <c r="Q8" s="5"/>
      <c r="R8" s="5"/>
      <c r="S8" s="1"/>
      <c r="T8" s="1">
        <f t="shared" si="2"/>
        <v>99.307790782735921</v>
      </c>
      <c r="U8" s="1">
        <f t="shared" si="3"/>
        <v>99.307790782735921</v>
      </c>
      <c r="V8" s="1">
        <v>1.458</v>
      </c>
      <c r="W8" s="1">
        <v>0.46360000000000001</v>
      </c>
      <c r="X8" s="1">
        <v>1.0840000000000001</v>
      </c>
      <c r="Y8" s="1">
        <v>1.2966</v>
      </c>
      <c r="Z8" s="1">
        <v>0.3962</v>
      </c>
      <c r="AA8" s="1">
        <v>0.99819999999999998</v>
      </c>
      <c r="AB8" s="1">
        <v>8.2000000000000007E-3</v>
      </c>
      <c r="AC8" s="1">
        <v>1.4618</v>
      </c>
      <c r="AD8" s="1">
        <v>1.9774</v>
      </c>
      <c r="AE8" s="1">
        <v>0.82140000000000002</v>
      </c>
      <c r="AF8" s="23" t="s">
        <v>42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36</v>
      </c>
      <c r="J9" s="10"/>
      <c r="K9" s="10">
        <f t="shared" si="0"/>
        <v>0</v>
      </c>
      <c r="L9" s="10"/>
      <c r="M9" s="10"/>
      <c r="N9" s="10"/>
      <c r="O9" s="10">
        <v>0</v>
      </c>
      <c r="P9" s="10">
        <f t="shared" si="1"/>
        <v>0</v>
      </c>
      <c r="Q9" s="12"/>
      <c r="R9" s="12"/>
      <c r="S9" s="10"/>
      <c r="T9" s="10" t="e">
        <f t="shared" si="2"/>
        <v>#DIV/0!</v>
      </c>
      <c r="U9" s="10" t="e">
        <f t="shared" si="3"/>
        <v>#DIV/0!</v>
      </c>
      <c r="V9" s="10">
        <v>1.0354000000000001</v>
      </c>
      <c r="W9" s="10">
        <v>0.74399999999999999</v>
      </c>
      <c r="X9" s="10">
        <v>0</v>
      </c>
      <c r="Y9" s="10">
        <v>1.5529999999999999</v>
      </c>
      <c r="Z9" s="10">
        <v>1.2687999999999999</v>
      </c>
      <c r="AA9" s="10">
        <v>1.8740000000000001</v>
      </c>
      <c r="AB9" s="10">
        <v>0.29699999999999999</v>
      </c>
      <c r="AC9" s="10">
        <v>1.4858</v>
      </c>
      <c r="AD9" s="10">
        <v>1.9074</v>
      </c>
      <c r="AE9" s="10">
        <v>1.4892000000000001</v>
      </c>
      <c r="AF9" s="10" t="s">
        <v>36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14.87</v>
      </c>
      <c r="D10" s="1"/>
      <c r="E10" s="1">
        <v>13.789</v>
      </c>
      <c r="F10" s="1">
        <v>-0.129</v>
      </c>
      <c r="G10" s="7">
        <v>1</v>
      </c>
      <c r="H10" s="1">
        <v>50</v>
      </c>
      <c r="I10" s="1"/>
      <c r="J10" s="1"/>
      <c r="K10" s="1">
        <f t="shared" si="0"/>
        <v>13.789</v>
      </c>
      <c r="L10" s="1"/>
      <c r="M10" s="1"/>
      <c r="N10" s="1">
        <v>100</v>
      </c>
      <c r="O10" s="1">
        <v>100</v>
      </c>
      <c r="P10" s="1">
        <f t="shared" si="1"/>
        <v>2.7578</v>
      </c>
      <c r="Q10" s="5"/>
      <c r="R10" s="5"/>
      <c r="S10" s="1"/>
      <c r="T10" s="1">
        <f t="shared" si="2"/>
        <v>72.474798752628899</v>
      </c>
      <c r="U10" s="1">
        <f t="shared" si="3"/>
        <v>72.474798752628899</v>
      </c>
      <c r="V10" s="1">
        <v>2.9948000000000001</v>
      </c>
      <c r="W10" s="1">
        <v>12.7516</v>
      </c>
      <c r="X10" s="1">
        <v>3.7827999999999999</v>
      </c>
      <c r="Y10" s="1">
        <v>12.16</v>
      </c>
      <c r="Z10" s="1">
        <v>6.7453999999999992</v>
      </c>
      <c r="AA10" s="1">
        <v>5.0880000000000001</v>
      </c>
      <c r="AB10" s="1">
        <v>8.1170000000000009</v>
      </c>
      <c r="AC10" s="1">
        <v>4.6042000000000014</v>
      </c>
      <c r="AD10" s="1">
        <v>2.1598000000000002</v>
      </c>
      <c r="AE10" s="1">
        <v>10.8428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520.46699999999998</v>
      </c>
      <c r="D11" s="1"/>
      <c r="E11" s="1">
        <v>157.81899999999999</v>
      </c>
      <c r="F11" s="1">
        <v>350.78399999999999</v>
      </c>
      <c r="G11" s="7">
        <v>1</v>
      </c>
      <c r="H11" s="1">
        <v>60</v>
      </c>
      <c r="I11" s="1"/>
      <c r="J11" s="1"/>
      <c r="K11" s="1">
        <f t="shared" si="0"/>
        <v>157.81899999999999</v>
      </c>
      <c r="L11" s="1"/>
      <c r="M11" s="1"/>
      <c r="N11" s="1">
        <v>0</v>
      </c>
      <c r="O11" s="1">
        <v>0</v>
      </c>
      <c r="P11" s="1">
        <f t="shared" si="1"/>
        <v>31.563799999999997</v>
      </c>
      <c r="Q11" s="5">
        <f t="shared" ref="Q10:Q33" si="4">18*P11-O11-N11-F11</f>
        <v>217.36439999999993</v>
      </c>
      <c r="R11" s="5"/>
      <c r="S11" s="1"/>
      <c r="T11" s="1">
        <f t="shared" si="2"/>
        <v>18</v>
      </c>
      <c r="U11" s="1">
        <f t="shared" si="3"/>
        <v>11.113490771073192</v>
      </c>
      <c r="V11" s="1">
        <v>24.6114</v>
      </c>
      <c r="W11" s="1">
        <v>42.031599999999997</v>
      </c>
      <c r="X11" s="1">
        <v>31.984400000000001</v>
      </c>
      <c r="Y11" s="1">
        <v>46.042600000000007</v>
      </c>
      <c r="Z11" s="1">
        <v>52.094200000000001</v>
      </c>
      <c r="AA11" s="1">
        <v>38.1008</v>
      </c>
      <c r="AB11" s="1">
        <v>33.098999999999997</v>
      </c>
      <c r="AC11" s="1">
        <v>39.427</v>
      </c>
      <c r="AD11" s="1">
        <v>32.1708</v>
      </c>
      <c r="AE11" s="1">
        <v>34.6402</v>
      </c>
      <c r="AF11" s="1"/>
      <c r="AG11" s="1">
        <f>G11*Q11</f>
        <v>217.36439999999993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38</v>
      </c>
      <c r="C12" s="1">
        <v>466.654</v>
      </c>
      <c r="D12" s="1">
        <v>305.63600000000002</v>
      </c>
      <c r="E12" s="16">
        <f>141.018+E59</f>
        <v>175.33500000000001</v>
      </c>
      <c r="F12" s="16">
        <f>626.242+F59</f>
        <v>593.67399999999998</v>
      </c>
      <c r="G12" s="7">
        <v>1</v>
      </c>
      <c r="H12" s="1">
        <v>60</v>
      </c>
      <c r="I12" s="1"/>
      <c r="J12" s="1"/>
      <c r="K12" s="1">
        <f t="shared" si="0"/>
        <v>175.33500000000001</v>
      </c>
      <c r="L12" s="1"/>
      <c r="M12" s="1"/>
      <c r="N12" s="1">
        <v>150</v>
      </c>
      <c r="O12" s="1">
        <v>150</v>
      </c>
      <c r="P12" s="1">
        <f t="shared" si="1"/>
        <v>35.067</v>
      </c>
      <c r="Q12" s="5"/>
      <c r="R12" s="5"/>
      <c r="S12" s="1"/>
      <c r="T12" s="1">
        <f t="shared" si="2"/>
        <v>25.484757749451049</v>
      </c>
      <c r="U12" s="1">
        <f t="shared" si="3"/>
        <v>25.484757749451049</v>
      </c>
      <c r="V12" s="1">
        <v>51.724800000000002</v>
      </c>
      <c r="W12" s="1">
        <v>48.841999999999999</v>
      </c>
      <c r="X12" s="1">
        <v>42.364600000000003</v>
      </c>
      <c r="Y12" s="1">
        <v>57.862400000000001</v>
      </c>
      <c r="Z12" s="1">
        <v>30.3642</v>
      </c>
      <c r="AA12" s="1">
        <v>57.274999999999999</v>
      </c>
      <c r="AB12" s="1">
        <v>35.036000000000001</v>
      </c>
      <c r="AC12" s="1">
        <v>30.5366</v>
      </c>
      <c r="AD12" s="1">
        <v>38.046799999999998</v>
      </c>
      <c r="AE12" s="1">
        <v>31.278400000000001</v>
      </c>
      <c r="AF12" s="24" t="s">
        <v>126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38</v>
      </c>
      <c r="C13" s="1">
        <v>109.73099999999999</v>
      </c>
      <c r="D13" s="1"/>
      <c r="E13" s="16">
        <f>63.456+E60</f>
        <v>67.804000000000002</v>
      </c>
      <c r="F13" s="16">
        <f>31.866+F60</f>
        <v>27.518000000000001</v>
      </c>
      <c r="G13" s="7">
        <v>1</v>
      </c>
      <c r="H13" s="1">
        <v>40</v>
      </c>
      <c r="I13" s="1"/>
      <c r="J13" s="1"/>
      <c r="K13" s="1">
        <f t="shared" si="0"/>
        <v>67.804000000000002</v>
      </c>
      <c r="L13" s="1"/>
      <c r="M13" s="1"/>
      <c r="N13" s="1">
        <v>100</v>
      </c>
      <c r="O13" s="1">
        <v>100</v>
      </c>
      <c r="P13" s="1">
        <f t="shared" si="1"/>
        <v>13.5608</v>
      </c>
      <c r="Q13" s="5">
        <f t="shared" si="4"/>
        <v>16.576400000000007</v>
      </c>
      <c r="R13" s="5"/>
      <c r="S13" s="1"/>
      <c r="T13" s="1">
        <f t="shared" si="2"/>
        <v>18</v>
      </c>
      <c r="U13" s="1">
        <f t="shared" si="3"/>
        <v>16.777623739012448</v>
      </c>
      <c r="V13" s="1">
        <v>23.920200000000001</v>
      </c>
      <c r="W13" s="1">
        <v>36.331600000000002</v>
      </c>
      <c r="X13" s="1">
        <v>21.318999999999999</v>
      </c>
      <c r="Y13" s="1">
        <v>19.271999999999998</v>
      </c>
      <c r="Z13" s="1">
        <v>16.814800000000002</v>
      </c>
      <c r="AA13" s="1">
        <v>6.9978000000000007</v>
      </c>
      <c r="AB13" s="1">
        <v>17.8386</v>
      </c>
      <c r="AC13" s="1">
        <v>9.9391999999999996</v>
      </c>
      <c r="AD13" s="1">
        <v>13.804</v>
      </c>
      <c r="AE13" s="1">
        <v>16.576799999999999</v>
      </c>
      <c r="AF13" s="1"/>
      <c r="AG13" s="1">
        <f>G13*Q13</f>
        <v>16.576400000000007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>
        <v>220</v>
      </c>
      <c r="D14" s="1">
        <v>438</v>
      </c>
      <c r="E14" s="1">
        <v>409</v>
      </c>
      <c r="F14" s="1">
        <v>226</v>
      </c>
      <c r="G14" s="7">
        <v>0.35</v>
      </c>
      <c r="H14" s="1">
        <v>40</v>
      </c>
      <c r="I14" s="1"/>
      <c r="J14" s="1"/>
      <c r="K14" s="1">
        <f t="shared" si="0"/>
        <v>409</v>
      </c>
      <c r="L14" s="1"/>
      <c r="M14" s="1"/>
      <c r="N14" s="1">
        <v>285.71428571428572</v>
      </c>
      <c r="O14" s="1">
        <v>100</v>
      </c>
      <c r="P14" s="1">
        <f t="shared" si="1"/>
        <v>81.8</v>
      </c>
      <c r="Q14" s="5">
        <f>15*P14-O14-N14-F14</f>
        <v>615.28571428571422</v>
      </c>
      <c r="R14" s="5"/>
      <c r="S14" s="1"/>
      <c r="T14" s="1">
        <f t="shared" si="2"/>
        <v>15</v>
      </c>
      <c r="U14" s="1">
        <f t="shared" si="3"/>
        <v>7.4781697520083839</v>
      </c>
      <c r="V14" s="1">
        <v>64</v>
      </c>
      <c r="W14" s="1">
        <v>122</v>
      </c>
      <c r="X14" s="1">
        <v>93.4</v>
      </c>
      <c r="Y14" s="1">
        <v>99.4</v>
      </c>
      <c r="Z14" s="1">
        <v>76.8</v>
      </c>
      <c r="AA14" s="1">
        <v>105.6</v>
      </c>
      <c r="AB14" s="1">
        <v>21.2</v>
      </c>
      <c r="AC14" s="1">
        <v>50.8</v>
      </c>
      <c r="AD14" s="1">
        <v>50.4</v>
      </c>
      <c r="AE14" s="1">
        <v>82.8</v>
      </c>
      <c r="AF14" s="1"/>
      <c r="AG14" s="1">
        <f>G14*Q14</f>
        <v>215.34999999999997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38</v>
      </c>
      <c r="C15" s="1">
        <v>61.615000000000002</v>
      </c>
      <c r="D15" s="1">
        <v>103.19</v>
      </c>
      <c r="E15" s="16">
        <f>54.583+E61</f>
        <v>63.274000000000001</v>
      </c>
      <c r="F15" s="16">
        <f>97.33+F61</f>
        <v>92.992000000000004</v>
      </c>
      <c r="G15" s="7">
        <v>1</v>
      </c>
      <c r="H15" s="1">
        <v>40</v>
      </c>
      <c r="I15" s="1"/>
      <c r="J15" s="1"/>
      <c r="K15" s="1">
        <f t="shared" si="0"/>
        <v>63.274000000000001</v>
      </c>
      <c r="L15" s="1"/>
      <c r="M15" s="1"/>
      <c r="N15" s="1">
        <v>100</v>
      </c>
      <c r="O15" s="1">
        <v>100</v>
      </c>
      <c r="P15" s="1">
        <f t="shared" si="1"/>
        <v>12.6548</v>
      </c>
      <c r="Q15" s="5"/>
      <c r="R15" s="5"/>
      <c r="S15" s="1"/>
      <c r="T15" s="1">
        <f t="shared" si="2"/>
        <v>23.152637734298448</v>
      </c>
      <c r="U15" s="1">
        <f t="shared" si="3"/>
        <v>23.152637734298448</v>
      </c>
      <c r="V15" s="1">
        <v>24.886600000000001</v>
      </c>
      <c r="W15" s="1">
        <v>40.737200000000001</v>
      </c>
      <c r="X15" s="1">
        <v>22.381399999999999</v>
      </c>
      <c r="Y15" s="1">
        <v>17.471399999999999</v>
      </c>
      <c r="Z15" s="1">
        <v>-2.3090000000000002</v>
      </c>
      <c r="AA15" s="1">
        <v>23.312799999999999</v>
      </c>
      <c r="AB15" s="1">
        <v>18.0686</v>
      </c>
      <c r="AC15" s="1">
        <v>11.051</v>
      </c>
      <c r="AD15" s="1">
        <v>16.8826</v>
      </c>
      <c r="AE15" s="1">
        <v>14.519399999999999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175</v>
      </c>
      <c r="D16" s="1">
        <v>432</v>
      </c>
      <c r="E16" s="16">
        <f>325+E62</f>
        <v>382</v>
      </c>
      <c r="F16" s="16">
        <f>262+F62</f>
        <v>223</v>
      </c>
      <c r="G16" s="7">
        <v>0.35</v>
      </c>
      <c r="H16" s="1">
        <v>40</v>
      </c>
      <c r="I16" s="1"/>
      <c r="J16" s="1"/>
      <c r="K16" s="1">
        <f t="shared" si="0"/>
        <v>382</v>
      </c>
      <c r="L16" s="1"/>
      <c r="M16" s="1"/>
      <c r="N16" s="1">
        <v>285.71428571428572</v>
      </c>
      <c r="O16" s="1">
        <v>100</v>
      </c>
      <c r="P16" s="1">
        <f t="shared" si="1"/>
        <v>76.400000000000006</v>
      </c>
      <c r="Q16" s="5">
        <f>16*P16-O16-N16-F16</f>
        <v>613.68571428571431</v>
      </c>
      <c r="R16" s="5"/>
      <c r="S16" s="1"/>
      <c r="T16" s="1">
        <f t="shared" si="2"/>
        <v>16</v>
      </c>
      <c r="U16" s="1">
        <f t="shared" si="3"/>
        <v>7.9674644727000752</v>
      </c>
      <c r="V16" s="1">
        <v>71.2</v>
      </c>
      <c r="W16" s="1">
        <v>116.8</v>
      </c>
      <c r="X16" s="1">
        <v>91</v>
      </c>
      <c r="Y16" s="1">
        <v>122.2</v>
      </c>
      <c r="Z16" s="1">
        <v>105</v>
      </c>
      <c r="AA16" s="1">
        <v>19.2</v>
      </c>
      <c r="AB16" s="1">
        <v>29.8</v>
      </c>
      <c r="AC16" s="1">
        <v>66.2</v>
      </c>
      <c r="AD16" s="1">
        <v>22.8</v>
      </c>
      <c r="AE16" s="1">
        <v>41</v>
      </c>
      <c r="AF16" s="1"/>
      <c r="AG16" s="1">
        <f>G16*Q16</f>
        <v>214.79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237.494</v>
      </c>
      <c r="D17" s="1"/>
      <c r="E17" s="1">
        <v>62.271999999999998</v>
      </c>
      <c r="F17" s="1">
        <v>170.352</v>
      </c>
      <c r="G17" s="7">
        <v>1</v>
      </c>
      <c r="H17" s="1">
        <v>40</v>
      </c>
      <c r="I17" s="1"/>
      <c r="J17" s="1"/>
      <c r="K17" s="1">
        <f t="shared" si="0"/>
        <v>62.271999999999998</v>
      </c>
      <c r="L17" s="1"/>
      <c r="M17" s="1"/>
      <c r="N17" s="1">
        <v>0</v>
      </c>
      <c r="O17" s="1">
        <v>0</v>
      </c>
      <c r="P17" s="1">
        <f t="shared" si="1"/>
        <v>12.4544</v>
      </c>
      <c r="Q17" s="5">
        <f t="shared" si="4"/>
        <v>53.827199999999976</v>
      </c>
      <c r="R17" s="5"/>
      <c r="S17" s="1"/>
      <c r="T17" s="1">
        <f t="shared" si="2"/>
        <v>18</v>
      </c>
      <c r="U17" s="1">
        <f t="shared" si="3"/>
        <v>13.678057553956835</v>
      </c>
      <c r="V17" s="1">
        <v>14.720800000000001</v>
      </c>
      <c r="W17" s="1">
        <v>29.452200000000001</v>
      </c>
      <c r="X17" s="1">
        <v>30.758199999999999</v>
      </c>
      <c r="Y17" s="1">
        <v>30.4114</v>
      </c>
      <c r="Z17" s="1">
        <v>0</v>
      </c>
      <c r="AA17" s="1">
        <v>26.065200000000001</v>
      </c>
      <c r="AB17" s="1">
        <v>15.234400000000001</v>
      </c>
      <c r="AC17" s="1">
        <v>11.714600000000001</v>
      </c>
      <c r="AD17" s="1">
        <v>18.170000000000002</v>
      </c>
      <c r="AE17" s="1">
        <v>16.2606</v>
      </c>
      <c r="AF17" s="1"/>
      <c r="AG17" s="1">
        <f>G17*Q17</f>
        <v>53.827199999999976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38</v>
      </c>
      <c r="C18" s="1">
        <v>121.872</v>
      </c>
      <c r="D18" s="1">
        <v>203.37899999999999</v>
      </c>
      <c r="E18" s="1">
        <v>156.494</v>
      </c>
      <c r="F18" s="1">
        <v>137.072</v>
      </c>
      <c r="G18" s="7">
        <v>1</v>
      </c>
      <c r="H18" s="1">
        <v>45</v>
      </c>
      <c r="I18" s="1"/>
      <c r="J18" s="1"/>
      <c r="K18" s="1">
        <f t="shared" si="0"/>
        <v>156.494</v>
      </c>
      <c r="L18" s="1"/>
      <c r="M18" s="1"/>
      <c r="N18" s="1">
        <v>100</v>
      </c>
      <c r="O18" s="1">
        <v>100</v>
      </c>
      <c r="P18" s="1">
        <f t="shared" si="1"/>
        <v>31.2988</v>
      </c>
      <c r="Q18" s="5">
        <f t="shared" si="4"/>
        <v>226.30640000000005</v>
      </c>
      <c r="R18" s="5"/>
      <c r="S18" s="1"/>
      <c r="T18" s="1">
        <f t="shared" si="2"/>
        <v>18.000000000000004</v>
      </c>
      <c r="U18" s="1">
        <f t="shared" si="3"/>
        <v>10.769486370084476</v>
      </c>
      <c r="V18" s="1">
        <v>21.169599999999999</v>
      </c>
      <c r="W18" s="1">
        <v>-0.53800000000000003</v>
      </c>
      <c r="X18" s="1">
        <v>30.869399999999999</v>
      </c>
      <c r="Y18" s="1">
        <v>53.641000000000012</v>
      </c>
      <c r="Z18" s="1">
        <v>18.746600000000001</v>
      </c>
      <c r="AA18" s="1">
        <v>7.9151999999999996</v>
      </c>
      <c r="AB18" s="1">
        <v>23.599599999999999</v>
      </c>
      <c r="AC18" s="1">
        <v>7.7530000000000001</v>
      </c>
      <c r="AD18" s="1">
        <v>9.8803999999999998</v>
      </c>
      <c r="AE18" s="1">
        <v>17.6982</v>
      </c>
      <c r="AF18" s="1"/>
      <c r="AG18" s="1">
        <f>G18*Q18</f>
        <v>226.30640000000005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40</v>
      </c>
      <c r="D19" s="1">
        <v>168</v>
      </c>
      <c r="E19" s="1">
        <v>85</v>
      </c>
      <c r="F19" s="1">
        <v>123</v>
      </c>
      <c r="G19" s="7">
        <v>0.6</v>
      </c>
      <c r="H19" s="1">
        <v>45</v>
      </c>
      <c r="I19" s="1"/>
      <c r="J19" s="1"/>
      <c r="K19" s="1">
        <f t="shared" si="0"/>
        <v>85</v>
      </c>
      <c r="L19" s="1"/>
      <c r="M19" s="1"/>
      <c r="N19" s="1">
        <v>0</v>
      </c>
      <c r="O19" s="1">
        <v>0</v>
      </c>
      <c r="P19" s="1">
        <f t="shared" si="1"/>
        <v>17</v>
      </c>
      <c r="Q19" s="5">
        <f t="shared" ref="Q19:Q20" si="5">15*P19-O19-N19-F19</f>
        <v>132</v>
      </c>
      <c r="R19" s="5"/>
      <c r="S19" s="1"/>
      <c r="T19" s="1">
        <f t="shared" si="2"/>
        <v>15</v>
      </c>
      <c r="U19" s="1">
        <f t="shared" si="3"/>
        <v>7.2352941176470589</v>
      </c>
      <c r="V19" s="1">
        <v>10.8</v>
      </c>
      <c r="W19" s="1">
        <v>46</v>
      </c>
      <c r="X19" s="1">
        <v>28.6</v>
      </c>
      <c r="Y19" s="1">
        <v>26.8</v>
      </c>
      <c r="Z19" s="1">
        <v>18.8</v>
      </c>
      <c r="AA19" s="1">
        <v>0.2</v>
      </c>
      <c r="AB19" s="1">
        <v>2.2000000000000002</v>
      </c>
      <c r="AC19" s="1">
        <v>13.4</v>
      </c>
      <c r="AD19" s="1">
        <v>14</v>
      </c>
      <c r="AE19" s="1">
        <v>8.6</v>
      </c>
      <c r="AF19" s="1"/>
      <c r="AG19" s="1">
        <f>G19*Q19</f>
        <v>79.2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>
        <v>69</v>
      </c>
      <c r="D20" s="1">
        <v>224</v>
      </c>
      <c r="E20" s="16">
        <f>117+E63</f>
        <v>121</v>
      </c>
      <c r="F20" s="16">
        <f>167+F63</f>
        <v>164</v>
      </c>
      <c r="G20" s="7">
        <v>0.45</v>
      </c>
      <c r="H20" s="1">
        <v>45</v>
      </c>
      <c r="I20" s="1"/>
      <c r="J20" s="1"/>
      <c r="K20" s="1">
        <f t="shared" si="0"/>
        <v>121</v>
      </c>
      <c r="L20" s="1"/>
      <c r="M20" s="1"/>
      <c r="N20" s="1">
        <v>0</v>
      </c>
      <c r="O20" s="1">
        <v>0</v>
      </c>
      <c r="P20" s="1">
        <f t="shared" si="1"/>
        <v>24.2</v>
      </c>
      <c r="Q20" s="5">
        <f t="shared" si="5"/>
        <v>199</v>
      </c>
      <c r="R20" s="5"/>
      <c r="S20" s="1"/>
      <c r="T20" s="1">
        <f t="shared" si="2"/>
        <v>15</v>
      </c>
      <c r="U20" s="1">
        <f t="shared" si="3"/>
        <v>6.7768595041322319</v>
      </c>
      <c r="V20" s="1">
        <v>16.8</v>
      </c>
      <c r="W20" s="1">
        <v>34.4</v>
      </c>
      <c r="X20" s="1">
        <v>44.8</v>
      </c>
      <c r="Y20" s="1">
        <v>44.4</v>
      </c>
      <c r="Z20" s="1">
        <v>-17.600000000000001</v>
      </c>
      <c r="AA20" s="1">
        <v>17.600000000000001</v>
      </c>
      <c r="AB20" s="1">
        <v>11</v>
      </c>
      <c r="AC20" s="1">
        <v>12.4</v>
      </c>
      <c r="AD20" s="1">
        <v>13.2</v>
      </c>
      <c r="AE20" s="1">
        <v>11.4</v>
      </c>
      <c r="AF20" s="1"/>
      <c r="AG20" s="1">
        <f>G20*Q20</f>
        <v>89.55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460.16199999999998</v>
      </c>
      <c r="D21" s="1">
        <v>267.89800000000002</v>
      </c>
      <c r="E21" s="16">
        <f>173.662+E64</f>
        <v>218.80200000000002</v>
      </c>
      <c r="F21" s="16">
        <f>537.313+F64</f>
        <v>500.87199999999996</v>
      </c>
      <c r="G21" s="7">
        <v>1</v>
      </c>
      <c r="H21" s="1">
        <v>45</v>
      </c>
      <c r="I21" s="1"/>
      <c r="J21" s="1"/>
      <c r="K21" s="1">
        <f t="shared" si="0"/>
        <v>218.80200000000002</v>
      </c>
      <c r="L21" s="1"/>
      <c r="M21" s="1"/>
      <c r="N21" s="1">
        <v>0</v>
      </c>
      <c r="O21" s="1">
        <v>0</v>
      </c>
      <c r="P21" s="1">
        <f t="shared" si="1"/>
        <v>43.760400000000004</v>
      </c>
      <c r="Q21" s="5">
        <f t="shared" si="4"/>
        <v>286.81520000000012</v>
      </c>
      <c r="R21" s="5"/>
      <c r="S21" s="1"/>
      <c r="T21" s="1">
        <f t="shared" si="2"/>
        <v>18</v>
      </c>
      <c r="U21" s="1">
        <f t="shared" si="3"/>
        <v>11.445782031242857</v>
      </c>
      <c r="V21" s="1">
        <v>21.377600000000001</v>
      </c>
      <c r="W21" s="1">
        <v>87.513000000000005</v>
      </c>
      <c r="X21" s="1">
        <v>50.050400000000003</v>
      </c>
      <c r="Y21" s="1">
        <v>48.252600000000001</v>
      </c>
      <c r="Z21" s="1">
        <v>77.245800000000003</v>
      </c>
      <c r="AA21" s="1">
        <v>24.716200000000001</v>
      </c>
      <c r="AB21" s="1">
        <v>25.936399999999999</v>
      </c>
      <c r="AC21" s="1">
        <v>55.318600000000004</v>
      </c>
      <c r="AD21" s="1">
        <v>8.5498000000000012</v>
      </c>
      <c r="AE21" s="1">
        <v>0</v>
      </c>
      <c r="AF21" s="24" t="s">
        <v>125</v>
      </c>
      <c r="AG21" s="1">
        <f>G21*Q21</f>
        <v>286.81520000000012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35</v>
      </c>
      <c r="C22" s="1">
        <v>298</v>
      </c>
      <c r="D22" s="1">
        <v>366</v>
      </c>
      <c r="E22" s="1">
        <v>318</v>
      </c>
      <c r="F22" s="1">
        <v>312</v>
      </c>
      <c r="G22" s="7">
        <v>0.4</v>
      </c>
      <c r="H22" s="1">
        <v>45</v>
      </c>
      <c r="I22" s="1"/>
      <c r="J22" s="1"/>
      <c r="K22" s="1">
        <f t="shared" si="0"/>
        <v>318</v>
      </c>
      <c r="L22" s="1"/>
      <c r="M22" s="1"/>
      <c r="N22" s="1">
        <v>0</v>
      </c>
      <c r="O22" s="1">
        <v>0</v>
      </c>
      <c r="P22" s="1">
        <f t="shared" si="1"/>
        <v>63.6</v>
      </c>
      <c r="Q22" s="5">
        <f>13*P22-O22-N22-F22</f>
        <v>514.80000000000007</v>
      </c>
      <c r="R22" s="5"/>
      <c r="S22" s="1"/>
      <c r="T22" s="1">
        <f t="shared" si="2"/>
        <v>13</v>
      </c>
      <c r="U22" s="1">
        <f t="shared" si="3"/>
        <v>4.9056603773584904</v>
      </c>
      <c r="V22" s="1">
        <v>33.799999999999997</v>
      </c>
      <c r="W22" s="1">
        <v>38.200000000000003</v>
      </c>
      <c r="X22" s="1">
        <v>75.400000000000006</v>
      </c>
      <c r="Y22" s="1">
        <v>84.8</v>
      </c>
      <c r="Z22" s="1">
        <v>35.4</v>
      </c>
      <c r="AA22" s="1">
        <v>73</v>
      </c>
      <c r="AB22" s="1">
        <v>25.4</v>
      </c>
      <c r="AC22" s="1">
        <v>40.6</v>
      </c>
      <c r="AD22" s="1">
        <v>44.6</v>
      </c>
      <c r="AE22" s="1">
        <v>39.6</v>
      </c>
      <c r="AF22" s="1" t="s">
        <v>39</v>
      </c>
      <c r="AG22" s="1">
        <f>G22*Q22</f>
        <v>205.92000000000004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264</v>
      </c>
      <c r="D23" s="1">
        <v>432</v>
      </c>
      <c r="E23" s="16">
        <f>282+E65</f>
        <v>316</v>
      </c>
      <c r="F23" s="16">
        <f>391+F65</f>
        <v>368</v>
      </c>
      <c r="G23" s="7">
        <v>0.4</v>
      </c>
      <c r="H23" s="1">
        <v>45</v>
      </c>
      <c r="I23" s="1"/>
      <c r="J23" s="1"/>
      <c r="K23" s="1">
        <f t="shared" si="0"/>
        <v>316</v>
      </c>
      <c r="L23" s="1"/>
      <c r="M23" s="1"/>
      <c r="N23" s="1">
        <v>0</v>
      </c>
      <c r="O23" s="1">
        <v>0</v>
      </c>
      <c r="P23" s="1">
        <f t="shared" si="1"/>
        <v>63.2</v>
      </c>
      <c r="Q23" s="5">
        <f>14*P23-O23-N23-F23</f>
        <v>516.80000000000007</v>
      </c>
      <c r="R23" s="5"/>
      <c r="S23" s="1"/>
      <c r="T23" s="1">
        <f t="shared" si="2"/>
        <v>14</v>
      </c>
      <c r="U23" s="1">
        <f t="shared" si="3"/>
        <v>5.8227848101265822</v>
      </c>
      <c r="V23" s="1">
        <v>39.4</v>
      </c>
      <c r="W23" s="1">
        <v>111.2</v>
      </c>
      <c r="X23" s="1">
        <v>76.8</v>
      </c>
      <c r="Y23" s="1">
        <v>81</v>
      </c>
      <c r="Z23" s="1">
        <v>32</v>
      </c>
      <c r="AA23" s="1">
        <v>71.8</v>
      </c>
      <c r="AB23" s="1">
        <v>16.8</v>
      </c>
      <c r="AC23" s="1">
        <v>40.4</v>
      </c>
      <c r="AD23" s="1">
        <v>49.8</v>
      </c>
      <c r="AE23" s="1">
        <v>36</v>
      </c>
      <c r="AF23" s="1" t="s">
        <v>39</v>
      </c>
      <c r="AG23" s="1">
        <f>G23*Q23</f>
        <v>206.72000000000003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59</v>
      </c>
      <c r="B24" s="1" t="s">
        <v>38</v>
      </c>
      <c r="C24" s="1"/>
      <c r="D24" s="1"/>
      <c r="E24" s="1">
        <v>-1.04</v>
      </c>
      <c r="F24" s="1"/>
      <c r="G24" s="7">
        <v>1</v>
      </c>
      <c r="H24" s="1">
        <v>45</v>
      </c>
      <c r="I24" s="1"/>
      <c r="J24" s="1"/>
      <c r="K24" s="1">
        <f t="shared" si="0"/>
        <v>-1.04</v>
      </c>
      <c r="L24" s="1"/>
      <c r="M24" s="1"/>
      <c r="N24" s="1">
        <v>0</v>
      </c>
      <c r="O24" s="1">
        <v>0</v>
      </c>
      <c r="P24" s="1">
        <f t="shared" si="1"/>
        <v>-0.20800000000000002</v>
      </c>
      <c r="Q24" s="5"/>
      <c r="R24" s="5"/>
      <c r="S24" s="1"/>
      <c r="T24" s="1">
        <f t="shared" si="2"/>
        <v>0</v>
      </c>
      <c r="U24" s="1">
        <f t="shared" si="3"/>
        <v>0</v>
      </c>
      <c r="V24" s="1">
        <v>0</v>
      </c>
      <c r="W24" s="1">
        <v>-0.40799999999999997</v>
      </c>
      <c r="X24" s="1">
        <v>0</v>
      </c>
      <c r="Y24" s="1">
        <v>-1.0229999999999999</v>
      </c>
      <c r="Z24" s="1">
        <v>-2.2675999999999998</v>
      </c>
      <c r="AA24" s="1">
        <v>-1.6468</v>
      </c>
      <c r="AB24" s="1">
        <v>3.5444</v>
      </c>
      <c r="AC24" s="1">
        <v>5.8918000000000008</v>
      </c>
      <c r="AD24" s="1">
        <v>1.589</v>
      </c>
      <c r="AE24" s="1">
        <v>3.5724</v>
      </c>
      <c r="AF24" s="13" t="s">
        <v>60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61</v>
      </c>
      <c r="B25" s="1" t="s">
        <v>38</v>
      </c>
      <c r="C25" s="1">
        <v>274.536</v>
      </c>
      <c r="D25" s="1">
        <v>312.20299999999997</v>
      </c>
      <c r="E25" s="1">
        <v>216.33799999999999</v>
      </c>
      <c r="F25" s="1">
        <v>337.37</v>
      </c>
      <c r="G25" s="7">
        <v>1</v>
      </c>
      <c r="H25" s="1">
        <v>40</v>
      </c>
      <c r="I25" s="1"/>
      <c r="J25" s="1"/>
      <c r="K25" s="1">
        <f t="shared" si="0"/>
        <v>216.33799999999999</v>
      </c>
      <c r="L25" s="1"/>
      <c r="M25" s="1"/>
      <c r="N25" s="1">
        <v>50</v>
      </c>
      <c r="O25" s="1">
        <v>50</v>
      </c>
      <c r="P25" s="1">
        <f t="shared" si="1"/>
        <v>43.267600000000002</v>
      </c>
      <c r="Q25" s="5">
        <f t="shared" si="4"/>
        <v>341.44680000000005</v>
      </c>
      <c r="R25" s="5"/>
      <c r="S25" s="1"/>
      <c r="T25" s="1">
        <f t="shared" si="2"/>
        <v>18</v>
      </c>
      <c r="U25" s="1">
        <f t="shared" si="3"/>
        <v>10.108487644334328</v>
      </c>
      <c r="V25" s="1">
        <v>31.395199999999999</v>
      </c>
      <c r="W25" s="1">
        <v>13.756399999999999</v>
      </c>
      <c r="X25" s="1">
        <v>73.383800000000008</v>
      </c>
      <c r="Y25" s="1">
        <v>63.937800000000003</v>
      </c>
      <c r="Z25" s="1">
        <v>50.796999999999997</v>
      </c>
      <c r="AA25" s="1">
        <v>52.100800000000007</v>
      </c>
      <c r="AB25" s="1">
        <v>30.1144</v>
      </c>
      <c r="AC25" s="1">
        <v>43.735199999999999</v>
      </c>
      <c r="AD25" s="1">
        <v>32.511600000000001</v>
      </c>
      <c r="AE25" s="1">
        <v>38.621600000000001</v>
      </c>
      <c r="AF25" s="1" t="s">
        <v>62</v>
      </c>
      <c r="AG25" s="1">
        <f>G25*Q25</f>
        <v>341.44680000000005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63</v>
      </c>
      <c r="B26" s="1" t="s">
        <v>35</v>
      </c>
      <c r="C26" s="1"/>
      <c r="D26" s="1"/>
      <c r="E26" s="1">
        <v>-5</v>
      </c>
      <c r="F26" s="1"/>
      <c r="G26" s="7">
        <v>0.4</v>
      </c>
      <c r="H26" s="1">
        <v>40</v>
      </c>
      <c r="I26" s="1"/>
      <c r="J26" s="1"/>
      <c r="K26" s="1">
        <f t="shared" si="0"/>
        <v>-5</v>
      </c>
      <c r="L26" s="1"/>
      <c r="M26" s="1"/>
      <c r="N26" s="1">
        <v>0</v>
      </c>
      <c r="O26" s="1">
        <v>0</v>
      </c>
      <c r="P26" s="1">
        <f t="shared" si="1"/>
        <v>-1</v>
      </c>
      <c r="Q26" s="22"/>
      <c r="R26" s="5"/>
      <c r="S26" s="1"/>
      <c r="T26" s="1">
        <f t="shared" si="2"/>
        <v>0</v>
      </c>
      <c r="U26" s="1">
        <f t="shared" si="3"/>
        <v>0</v>
      </c>
      <c r="V26" s="1">
        <v>-0.2</v>
      </c>
      <c r="W26" s="1">
        <v>77.599999999999994</v>
      </c>
      <c r="X26" s="1">
        <v>73.599999999999994</v>
      </c>
      <c r="Y26" s="1">
        <v>84.2</v>
      </c>
      <c r="Z26" s="1">
        <v>59.6</v>
      </c>
      <c r="AA26" s="1">
        <v>17.8</v>
      </c>
      <c r="AB26" s="1">
        <v>43.6</v>
      </c>
      <c r="AC26" s="1">
        <v>8</v>
      </c>
      <c r="AD26" s="1">
        <v>13.4</v>
      </c>
      <c r="AE26" s="1">
        <v>43.2</v>
      </c>
      <c r="AF26" s="17" t="s">
        <v>124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38</v>
      </c>
      <c r="C27" s="1">
        <v>400.72399999999999</v>
      </c>
      <c r="D27" s="1">
        <v>507.94</v>
      </c>
      <c r="E27" s="16">
        <f>325.087+E66</f>
        <v>370.245</v>
      </c>
      <c r="F27" s="16">
        <f>539.474+F66</f>
        <v>508.77600000000007</v>
      </c>
      <c r="G27" s="7">
        <v>1</v>
      </c>
      <c r="H27" s="1">
        <v>40</v>
      </c>
      <c r="I27" s="1"/>
      <c r="J27" s="1"/>
      <c r="K27" s="1">
        <f t="shared" si="0"/>
        <v>370.245</v>
      </c>
      <c r="L27" s="1"/>
      <c r="M27" s="1"/>
      <c r="N27" s="1">
        <v>0</v>
      </c>
      <c r="O27" s="1">
        <v>0</v>
      </c>
      <c r="P27" s="1">
        <f t="shared" si="1"/>
        <v>74.049000000000007</v>
      </c>
      <c r="Q27" s="5">
        <f>15*P27-O27-N27-F27</f>
        <v>601.95900000000006</v>
      </c>
      <c r="R27" s="5"/>
      <c r="S27" s="1"/>
      <c r="T27" s="1">
        <f t="shared" si="2"/>
        <v>15</v>
      </c>
      <c r="U27" s="1">
        <f t="shared" si="3"/>
        <v>6.8708017663979257</v>
      </c>
      <c r="V27" s="1">
        <v>44.101199999999999</v>
      </c>
      <c r="W27" s="1">
        <v>6.7078000000000007</v>
      </c>
      <c r="X27" s="1">
        <v>101.7424</v>
      </c>
      <c r="Y27" s="1">
        <v>70.320999999999998</v>
      </c>
      <c r="Z27" s="1">
        <v>31.195599999999999</v>
      </c>
      <c r="AA27" s="1">
        <v>86.638599999999997</v>
      </c>
      <c r="AB27" s="1">
        <v>36.289200000000001</v>
      </c>
      <c r="AC27" s="1">
        <v>39.682399999999987</v>
      </c>
      <c r="AD27" s="1">
        <v>51.965400000000002</v>
      </c>
      <c r="AE27" s="1">
        <v>44.451999999999998</v>
      </c>
      <c r="AF27" s="1"/>
      <c r="AG27" s="1">
        <f>G27*Q27</f>
        <v>601.95900000000006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/>
      <c r="D28" s="1">
        <v>288</v>
      </c>
      <c r="E28" s="1">
        <v>113</v>
      </c>
      <c r="F28" s="1">
        <v>175</v>
      </c>
      <c r="G28" s="7">
        <v>0.35</v>
      </c>
      <c r="H28" s="1">
        <v>45</v>
      </c>
      <c r="I28" s="1"/>
      <c r="J28" s="1"/>
      <c r="K28" s="1">
        <f t="shared" si="0"/>
        <v>113</v>
      </c>
      <c r="L28" s="1"/>
      <c r="M28" s="1"/>
      <c r="N28" s="1">
        <v>0</v>
      </c>
      <c r="O28" s="1">
        <v>0</v>
      </c>
      <c r="P28" s="1">
        <f t="shared" si="1"/>
        <v>22.6</v>
      </c>
      <c r="Q28" s="5">
        <f>16*P28-O28-N28-F28</f>
        <v>186.60000000000002</v>
      </c>
      <c r="R28" s="5"/>
      <c r="S28" s="1"/>
      <c r="T28" s="1">
        <f t="shared" si="2"/>
        <v>16</v>
      </c>
      <c r="U28" s="1">
        <f t="shared" si="3"/>
        <v>7.7433628318584065</v>
      </c>
      <c r="V28" s="1">
        <v>0</v>
      </c>
      <c r="W28" s="1">
        <v>45.2</v>
      </c>
      <c r="X28" s="1">
        <v>-7.4</v>
      </c>
      <c r="Y28" s="1">
        <v>-3</v>
      </c>
      <c r="Z28" s="1">
        <v>31.4</v>
      </c>
      <c r="AA28" s="1">
        <v>14.6</v>
      </c>
      <c r="AB28" s="1">
        <v>13.4</v>
      </c>
      <c r="AC28" s="1">
        <v>13</v>
      </c>
      <c r="AD28" s="1">
        <v>5.8</v>
      </c>
      <c r="AE28" s="1">
        <v>10.4</v>
      </c>
      <c r="AF28" s="1"/>
      <c r="AG28" s="1">
        <f>G28*Q28</f>
        <v>65.31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38</v>
      </c>
      <c r="C29" s="1">
        <v>214.16900000000001</v>
      </c>
      <c r="D29" s="1">
        <v>153.51400000000001</v>
      </c>
      <c r="E29" s="16">
        <f>190.297+E67</f>
        <v>206.77099999999999</v>
      </c>
      <c r="F29" s="16">
        <f>158.314+F67</f>
        <v>143.185</v>
      </c>
      <c r="G29" s="7">
        <v>1</v>
      </c>
      <c r="H29" s="1">
        <v>45</v>
      </c>
      <c r="I29" s="1"/>
      <c r="J29" s="1"/>
      <c r="K29" s="1">
        <f t="shared" si="0"/>
        <v>206.77099999999999</v>
      </c>
      <c r="L29" s="1"/>
      <c r="M29" s="1"/>
      <c r="N29" s="1">
        <v>0</v>
      </c>
      <c r="O29" s="1">
        <v>0</v>
      </c>
      <c r="P29" s="1">
        <f t="shared" si="1"/>
        <v>41.354199999999999</v>
      </c>
      <c r="Q29" s="5">
        <f>11*P29-O29-N29-F29</f>
        <v>311.71119999999996</v>
      </c>
      <c r="R29" s="5"/>
      <c r="S29" s="1"/>
      <c r="T29" s="1">
        <f t="shared" si="2"/>
        <v>11</v>
      </c>
      <c r="U29" s="1">
        <f t="shared" si="3"/>
        <v>3.4624052695977676</v>
      </c>
      <c r="V29" s="1">
        <v>22.546399999999998</v>
      </c>
      <c r="W29" s="1">
        <v>61.446599999999997</v>
      </c>
      <c r="X29" s="1">
        <v>21.238199999999999</v>
      </c>
      <c r="Y29" s="1">
        <v>19.3474</v>
      </c>
      <c r="Z29" s="1">
        <v>-3.7848000000000002</v>
      </c>
      <c r="AA29" s="1">
        <v>14.282400000000001</v>
      </c>
      <c r="AB29" s="1">
        <v>5.0250000000000004</v>
      </c>
      <c r="AC29" s="1">
        <v>14.044600000000001</v>
      </c>
      <c r="AD29" s="1">
        <v>22.450199999999999</v>
      </c>
      <c r="AE29" s="1">
        <v>12.824400000000001</v>
      </c>
      <c r="AF29" s="1"/>
      <c r="AG29" s="1">
        <f>G29*Q29</f>
        <v>311.71119999999996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312</v>
      </c>
      <c r="D30" s="1">
        <v>336</v>
      </c>
      <c r="E30" s="1">
        <v>258</v>
      </c>
      <c r="F30" s="1">
        <v>366</v>
      </c>
      <c r="G30" s="7">
        <v>0.45</v>
      </c>
      <c r="H30" s="1">
        <v>45</v>
      </c>
      <c r="I30" s="1" t="s">
        <v>68</v>
      </c>
      <c r="J30" s="1"/>
      <c r="K30" s="1">
        <f t="shared" si="0"/>
        <v>258</v>
      </c>
      <c r="L30" s="1"/>
      <c r="M30" s="1"/>
      <c r="N30" s="1">
        <v>0</v>
      </c>
      <c r="O30" s="1">
        <v>0</v>
      </c>
      <c r="P30" s="1">
        <f t="shared" si="1"/>
        <v>51.6</v>
      </c>
      <c r="Q30" s="5">
        <f>15*P30-O30-N30-F30</f>
        <v>408</v>
      </c>
      <c r="R30" s="5"/>
      <c r="S30" s="1"/>
      <c r="T30" s="1">
        <f t="shared" si="2"/>
        <v>15</v>
      </c>
      <c r="U30" s="1">
        <f t="shared" si="3"/>
        <v>7.0930232558139537</v>
      </c>
      <c r="V30" s="1">
        <v>33.6</v>
      </c>
      <c r="W30" s="1">
        <v>46.8</v>
      </c>
      <c r="X30" s="1">
        <v>0</v>
      </c>
      <c r="Y30" s="1">
        <v>-0.8</v>
      </c>
      <c r="Z30" s="1">
        <v>30</v>
      </c>
      <c r="AA30" s="1">
        <v>60</v>
      </c>
      <c r="AB30" s="1">
        <v>29.2</v>
      </c>
      <c r="AC30" s="1">
        <v>35.4</v>
      </c>
      <c r="AD30" s="1">
        <v>32.6</v>
      </c>
      <c r="AE30" s="1">
        <v>39</v>
      </c>
      <c r="AF30" s="1" t="s">
        <v>68</v>
      </c>
      <c r="AG30" s="1">
        <f>G30*Q30</f>
        <v>183.6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38</v>
      </c>
      <c r="C31" s="1">
        <v>892.93</v>
      </c>
      <c r="D31" s="1">
        <v>713.55600000000004</v>
      </c>
      <c r="E31" s="1">
        <v>585.75900000000001</v>
      </c>
      <c r="F31" s="1">
        <v>996.61099999999999</v>
      </c>
      <c r="G31" s="7">
        <v>1</v>
      </c>
      <c r="H31" s="1">
        <v>45</v>
      </c>
      <c r="I31" s="1"/>
      <c r="J31" s="1"/>
      <c r="K31" s="1">
        <f t="shared" si="0"/>
        <v>585.75900000000001</v>
      </c>
      <c r="L31" s="1"/>
      <c r="M31" s="1"/>
      <c r="N31" s="1">
        <v>300</v>
      </c>
      <c r="O31" s="1">
        <v>300</v>
      </c>
      <c r="P31" s="1">
        <f t="shared" si="1"/>
        <v>117.15180000000001</v>
      </c>
      <c r="Q31" s="5">
        <f t="shared" si="4"/>
        <v>512.12140000000034</v>
      </c>
      <c r="R31" s="5"/>
      <c r="S31" s="1"/>
      <c r="T31" s="1">
        <f t="shared" si="2"/>
        <v>18</v>
      </c>
      <c r="U31" s="1">
        <f t="shared" si="3"/>
        <v>13.628565672913261</v>
      </c>
      <c r="V31" s="1">
        <v>100.6832</v>
      </c>
      <c r="W31" s="1">
        <v>206.1926</v>
      </c>
      <c r="X31" s="1">
        <v>139.56960000000001</v>
      </c>
      <c r="Y31" s="1">
        <v>180.1</v>
      </c>
      <c r="Z31" s="1">
        <v>98.6922</v>
      </c>
      <c r="AA31" s="1">
        <v>107.6404</v>
      </c>
      <c r="AB31" s="1">
        <v>63.856999999999992</v>
      </c>
      <c r="AC31" s="1">
        <v>64.816000000000003</v>
      </c>
      <c r="AD31" s="1">
        <v>101.94459999999999</v>
      </c>
      <c r="AE31" s="1">
        <v>77.189400000000006</v>
      </c>
      <c r="AF31" s="1"/>
      <c r="AG31" s="1">
        <f>G31*Q31</f>
        <v>512.12140000000034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38</v>
      </c>
      <c r="C32" s="1">
        <v>100.95699999999999</v>
      </c>
      <c r="D32" s="1"/>
      <c r="E32" s="1">
        <v>16.709</v>
      </c>
      <c r="F32" s="1">
        <v>80.594999999999999</v>
      </c>
      <c r="G32" s="7">
        <v>1</v>
      </c>
      <c r="H32" s="1">
        <v>40</v>
      </c>
      <c r="I32" s="1"/>
      <c r="J32" s="1"/>
      <c r="K32" s="1">
        <f t="shared" si="0"/>
        <v>16.709</v>
      </c>
      <c r="L32" s="1"/>
      <c r="M32" s="1"/>
      <c r="N32" s="1">
        <v>0</v>
      </c>
      <c r="O32" s="1">
        <v>0</v>
      </c>
      <c r="P32" s="1">
        <f t="shared" si="1"/>
        <v>3.3418000000000001</v>
      </c>
      <c r="Q32" s="5"/>
      <c r="R32" s="5"/>
      <c r="S32" s="1"/>
      <c r="T32" s="1">
        <f t="shared" si="2"/>
        <v>24.117242204799808</v>
      </c>
      <c r="U32" s="1">
        <f t="shared" si="3"/>
        <v>24.117242204799808</v>
      </c>
      <c r="V32" s="1">
        <v>1.3715999999999999</v>
      </c>
      <c r="W32" s="1">
        <v>19.026599999999998</v>
      </c>
      <c r="X32" s="1">
        <v>-0.11799999999999999</v>
      </c>
      <c r="Y32" s="1">
        <v>1.087</v>
      </c>
      <c r="Z32" s="1">
        <v>12.9772</v>
      </c>
      <c r="AA32" s="1">
        <v>-0.1676</v>
      </c>
      <c r="AB32" s="1">
        <v>11.728400000000001</v>
      </c>
      <c r="AC32" s="1">
        <v>0</v>
      </c>
      <c r="AD32" s="1">
        <v>4.9908000000000001</v>
      </c>
      <c r="AE32" s="1">
        <v>8.2157999999999998</v>
      </c>
      <c r="AF32" s="23" t="s">
        <v>42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372</v>
      </c>
      <c r="D33" s="1">
        <v>250</v>
      </c>
      <c r="E33" s="1">
        <v>258</v>
      </c>
      <c r="F33" s="1">
        <v>362</v>
      </c>
      <c r="G33" s="7">
        <v>0.4</v>
      </c>
      <c r="H33" s="1">
        <v>55</v>
      </c>
      <c r="I33" s="1"/>
      <c r="J33" s="1"/>
      <c r="K33" s="1">
        <f t="shared" si="0"/>
        <v>258</v>
      </c>
      <c r="L33" s="1"/>
      <c r="M33" s="1"/>
      <c r="N33" s="1">
        <v>0</v>
      </c>
      <c r="O33" s="1">
        <v>0</v>
      </c>
      <c r="P33" s="1">
        <f t="shared" si="1"/>
        <v>51.6</v>
      </c>
      <c r="Q33" s="5">
        <f>15*P33-O33-N33-F33</f>
        <v>412</v>
      </c>
      <c r="R33" s="5"/>
      <c r="S33" s="1"/>
      <c r="T33" s="1">
        <f t="shared" si="2"/>
        <v>15</v>
      </c>
      <c r="U33" s="1">
        <f t="shared" si="3"/>
        <v>7.0155038759689923</v>
      </c>
      <c r="V33" s="1">
        <v>24.6</v>
      </c>
      <c r="W33" s="1">
        <v>60.8</v>
      </c>
      <c r="X33" s="1">
        <v>34.799999999999997</v>
      </c>
      <c r="Y33" s="1">
        <v>47.4</v>
      </c>
      <c r="Z33" s="1">
        <v>52.6</v>
      </c>
      <c r="AA33" s="1">
        <v>35.4</v>
      </c>
      <c r="AB33" s="1">
        <v>31.6</v>
      </c>
      <c r="AC33" s="1">
        <v>32.799999999999997</v>
      </c>
      <c r="AD33" s="1">
        <v>35.799999999999997</v>
      </c>
      <c r="AE33" s="1">
        <v>33.200000000000003</v>
      </c>
      <c r="AF33" s="1"/>
      <c r="AG33" s="1">
        <f>G33*Q33</f>
        <v>164.8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72</v>
      </c>
      <c r="B34" s="10"/>
      <c r="C34" s="10">
        <v>-19.699000000000002</v>
      </c>
      <c r="D34" s="10"/>
      <c r="E34" s="10"/>
      <c r="F34" s="15">
        <v>-19.699000000000002</v>
      </c>
      <c r="G34" s="11">
        <v>0</v>
      </c>
      <c r="H34" s="10"/>
      <c r="I34" s="10" t="s">
        <v>73</v>
      </c>
      <c r="J34" s="10"/>
      <c r="K34" s="10">
        <f t="shared" si="0"/>
        <v>0</v>
      </c>
      <c r="L34" s="10"/>
      <c r="M34" s="10"/>
      <c r="N34" s="10"/>
      <c r="O34" s="10">
        <v>0</v>
      </c>
      <c r="P34" s="10">
        <f t="shared" si="1"/>
        <v>0</v>
      </c>
      <c r="Q34" s="12"/>
      <c r="R34" s="12"/>
      <c r="S34" s="10"/>
      <c r="T34" s="10" t="e">
        <f t="shared" si="2"/>
        <v>#DIV/0!</v>
      </c>
      <c r="U34" s="10" t="e">
        <f t="shared" si="3"/>
        <v>#DIV/0!</v>
      </c>
      <c r="V34" s="10">
        <v>3.9398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/>
      <c r="AG34" s="1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38</v>
      </c>
      <c r="C35" s="1">
        <v>650.02800000000002</v>
      </c>
      <c r="D35" s="1">
        <v>820.46100000000001</v>
      </c>
      <c r="E35" s="16">
        <f>288.467+E68</f>
        <v>315.221</v>
      </c>
      <c r="F35" s="16">
        <f>1145.517+F34+F68</f>
        <v>1106.3119999999999</v>
      </c>
      <c r="G35" s="7">
        <v>1</v>
      </c>
      <c r="H35" s="1">
        <v>60</v>
      </c>
      <c r="I35" s="1" t="s">
        <v>75</v>
      </c>
      <c r="J35" s="1"/>
      <c r="K35" s="1">
        <f t="shared" ref="K35:K48" si="6">E35-J35</f>
        <v>315.221</v>
      </c>
      <c r="L35" s="1"/>
      <c r="M35" s="1"/>
      <c r="N35" s="1">
        <v>500</v>
      </c>
      <c r="O35" s="1">
        <v>500</v>
      </c>
      <c r="P35" s="1">
        <f t="shared" si="1"/>
        <v>63.044200000000004</v>
      </c>
      <c r="Q35" s="5"/>
      <c r="R35" s="5"/>
      <c r="S35" s="1"/>
      <c r="T35" s="1">
        <f t="shared" si="2"/>
        <v>33.410083719041559</v>
      </c>
      <c r="U35" s="1">
        <f t="shared" si="3"/>
        <v>33.410083719041559</v>
      </c>
      <c r="V35" s="1">
        <v>97.886799999999994</v>
      </c>
      <c r="W35" s="1">
        <v>141.7054</v>
      </c>
      <c r="X35" s="1">
        <v>71.686799999999991</v>
      </c>
      <c r="Y35" s="1">
        <v>101.5622</v>
      </c>
      <c r="Z35" s="1">
        <v>58.765200000000007</v>
      </c>
      <c r="AA35" s="1">
        <v>85.500399999999999</v>
      </c>
      <c r="AB35" s="1">
        <v>85.436199999999999</v>
      </c>
      <c r="AC35" s="1">
        <v>56.302600000000012</v>
      </c>
      <c r="AD35" s="1">
        <v>64.710799999999992</v>
      </c>
      <c r="AE35" s="1">
        <v>58.065399999999997</v>
      </c>
      <c r="AF35" s="15" t="s">
        <v>125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76</v>
      </c>
      <c r="B36" s="1" t="s">
        <v>35</v>
      </c>
      <c r="C36" s="1"/>
      <c r="D36" s="1"/>
      <c r="E36" s="1">
        <v>-1</v>
      </c>
      <c r="F36" s="1"/>
      <c r="G36" s="7">
        <v>0.5</v>
      </c>
      <c r="H36" s="1">
        <v>60</v>
      </c>
      <c r="I36" s="1"/>
      <c r="J36" s="1"/>
      <c r="K36" s="1">
        <f t="shared" si="6"/>
        <v>-1</v>
      </c>
      <c r="L36" s="1"/>
      <c r="M36" s="1"/>
      <c r="N36" s="1">
        <v>400</v>
      </c>
      <c r="O36" s="1">
        <v>200</v>
      </c>
      <c r="P36" s="1">
        <f t="shared" si="1"/>
        <v>-0.2</v>
      </c>
      <c r="Q36" s="22"/>
      <c r="R36" s="5"/>
      <c r="S36" s="1"/>
      <c r="T36" s="1">
        <f t="shared" si="2"/>
        <v>-3000</v>
      </c>
      <c r="U36" s="1">
        <f t="shared" si="3"/>
        <v>-3000</v>
      </c>
      <c r="V36" s="1">
        <v>0</v>
      </c>
      <c r="W36" s="1">
        <v>-1.4</v>
      </c>
      <c r="X36" s="1">
        <v>-0.6</v>
      </c>
      <c r="Y36" s="1">
        <v>-1</v>
      </c>
      <c r="Z36" s="1">
        <v>17.399999999999999</v>
      </c>
      <c r="AA36" s="1">
        <v>18.600000000000001</v>
      </c>
      <c r="AB36" s="1">
        <v>17.399999999999999</v>
      </c>
      <c r="AC36" s="1">
        <v>24.8</v>
      </c>
      <c r="AD36" s="1">
        <v>20.2</v>
      </c>
      <c r="AE36" s="1">
        <v>24.4</v>
      </c>
      <c r="AF36" s="13" t="s">
        <v>77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38</v>
      </c>
      <c r="C37" s="1">
        <v>1013.39</v>
      </c>
      <c r="D37" s="1"/>
      <c r="E37" s="1">
        <v>226.64099999999999</v>
      </c>
      <c r="F37" s="1">
        <v>781.39099999999996</v>
      </c>
      <c r="G37" s="7">
        <v>1</v>
      </c>
      <c r="H37" s="1">
        <v>60</v>
      </c>
      <c r="I37" s="1"/>
      <c r="J37" s="1"/>
      <c r="K37" s="1">
        <f t="shared" si="6"/>
        <v>226.64099999999999</v>
      </c>
      <c r="L37" s="1"/>
      <c r="M37" s="1"/>
      <c r="N37" s="1">
        <v>500</v>
      </c>
      <c r="O37" s="1">
        <v>500</v>
      </c>
      <c r="P37" s="1">
        <f t="shared" si="1"/>
        <v>45.328199999999995</v>
      </c>
      <c r="Q37" s="5"/>
      <c r="R37" s="5"/>
      <c r="S37" s="1"/>
      <c r="T37" s="1">
        <f t="shared" si="2"/>
        <v>39.299839834804828</v>
      </c>
      <c r="U37" s="1">
        <f t="shared" si="3"/>
        <v>39.299839834804828</v>
      </c>
      <c r="V37" s="1">
        <v>78.9328</v>
      </c>
      <c r="W37" s="1">
        <v>80.742199999999997</v>
      </c>
      <c r="X37" s="1">
        <v>97.954199999999986</v>
      </c>
      <c r="Y37" s="1">
        <v>100.349</v>
      </c>
      <c r="Z37" s="1">
        <v>59.334600000000002</v>
      </c>
      <c r="AA37" s="1">
        <v>78.549799999999991</v>
      </c>
      <c r="AB37" s="1">
        <v>63.152200000000008</v>
      </c>
      <c r="AC37" s="1">
        <v>80.092999999999989</v>
      </c>
      <c r="AD37" s="1">
        <v>87.305800000000005</v>
      </c>
      <c r="AE37" s="1">
        <v>43.424400000000013</v>
      </c>
      <c r="AF37" s="23" t="s">
        <v>42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38</v>
      </c>
      <c r="C38" s="1">
        <v>706.20399999999995</v>
      </c>
      <c r="D38" s="1">
        <v>510.28500000000003</v>
      </c>
      <c r="E38" s="16">
        <f>182.582+E69</f>
        <v>192.70499999999998</v>
      </c>
      <c r="F38" s="16">
        <f>1005.994+F69</f>
        <v>995.87099999999998</v>
      </c>
      <c r="G38" s="7">
        <v>1</v>
      </c>
      <c r="H38" s="1">
        <v>60</v>
      </c>
      <c r="I38" s="1"/>
      <c r="J38" s="1"/>
      <c r="K38" s="1">
        <f t="shared" si="6"/>
        <v>192.70499999999998</v>
      </c>
      <c r="L38" s="1"/>
      <c r="M38" s="1"/>
      <c r="N38" s="1">
        <v>150</v>
      </c>
      <c r="O38" s="1">
        <v>150</v>
      </c>
      <c r="P38" s="1">
        <f t="shared" si="1"/>
        <v>38.540999999999997</v>
      </c>
      <c r="Q38" s="5"/>
      <c r="R38" s="5"/>
      <c r="S38" s="1"/>
      <c r="T38" s="1">
        <f t="shared" si="2"/>
        <v>33.62318050906827</v>
      </c>
      <c r="U38" s="1">
        <f t="shared" si="3"/>
        <v>33.62318050906827</v>
      </c>
      <c r="V38" s="1">
        <v>66.902999999999992</v>
      </c>
      <c r="W38" s="1">
        <v>100.0514</v>
      </c>
      <c r="X38" s="1">
        <v>47.908200000000001</v>
      </c>
      <c r="Y38" s="1">
        <v>92.847399999999993</v>
      </c>
      <c r="Z38" s="1">
        <v>49.596200000000003</v>
      </c>
      <c r="AA38" s="1">
        <v>60.602400000000003</v>
      </c>
      <c r="AB38" s="1">
        <v>64.268599999999992</v>
      </c>
      <c r="AC38" s="1">
        <v>67.176999999999992</v>
      </c>
      <c r="AD38" s="1">
        <v>61.669400000000003</v>
      </c>
      <c r="AE38" s="1">
        <v>49.305399999999999</v>
      </c>
      <c r="AF38" s="23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35</v>
      </c>
      <c r="C39" s="1">
        <v>766</v>
      </c>
      <c r="D39" s="1">
        <v>380</v>
      </c>
      <c r="E39" s="16">
        <f>296+E70</f>
        <v>330</v>
      </c>
      <c r="F39" s="16">
        <f>847+F70</f>
        <v>820</v>
      </c>
      <c r="G39" s="7">
        <v>0.4</v>
      </c>
      <c r="H39" s="1">
        <v>60</v>
      </c>
      <c r="I39" s="1"/>
      <c r="J39" s="1"/>
      <c r="K39" s="1">
        <f t="shared" si="6"/>
        <v>330</v>
      </c>
      <c r="L39" s="1"/>
      <c r="M39" s="1"/>
      <c r="N39" s="1">
        <v>0</v>
      </c>
      <c r="O39" s="1">
        <v>0</v>
      </c>
      <c r="P39" s="1">
        <f t="shared" si="1"/>
        <v>66</v>
      </c>
      <c r="Q39" s="5">
        <f t="shared" ref="Q35:Q47" si="7">18*P39-O39-N39-F39</f>
        <v>368</v>
      </c>
      <c r="R39" s="5"/>
      <c r="S39" s="1"/>
      <c r="T39" s="1">
        <f t="shared" si="2"/>
        <v>18</v>
      </c>
      <c r="U39" s="1">
        <f t="shared" si="3"/>
        <v>12.424242424242424</v>
      </c>
      <c r="V39" s="1">
        <v>30.4</v>
      </c>
      <c r="W39" s="1">
        <v>86.8</v>
      </c>
      <c r="X39" s="1">
        <v>51.4</v>
      </c>
      <c r="Y39" s="1">
        <v>51.4</v>
      </c>
      <c r="Z39" s="1">
        <v>70.400000000000006</v>
      </c>
      <c r="AA39" s="1">
        <v>39.6</v>
      </c>
      <c r="AB39" s="1">
        <v>63</v>
      </c>
      <c r="AC39" s="1">
        <v>83.8</v>
      </c>
      <c r="AD39" s="1">
        <v>27.6</v>
      </c>
      <c r="AE39" s="1">
        <v>0</v>
      </c>
      <c r="AF39" s="1"/>
      <c r="AG39" s="1">
        <f>G39*Q39</f>
        <v>147.20000000000002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38</v>
      </c>
      <c r="C40" s="1">
        <v>1164.7550000000001</v>
      </c>
      <c r="D40" s="1">
        <v>518.87</v>
      </c>
      <c r="E40" s="16">
        <f>346.797+E71</f>
        <v>402.79900000000004</v>
      </c>
      <c r="F40" s="16">
        <f>1326.614+F71</f>
        <v>1278.0930000000001</v>
      </c>
      <c r="G40" s="7">
        <v>1</v>
      </c>
      <c r="H40" s="1">
        <v>60</v>
      </c>
      <c r="I40" s="1"/>
      <c r="J40" s="1"/>
      <c r="K40" s="1">
        <f t="shared" si="6"/>
        <v>402.79900000000004</v>
      </c>
      <c r="L40" s="1"/>
      <c r="M40" s="1"/>
      <c r="N40" s="1">
        <v>0</v>
      </c>
      <c r="O40" s="1">
        <v>0</v>
      </c>
      <c r="P40" s="1">
        <f t="shared" si="1"/>
        <v>80.55980000000001</v>
      </c>
      <c r="Q40" s="5">
        <f t="shared" si="7"/>
        <v>171.98340000000007</v>
      </c>
      <c r="R40" s="5"/>
      <c r="S40" s="1"/>
      <c r="T40" s="1">
        <f t="shared" si="2"/>
        <v>18</v>
      </c>
      <c r="U40" s="1">
        <f t="shared" si="3"/>
        <v>15.865146139886146</v>
      </c>
      <c r="V40" s="1">
        <v>71.262399999999985</v>
      </c>
      <c r="W40" s="1">
        <v>125.2696</v>
      </c>
      <c r="X40" s="1">
        <v>82.332599999999999</v>
      </c>
      <c r="Y40" s="1">
        <v>110.2586</v>
      </c>
      <c r="Z40" s="1">
        <v>74.565799999999996</v>
      </c>
      <c r="AA40" s="1">
        <v>112.387</v>
      </c>
      <c r="AB40" s="1">
        <v>76.830799999999996</v>
      </c>
      <c r="AC40" s="1">
        <v>99.215400000000002</v>
      </c>
      <c r="AD40" s="1">
        <v>55.567799999999998</v>
      </c>
      <c r="AE40" s="1">
        <v>8.0313999999999997</v>
      </c>
      <c r="AF40" s="1"/>
      <c r="AG40" s="1">
        <f>G40*Q40</f>
        <v>171.98340000000007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35</v>
      </c>
      <c r="C41" s="1">
        <v>375</v>
      </c>
      <c r="D41" s="1"/>
      <c r="E41" s="1">
        <v>142</v>
      </c>
      <c r="F41" s="1">
        <v>229</v>
      </c>
      <c r="G41" s="7">
        <v>0.5</v>
      </c>
      <c r="H41" s="1">
        <v>60</v>
      </c>
      <c r="I41" s="1"/>
      <c r="J41" s="1"/>
      <c r="K41" s="1">
        <f t="shared" si="6"/>
        <v>142</v>
      </c>
      <c r="L41" s="1"/>
      <c r="M41" s="1"/>
      <c r="N41" s="1">
        <v>0</v>
      </c>
      <c r="O41" s="1">
        <v>0</v>
      </c>
      <c r="P41" s="1">
        <f t="shared" si="1"/>
        <v>28.4</v>
      </c>
      <c r="Q41" s="5">
        <f>16*P41-O41-N41-F41</f>
        <v>225.39999999999998</v>
      </c>
      <c r="R41" s="5"/>
      <c r="S41" s="1"/>
      <c r="T41" s="1">
        <f t="shared" si="2"/>
        <v>16</v>
      </c>
      <c r="U41" s="1">
        <f t="shared" si="3"/>
        <v>8.0633802816901419</v>
      </c>
      <c r="V41" s="1">
        <v>24</v>
      </c>
      <c r="W41" s="1">
        <v>37.200000000000003</v>
      </c>
      <c r="X41" s="1">
        <v>24</v>
      </c>
      <c r="Y41" s="1">
        <v>30.4</v>
      </c>
      <c r="Z41" s="1">
        <v>34.799999999999997</v>
      </c>
      <c r="AA41" s="1">
        <v>12</v>
      </c>
      <c r="AB41" s="1">
        <v>30</v>
      </c>
      <c r="AC41" s="1">
        <v>14.6</v>
      </c>
      <c r="AD41" s="1">
        <v>14.8</v>
      </c>
      <c r="AE41" s="1">
        <v>26.4</v>
      </c>
      <c r="AF41" s="1"/>
      <c r="AG41" s="1">
        <f>G41*Q41</f>
        <v>112.69999999999999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35</v>
      </c>
      <c r="C42" s="1">
        <v>237</v>
      </c>
      <c r="D42" s="1"/>
      <c r="E42" s="1">
        <v>163</v>
      </c>
      <c r="F42" s="1">
        <v>73</v>
      </c>
      <c r="G42" s="7">
        <v>0.4</v>
      </c>
      <c r="H42" s="1">
        <v>50</v>
      </c>
      <c r="I42" s="1"/>
      <c r="J42" s="1"/>
      <c r="K42" s="1">
        <f t="shared" si="6"/>
        <v>163</v>
      </c>
      <c r="L42" s="1"/>
      <c r="M42" s="1"/>
      <c r="N42" s="1">
        <v>0</v>
      </c>
      <c r="O42" s="1">
        <v>0</v>
      </c>
      <c r="P42" s="1">
        <f t="shared" si="1"/>
        <v>32.6</v>
      </c>
      <c r="Q42" s="5">
        <f>10*P42-O42-N42-F42</f>
        <v>253</v>
      </c>
      <c r="R42" s="5"/>
      <c r="S42" s="1"/>
      <c r="T42" s="1">
        <f t="shared" si="2"/>
        <v>10</v>
      </c>
      <c r="U42" s="1">
        <f t="shared" si="3"/>
        <v>2.2392638036809815</v>
      </c>
      <c r="V42" s="1">
        <v>15.4</v>
      </c>
      <c r="W42" s="1">
        <v>37.200000000000003</v>
      </c>
      <c r="X42" s="1">
        <v>7.2</v>
      </c>
      <c r="Y42" s="1">
        <v>33.6</v>
      </c>
      <c r="Z42" s="1">
        <v>13.8</v>
      </c>
      <c r="AA42" s="1">
        <v>3.6</v>
      </c>
      <c r="AB42" s="1">
        <v>18</v>
      </c>
      <c r="AC42" s="1">
        <v>2</v>
      </c>
      <c r="AD42" s="1">
        <v>14.8</v>
      </c>
      <c r="AE42" s="1">
        <v>10</v>
      </c>
      <c r="AF42" s="1"/>
      <c r="AG42" s="1">
        <f>G42*Q42</f>
        <v>101.2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38</v>
      </c>
      <c r="C43" s="1">
        <v>1669.915</v>
      </c>
      <c r="D43" s="1">
        <v>794.44399999999996</v>
      </c>
      <c r="E43" s="16">
        <f>714.799+E72</f>
        <v>785.44100000000003</v>
      </c>
      <c r="F43" s="16">
        <f>289.338+F72</f>
        <v>240.76900000000001</v>
      </c>
      <c r="G43" s="7">
        <v>1</v>
      </c>
      <c r="H43" s="1">
        <v>40</v>
      </c>
      <c r="I43" s="1"/>
      <c r="J43" s="1"/>
      <c r="K43" s="1">
        <f t="shared" si="6"/>
        <v>785.44100000000003</v>
      </c>
      <c r="L43" s="1"/>
      <c r="M43" s="1"/>
      <c r="N43" s="1">
        <v>500</v>
      </c>
      <c r="O43" s="1">
        <v>500</v>
      </c>
      <c r="P43" s="1">
        <f t="shared" si="1"/>
        <v>157.0882</v>
      </c>
      <c r="Q43" s="5">
        <f t="shared" ref="Q43:Q44" si="8">16*P43-O43-N43-F43</f>
        <v>1272.6422</v>
      </c>
      <c r="R43" s="5"/>
      <c r="S43" s="1"/>
      <c r="T43" s="1">
        <f t="shared" si="2"/>
        <v>16</v>
      </c>
      <c r="U43" s="1">
        <f t="shared" si="3"/>
        <v>7.8985499865680557</v>
      </c>
      <c r="V43" s="1">
        <v>156.29740000000001</v>
      </c>
      <c r="W43" s="1">
        <v>308.94</v>
      </c>
      <c r="X43" s="1">
        <v>180.2038</v>
      </c>
      <c r="Y43" s="1">
        <v>186.25219999999999</v>
      </c>
      <c r="Z43" s="1">
        <v>170.7062</v>
      </c>
      <c r="AA43" s="1">
        <v>157.10579999999999</v>
      </c>
      <c r="AB43" s="1">
        <v>121.3802</v>
      </c>
      <c r="AC43" s="1">
        <v>149.50800000000001</v>
      </c>
      <c r="AD43" s="1">
        <v>99.543199999999999</v>
      </c>
      <c r="AE43" s="1">
        <v>122.8976</v>
      </c>
      <c r="AF43" s="1" t="s">
        <v>85</v>
      </c>
      <c r="AG43" s="1">
        <f>G43*Q43</f>
        <v>1272.6422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86</v>
      </c>
      <c r="B44" s="1" t="s">
        <v>38</v>
      </c>
      <c r="C44" s="1"/>
      <c r="D44" s="1"/>
      <c r="E44" s="16">
        <f>E48</f>
        <v>298.56699999999995</v>
      </c>
      <c r="F44" s="16">
        <f>F48</f>
        <v>499.779</v>
      </c>
      <c r="G44" s="7">
        <v>1</v>
      </c>
      <c r="H44" s="1">
        <v>60</v>
      </c>
      <c r="I44" s="1" t="s">
        <v>75</v>
      </c>
      <c r="J44" s="1"/>
      <c r="K44" s="1">
        <f t="shared" si="6"/>
        <v>298.56699999999995</v>
      </c>
      <c r="L44" s="1"/>
      <c r="M44" s="1"/>
      <c r="N44" s="1">
        <v>0</v>
      </c>
      <c r="O44" s="1">
        <v>0</v>
      </c>
      <c r="P44" s="1">
        <f t="shared" si="1"/>
        <v>59.713399999999993</v>
      </c>
      <c r="Q44" s="5">
        <f t="shared" si="8"/>
        <v>455.63539999999989</v>
      </c>
      <c r="R44" s="5"/>
      <c r="S44" s="1"/>
      <c r="T44" s="1">
        <f t="shared" si="2"/>
        <v>16</v>
      </c>
      <c r="U44" s="1">
        <f t="shared" si="3"/>
        <v>8.3696289275104085</v>
      </c>
      <c r="V44" s="1">
        <v>48.061</v>
      </c>
      <c r="W44" s="1">
        <v>87.381799999999998</v>
      </c>
      <c r="X44" s="1">
        <v>52.2682</v>
      </c>
      <c r="Y44" s="1">
        <v>64.69</v>
      </c>
      <c r="Z44" s="1">
        <v>62.803800000000003</v>
      </c>
      <c r="AA44" s="1">
        <v>53.181800000000003</v>
      </c>
      <c r="AB44" s="1">
        <v>50.882399999999997</v>
      </c>
      <c r="AC44" s="1">
        <v>72.921199999999999</v>
      </c>
      <c r="AD44" s="1">
        <v>35.092599999999997</v>
      </c>
      <c r="AE44" s="1">
        <v>0</v>
      </c>
      <c r="AF44" s="1" t="s">
        <v>47</v>
      </c>
      <c r="AG44" s="1">
        <f>G44*Q44</f>
        <v>455.63539999999989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38</v>
      </c>
      <c r="C45" s="1">
        <v>446.423</v>
      </c>
      <c r="D45" s="1">
        <v>200.54300000000001</v>
      </c>
      <c r="E45" s="1">
        <v>162.95400000000001</v>
      </c>
      <c r="F45" s="1">
        <v>469.96800000000002</v>
      </c>
      <c r="G45" s="7">
        <v>1</v>
      </c>
      <c r="H45" s="1">
        <v>70</v>
      </c>
      <c r="I45" s="1"/>
      <c r="J45" s="1"/>
      <c r="K45" s="1">
        <f t="shared" si="6"/>
        <v>162.95400000000001</v>
      </c>
      <c r="L45" s="1"/>
      <c r="M45" s="1"/>
      <c r="N45" s="1">
        <v>0</v>
      </c>
      <c r="O45" s="1">
        <v>0</v>
      </c>
      <c r="P45" s="1">
        <f t="shared" si="1"/>
        <v>32.590800000000002</v>
      </c>
      <c r="Q45" s="5">
        <f t="shared" si="7"/>
        <v>116.66640000000001</v>
      </c>
      <c r="R45" s="5"/>
      <c r="S45" s="1"/>
      <c r="T45" s="1">
        <f t="shared" si="2"/>
        <v>18</v>
      </c>
      <c r="U45" s="1">
        <f t="shared" si="3"/>
        <v>14.420265841894031</v>
      </c>
      <c r="V45" s="1">
        <v>25.744</v>
      </c>
      <c r="W45" s="1">
        <v>40.942999999999998</v>
      </c>
      <c r="X45" s="1">
        <v>37.980400000000003</v>
      </c>
      <c r="Y45" s="1">
        <v>41.710799999999992</v>
      </c>
      <c r="Z45" s="1">
        <v>54.906599999999997</v>
      </c>
      <c r="AA45" s="1">
        <v>45.410400000000003</v>
      </c>
      <c r="AB45" s="1">
        <v>38.8108</v>
      </c>
      <c r="AC45" s="1">
        <v>48.449599999999997</v>
      </c>
      <c r="AD45" s="1">
        <v>16.1174</v>
      </c>
      <c r="AE45" s="1">
        <v>20.751799999999999</v>
      </c>
      <c r="AF45" s="1" t="s">
        <v>47</v>
      </c>
      <c r="AG45" s="1">
        <f>G45*Q45</f>
        <v>116.66640000000001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598</v>
      </c>
      <c r="D46" s="1">
        <v>954</v>
      </c>
      <c r="E46" s="16">
        <f>574+E73</f>
        <v>642</v>
      </c>
      <c r="F46" s="16">
        <f>883+F73</f>
        <v>835</v>
      </c>
      <c r="G46" s="7">
        <v>0.4</v>
      </c>
      <c r="H46" s="1">
        <v>40</v>
      </c>
      <c r="I46" s="1"/>
      <c r="J46" s="1"/>
      <c r="K46" s="1">
        <f t="shared" si="6"/>
        <v>642</v>
      </c>
      <c r="L46" s="1"/>
      <c r="M46" s="1"/>
      <c r="N46" s="1">
        <v>500</v>
      </c>
      <c r="O46" s="1">
        <v>200</v>
      </c>
      <c r="P46" s="1">
        <f t="shared" si="1"/>
        <v>128.4</v>
      </c>
      <c r="Q46" s="5">
        <f t="shared" si="7"/>
        <v>776.20000000000027</v>
      </c>
      <c r="R46" s="5"/>
      <c r="S46" s="1"/>
      <c r="T46" s="1">
        <f t="shared" si="2"/>
        <v>18</v>
      </c>
      <c r="U46" s="1">
        <f t="shared" si="3"/>
        <v>11.954828660436137</v>
      </c>
      <c r="V46" s="1">
        <v>145.19999999999999</v>
      </c>
      <c r="W46" s="1">
        <v>11.2</v>
      </c>
      <c r="X46" s="1">
        <v>162.19999999999999</v>
      </c>
      <c r="Y46" s="1">
        <v>101</v>
      </c>
      <c r="Z46" s="1">
        <v>156.80000000000001</v>
      </c>
      <c r="AA46" s="1">
        <v>131.19999999999999</v>
      </c>
      <c r="AB46" s="1">
        <v>90.8</v>
      </c>
      <c r="AC46" s="1">
        <v>120.6</v>
      </c>
      <c r="AD46" s="1">
        <v>69</v>
      </c>
      <c r="AE46" s="1">
        <v>90.4</v>
      </c>
      <c r="AF46" s="1"/>
      <c r="AG46" s="1">
        <f>G46*Q46</f>
        <v>310.48000000000013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38</v>
      </c>
      <c r="C47" s="1">
        <v>87.900999999999996</v>
      </c>
      <c r="D47" s="1">
        <v>411.53199999999998</v>
      </c>
      <c r="E47" s="16">
        <f>176.906+E74</f>
        <v>206.267</v>
      </c>
      <c r="F47" s="16">
        <f>272.529+F74</f>
        <v>254.476</v>
      </c>
      <c r="G47" s="7">
        <v>1</v>
      </c>
      <c r="H47" s="1">
        <v>40</v>
      </c>
      <c r="I47" s="1"/>
      <c r="J47" s="1"/>
      <c r="K47" s="1">
        <f t="shared" si="6"/>
        <v>206.267</v>
      </c>
      <c r="L47" s="1"/>
      <c r="M47" s="1"/>
      <c r="N47" s="1">
        <v>400</v>
      </c>
      <c r="O47" s="1">
        <v>400</v>
      </c>
      <c r="P47" s="1">
        <f t="shared" si="1"/>
        <v>41.253399999999999</v>
      </c>
      <c r="Q47" s="5"/>
      <c r="R47" s="5"/>
      <c r="S47" s="1"/>
      <c r="T47" s="1">
        <f t="shared" si="2"/>
        <v>25.560947703704425</v>
      </c>
      <c r="U47" s="1">
        <f t="shared" si="3"/>
        <v>25.560947703704425</v>
      </c>
      <c r="V47" s="1">
        <v>48.880199999999988</v>
      </c>
      <c r="W47" s="1">
        <v>52.859200000000001</v>
      </c>
      <c r="X47" s="1">
        <v>80.7958</v>
      </c>
      <c r="Y47" s="1">
        <v>81.067800000000005</v>
      </c>
      <c r="Z47" s="1">
        <v>74.38000000000001</v>
      </c>
      <c r="AA47" s="1">
        <v>66.489400000000003</v>
      </c>
      <c r="AB47" s="1">
        <v>46.83</v>
      </c>
      <c r="AC47" s="1">
        <v>73.261200000000002</v>
      </c>
      <c r="AD47" s="1">
        <v>38.764600000000002</v>
      </c>
      <c r="AE47" s="1">
        <v>47.242800000000003</v>
      </c>
      <c r="AF47" s="1" t="s">
        <v>47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90</v>
      </c>
      <c r="B48" s="10" t="s">
        <v>38</v>
      </c>
      <c r="C48" s="10">
        <v>492.26900000000001</v>
      </c>
      <c r="D48" s="10">
        <v>305.99200000000002</v>
      </c>
      <c r="E48" s="16">
        <f>278.828+E75</f>
        <v>298.56699999999995</v>
      </c>
      <c r="F48" s="16">
        <f>512.672+F75</f>
        <v>499.779</v>
      </c>
      <c r="G48" s="11">
        <v>0</v>
      </c>
      <c r="H48" s="10"/>
      <c r="I48" s="10" t="s">
        <v>91</v>
      </c>
      <c r="J48" s="10"/>
      <c r="K48" s="10">
        <f t="shared" si="6"/>
        <v>298.56699999999995</v>
      </c>
      <c r="L48" s="10"/>
      <c r="M48" s="10"/>
      <c r="N48" s="10"/>
      <c r="O48" s="10">
        <v>0</v>
      </c>
      <c r="P48" s="10">
        <f t="shared" si="1"/>
        <v>59.713399999999993</v>
      </c>
      <c r="Q48" s="12"/>
      <c r="R48" s="12"/>
      <c r="S48" s="10"/>
      <c r="T48" s="10">
        <f t="shared" si="2"/>
        <v>8.3696289275104085</v>
      </c>
      <c r="U48" s="10">
        <f t="shared" si="3"/>
        <v>8.3696289275104085</v>
      </c>
      <c r="V48" s="10">
        <v>48.061</v>
      </c>
      <c r="W48" s="10">
        <v>87.381799999999998</v>
      </c>
      <c r="X48" s="10">
        <v>0</v>
      </c>
      <c r="Y48" s="10">
        <v>68.954399999999993</v>
      </c>
      <c r="Z48" s="10">
        <v>62.803800000000003</v>
      </c>
      <c r="AA48" s="10">
        <v>53.181800000000003</v>
      </c>
      <c r="AB48" s="10">
        <v>50.882399999999997</v>
      </c>
      <c r="AC48" s="10">
        <v>72.921199999999999</v>
      </c>
      <c r="AD48" s="10">
        <v>35.092599999999997</v>
      </c>
      <c r="AE48" s="10">
        <v>47.344999999999999</v>
      </c>
      <c r="AF48" s="10"/>
      <c r="AG48" s="1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117</v>
      </c>
      <c r="B49" s="1" t="s">
        <v>38</v>
      </c>
      <c r="C49" s="1">
        <v>141.83799999999999</v>
      </c>
      <c r="D49" s="1"/>
      <c r="E49" s="1">
        <v>71.811999999999998</v>
      </c>
      <c r="F49" s="1">
        <v>69.411000000000001</v>
      </c>
      <c r="G49" s="7">
        <v>1</v>
      </c>
      <c r="H49" s="1">
        <v>50</v>
      </c>
      <c r="I49" s="1"/>
      <c r="J49" s="1"/>
      <c r="K49" s="1">
        <f t="shared" ref="K49:K55" si="9">E49-J49</f>
        <v>71.811999999999998</v>
      </c>
      <c r="L49" s="1"/>
      <c r="M49" s="1"/>
      <c r="N49" s="1">
        <v>100</v>
      </c>
      <c r="O49" s="1">
        <v>100</v>
      </c>
      <c r="P49" s="1">
        <f t="shared" si="1"/>
        <v>14.362399999999999</v>
      </c>
      <c r="Q49" s="5"/>
      <c r="R49" s="5"/>
      <c r="S49" s="1"/>
      <c r="T49" s="1">
        <f t="shared" si="2"/>
        <v>18.75807664457194</v>
      </c>
      <c r="U49" s="1">
        <f t="shared" si="3"/>
        <v>18.75807664457194</v>
      </c>
      <c r="V49" s="1">
        <v>16.150200000000002</v>
      </c>
      <c r="W49" s="1">
        <v>28.5412</v>
      </c>
      <c r="X49" s="1">
        <v>13.0962</v>
      </c>
      <c r="Y49" s="1">
        <v>20.655000000000001</v>
      </c>
      <c r="Z49" s="1">
        <v>24.9056</v>
      </c>
      <c r="AA49" s="1">
        <v>2.1402000000000001</v>
      </c>
      <c r="AB49" s="1">
        <v>12.6754</v>
      </c>
      <c r="AC49" s="1">
        <v>13.949400000000001</v>
      </c>
      <c r="AD49" s="1">
        <v>8.5684000000000005</v>
      </c>
      <c r="AE49" s="1">
        <v>9.5191999999999997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118</v>
      </c>
      <c r="B50" s="1" t="s">
        <v>35</v>
      </c>
      <c r="C50" s="1">
        <v>873</v>
      </c>
      <c r="D50" s="1"/>
      <c r="E50" s="16">
        <f>249+E76</f>
        <v>291</v>
      </c>
      <c r="F50" s="16">
        <f>615+F76</f>
        <v>590</v>
      </c>
      <c r="G50" s="7">
        <v>0.45</v>
      </c>
      <c r="H50" s="1">
        <v>50</v>
      </c>
      <c r="I50" s="1"/>
      <c r="J50" s="1"/>
      <c r="K50" s="1">
        <f t="shared" si="9"/>
        <v>291</v>
      </c>
      <c r="L50" s="1"/>
      <c r="M50" s="1"/>
      <c r="N50" s="1">
        <v>0</v>
      </c>
      <c r="O50" s="1">
        <v>0</v>
      </c>
      <c r="P50" s="1">
        <f t="shared" si="1"/>
        <v>58.2</v>
      </c>
      <c r="Q50" s="5">
        <f t="shared" ref="Q49:Q55" si="10">18*P50-O50-N50-F50</f>
        <v>457.60000000000014</v>
      </c>
      <c r="R50" s="5"/>
      <c r="S50" s="1"/>
      <c r="T50" s="1">
        <f t="shared" si="2"/>
        <v>18</v>
      </c>
      <c r="U50" s="1">
        <f t="shared" si="3"/>
        <v>10.137457044673539</v>
      </c>
      <c r="V50" s="1">
        <v>41.2</v>
      </c>
      <c r="W50" s="1">
        <v>57.6</v>
      </c>
      <c r="X50" s="1">
        <v>35</v>
      </c>
      <c r="Y50" s="1">
        <v>33.4</v>
      </c>
      <c r="Z50" s="1">
        <v>40.6</v>
      </c>
      <c r="AA50" s="1">
        <v>22.6</v>
      </c>
      <c r="AB50" s="1">
        <v>24.6</v>
      </c>
      <c r="AC50" s="1">
        <v>28.8</v>
      </c>
      <c r="AD50" s="1">
        <v>24</v>
      </c>
      <c r="AE50" s="1">
        <v>33.799999999999997</v>
      </c>
      <c r="AF50" s="1"/>
      <c r="AG50" s="1">
        <f>G50*Q50</f>
        <v>205.92000000000007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119</v>
      </c>
      <c r="B51" s="1" t="s">
        <v>35</v>
      </c>
      <c r="C51" s="1">
        <v>1007</v>
      </c>
      <c r="D51" s="1">
        <v>250</v>
      </c>
      <c r="E51" s="1">
        <v>383</v>
      </c>
      <c r="F51" s="1">
        <v>870</v>
      </c>
      <c r="G51" s="7">
        <v>0.4</v>
      </c>
      <c r="H51" s="1">
        <v>50</v>
      </c>
      <c r="I51" s="1"/>
      <c r="J51" s="1"/>
      <c r="K51" s="1">
        <f t="shared" si="9"/>
        <v>383</v>
      </c>
      <c r="L51" s="1"/>
      <c r="M51" s="1"/>
      <c r="N51" s="1">
        <v>0</v>
      </c>
      <c r="O51" s="1">
        <v>0</v>
      </c>
      <c r="P51" s="1">
        <f t="shared" si="1"/>
        <v>76.599999999999994</v>
      </c>
      <c r="Q51" s="5">
        <f t="shared" si="10"/>
        <v>508.79999999999995</v>
      </c>
      <c r="R51" s="5"/>
      <c r="S51" s="1"/>
      <c r="T51" s="1">
        <f t="shared" si="2"/>
        <v>18</v>
      </c>
      <c r="U51" s="1">
        <f t="shared" si="3"/>
        <v>11.357702349869452</v>
      </c>
      <c r="V51" s="1">
        <v>35.4</v>
      </c>
      <c r="W51" s="1">
        <v>78.8</v>
      </c>
      <c r="X51" s="1">
        <v>60</v>
      </c>
      <c r="Y51" s="1">
        <v>74.599999999999994</v>
      </c>
      <c r="Z51" s="1">
        <v>25.8</v>
      </c>
      <c r="AA51" s="1">
        <v>46.2</v>
      </c>
      <c r="AB51" s="1">
        <v>43.4</v>
      </c>
      <c r="AC51" s="1">
        <v>23.2</v>
      </c>
      <c r="AD51" s="1">
        <v>34.6</v>
      </c>
      <c r="AE51" s="1">
        <v>26.6</v>
      </c>
      <c r="AF51" s="1"/>
      <c r="AG51" s="1">
        <f>G51*Q51</f>
        <v>203.51999999999998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120</v>
      </c>
      <c r="B52" s="1" t="s">
        <v>38</v>
      </c>
      <c r="C52" s="1">
        <v>192.08500000000001</v>
      </c>
      <c r="D52" s="1">
        <v>165.024</v>
      </c>
      <c r="E52" s="1">
        <v>125.83199999999999</v>
      </c>
      <c r="F52" s="1">
        <v>220.536</v>
      </c>
      <c r="G52" s="7">
        <v>1</v>
      </c>
      <c r="H52" s="1">
        <v>50</v>
      </c>
      <c r="I52" s="1" t="s">
        <v>68</v>
      </c>
      <c r="J52" s="1"/>
      <c r="K52" s="1">
        <f t="shared" si="9"/>
        <v>125.83199999999999</v>
      </c>
      <c r="L52" s="1"/>
      <c r="M52" s="1"/>
      <c r="N52" s="1">
        <v>0</v>
      </c>
      <c r="O52" s="1">
        <v>0</v>
      </c>
      <c r="P52" s="1">
        <f t="shared" si="1"/>
        <v>25.166399999999999</v>
      </c>
      <c r="Q52" s="5">
        <f>17*P52-O52-N52-F52</f>
        <v>207.2928</v>
      </c>
      <c r="R52" s="5"/>
      <c r="S52" s="1"/>
      <c r="T52" s="1">
        <f t="shared" si="2"/>
        <v>17</v>
      </c>
      <c r="U52" s="1">
        <f t="shared" si="3"/>
        <v>8.7631127217242035</v>
      </c>
      <c r="V52" s="1">
        <v>16.630800000000001</v>
      </c>
      <c r="W52" s="1">
        <v>26.121600000000001</v>
      </c>
      <c r="X52" s="1">
        <v>26.289200000000001</v>
      </c>
      <c r="Y52" s="1">
        <v>25.781600000000001</v>
      </c>
      <c r="Z52" s="1">
        <v>21.547599999999999</v>
      </c>
      <c r="AA52" s="1">
        <v>7.4947999999999997</v>
      </c>
      <c r="AB52" s="1">
        <v>17.145800000000001</v>
      </c>
      <c r="AC52" s="1">
        <v>15.8568</v>
      </c>
      <c r="AD52" s="1">
        <v>8.4109999999999996</v>
      </c>
      <c r="AE52" s="1">
        <v>12.446400000000001</v>
      </c>
      <c r="AF52" s="1" t="s">
        <v>68</v>
      </c>
      <c r="AG52" s="1">
        <f>G52*Q52</f>
        <v>207.2928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121</v>
      </c>
      <c r="B53" s="1" t="s">
        <v>35</v>
      </c>
      <c r="C53" s="1">
        <v>320</v>
      </c>
      <c r="D53" s="1">
        <v>450</v>
      </c>
      <c r="E53" s="16">
        <f>533+E77</f>
        <v>536</v>
      </c>
      <c r="F53" s="16">
        <f>224+F77</f>
        <v>221</v>
      </c>
      <c r="G53" s="7">
        <v>0.45</v>
      </c>
      <c r="H53" s="1">
        <v>50</v>
      </c>
      <c r="I53" s="1"/>
      <c r="J53" s="1"/>
      <c r="K53" s="1">
        <f t="shared" si="9"/>
        <v>536</v>
      </c>
      <c r="L53" s="1"/>
      <c r="M53" s="1"/>
      <c r="N53" s="1">
        <v>333.33333333333331</v>
      </c>
      <c r="O53" s="1">
        <v>150</v>
      </c>
      <c r="P53" s="1">
        <f t="shared" si="1"/>
        <v>107.2</v>
      </c>
      <c r="Q53" s="5">
        <f>15*P53-O53-N53-F53</f>
        <v>903.66666666666674</v>
      </c>
      <c r="R53" s="5"/>
      <c r="S53" s="1"/>
      <c r="T53" s="1">
        <f t="shared" si="2"/>
        <v>15</v>
      </c>
      <c r="U53" s="1">
        <f t="shared" si="3"/>
        <v>6.570273631840795</v>
      </c>
      <c r="V53" s="1">
        <v>58.6</v>
      </c>
      <c r="W53" s="1">
        <v>131.4</v>
      </c>
      <c r="X53" s="1">
        <v>84.8</v>
      </c>
      <c r="Y53" s="1">
        <v>121</v>
      </c>
      <c r="Z53" s="1">
        <v>86.2</v>
      </c>
      <c r="AA53" s="1">
        <v>103.2</v>
      </c>
      <c r="AB53" s="1">
        <v>25.4</v>
      </c>
      <c r="AC53" s="1">
        <v>55.8</v>
      </c>
      <c r="AD53" s="1">
        <v>68</v>
      </c>
      <c r="AE53" s="1">
        <v>65.2</v>
      </c>
      <c r="AF53" s="1" t="s">
        <v>47</v>
      </c>
      <c r="AG53" s="1">
        <f>G53*Q53</f>
        <v>406.65000000000003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122</v>
      </c>
      <c r="B54" s="1" t="s">
        <v>35</v>
      </c>
      <c r="C54" s="1">
        <v>396</v>
      </c>
      <c r="D54" s="1"/>
      <c r="E54" s="16">
        <f>40+E78</f>
        <v>44</v>
      </c>
      <c r="F54" s="16">
        <f>352+F78</f>
        <v>348</v>
      </c>
      <c r="G54" s="7">
        <v>0.17</v>
      </c>
      <c r="H54" s="1">
        <v>180</v>
      </c>
      <c r="I54" s="1"/>
      <c r="J54" s="1"/>
      <c r="K54" s="1">
        <f t="shared" si="9"/>
        <v>44</v>
      </c>
      <c r="L54" s="1"/>
      <c r="M54" s="1"/>
      <c r="N54" s="1">
        <v>0</v>
      </c>
      <c r="O54" s="1">
        <v>0</v>
      </c>
      <c r="P54" s="1">
        <f t="shared" si="1"/>
        <v>8.8000000000000007</v>
      </c>
      <c r="Q54" s="5"/>
      <c r="R54" s="5"/>
      <c r="S54" s="1"/>
      <c r="T54" s="1">
        <f t="shared" si="2"/>
        <v>39.54545454545454</v>
      </c>
      <c r="U54" s="1">
        <f t="shared" si="3"/>
        <v>39.54545454545454</v>
      </c>
      <c r="V54" s="1">
        <v>13.8</v>
      </c>
      <c r="W54" s="1">
        <v>27.6</v>
      </c>
      <c r="X54" s="1">
        <v>8.4</v>
      </c>
      <c r="Y54" s="1">
        <v>11</v>
      </c>
      <c r="Z54" s="1">
        <v>8.6</v>
      </c>
      <c r="AA54" s="1">
        <v>10.6</v>
      </c>
      <c r="AB54" s="1">
        <v>6.6</v>
      </c>
      <c r="AC54" s="1">
        <v>16</v>
      </c>
      <c r="AD54" s="1">
        <v>13</v>
      </c>
      <c r="AE54" s="1">
        <v>6</v>
      </c>
      <c r="AF54" s="23" t="s">
        <v>42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123</v>
      </c>
      <c r="B55" s="1" t="s">
        <v>35</v>
      </c>
      <c r="C55" s="1">
        <v>561</v>
      </c>
      <c r="D55" s="1">
        <v>1</v>
      </c>
      <c r="E55" s="16">
        <f>49+E79</f>
        <v>56</v>
      </c>
      <c r="F55" s="16">
        <f>503+F79</f>
        <v>502</v>
      </c>
      <c r="G55" s="7">
        <v>0.17</v>
      </c>
      <c r="H55" s="1">
        <v>180</v>
      </c>
      <c r="I55" s="1"/>
      <c r="J55" s="1"/>
      <c r="K55" s="1">
        <f t="shared" si="9"/>
        <v>56</v>
      </c>
      <c r="L55" s="1"/>
      <c r="M55" s="1"/>
      <c r="N55" s="1">
        <v>0</v>
      </c>
      <c r="O55" s="1">
        <v>0</v>
      </c>
      <c r="P55" s="1">
        <f t="shared" si="1"/>
        <v>11.2</v>
      </c>
      <c r="Q55" s="5"/>
      <c r="R55" s="5"/>
      <c r="S55" s="1"/>
      <c r="T55" s="1">
        <f t="shared" si="2"/>
        <v>44.821428571428577</v>
      </c>
      <c r="U55" s="1">
        <f t="shared" si="3"/>
        <v>44.821428571428577</v>
      </c>
      <c r="V55" s="1">
        <v>2.8</v>
      </c>
      <c r="W55" s="1">
        <v>6.2</v>
      </c>
      <c r="X55" s="1">
        <v>12</v>
      </c>
      <c r="Y55" s="1">
        <v>6.8</v>
      </c>
      <c r="Z55" s="1">
        <v>14</v>
      </c>
      <c r="AA55" s="1">
        <v>16.600000000000001</v>
      </c>
      <c r="AB55" s="1">
        <v>26.4</v>
      </c>
      <c r="AC55" s="1">
        <v>16.399999999999999</v>
      </c>
      <c r="AD55" s="1">
        <v>19.600000000000001</v>
      </c>
      <c r="AE55" s="1">
        <v>0</v>
      </c>
      <c r="AF55" s="23" t="s">
        <v>42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92</v>
      </c>
      <c r="B56" s="18" t="s">
        <v>38</v>
      </c>
      <c r="C56" s="18">
        <v>15.028</v>
      </c>
      <c r="D56" s="18"/>
      <c r="E56" s="16">
        <v>55.218000000000004</v>
      </c>
      <c r="F56" s="16">
        <v>-40.19</v>
      </c>
      <c r="G56" s="19">
        <v>0</v>
      </c>
      <c r="H56" s="18"/>
      <c r="I56" s="18" t="s">
        <v>93</v>
      </c>
      <c r="J56" s="18"/>
      <c r="K56" s="18">
        <f>E56-J56</f>
        <v>55.218000000000004</v>
      </c>
      <c r="L56" s="18"/>
      <c r="M56" s="18"/>
      <c r="N56" s="18"/>
      <c r="O56" s="18">
        <v>0</v>
      </c>
      <c r="P56" s="18">
        <f t="shared" si="1"/>
        <v>11.043600000000001</v>
      </c>
      <c r="Q56" s="20"/>
      <c r="R56" s="20"/>
      <c r="S56" s="18"/>
      <c r="T56" s="18">
        <f t="shared" si="2"/>
        <v>-3.6392118512079388</v>
      </c>
      <c r="U56" s="18">
        <f t="shared" si="3"/>
        <v>-3.6392118512079388</v>
      </c>
      <c r="V56" s="18">
        <v>13.090199999999999</v>
      </c>
      <c r="W56" s="18">
        <v>18.188199999999998</v>
      </c>
      <c r="X56" s="18">
        <v>0</v>
      </c>
      <c r="Y56" s="18">
        <v>10.5002</v>
      </c>
      <c r="Z56" s="18">
        <v>7.4804000000000004</v>
      </c>
      <c r="AA56" s="18">
        <v>10.991199999999999</v>
      </c>
      <c r="AB56" s="18">
        <v>10.4558</v>
      </c>
      <c r="AC56" s="18">
        <v>22.629000000000001</v>
      </c>
      <c r="AD56" s="18">
        <v>11.0336</v>
      </c>
      <c r="AE56" s="18">
        <v>5.0026000000000002</v>
      </c>
      <c r="AF56" s="18"/>
      <c r="AG56" s="1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94</v>
      </c>
      <c r="B57" s="18" t="s">
        <v>38</v>
      </c>
      <c r="C57" s="18">
        <v>16.741</v>
      </c>
      <c r="D57" s="18"/>
      <c r="E57" s="16">
        <v>50.149000000000001</v>
      </c>
      <c r="F57" s="16">
        <v>-34.293999999999997</v>
      </c>
      <c r="G57" s="19">
        <v>0</v>
      </c>
      <c r="H57" s="18"/>
      <c r="I57" s="18" t="s">
        <v>93</v>
      </c>
      <c r="J57" s="18"/>
      <c r="K57" s="18">
        <f>E57-J57</f>
        <v>50.149000000000001</v>
      </c>
      <c r="L57" s="18"/>
      <c r="M57" s="18"/>
      <c r="N57" s="18"/>
      <c r="O57" s="18">
        <v>0</v>
      </c>
      <c r="P57" s="18">
        <f t="shared" si="1"/>
        <v>10.0298</v>
      </c>
      <c r="Q57" s="20"/>
      <c r="R57" s="20"/>
      <c r="S57" s="18"/>
      <c r="T57" s="18">
        <f t="shared" si="2"/>
        <v>-3.4192107519591612</v>
      </c>
      <c r="U57" s="18">
        <f t="shared" si="3"/>
        <v>-3.4192107519591612</v>
      </c>
      <c r="V57" s="18">
        <v>9.5581999999999994</v>
      </c>
      <c r="W57" s="18">
        <v>4.9371999999999998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/>
      <c r="AG57" s="1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95</v>
      </c>
      <c r="B58" s="18" t="s">
        <v>38</v>
      </c>
      <c r="C58" s="18"/>
      <c r="D58" s="18"/>
      <c r="E58" s="18">
        <v>0.39</v>
      </c>
      <c r="F58" s="18">
        <v>-0.39</v>
      </c>
      <c r="G58" s="19">
        <v>0</v>
      </c>
      <c r="H58" s="18"/>
      <c r="I58" s="18" t="s">
        <v>93</v>
      </c>
      <c r="J58" s="18"/>
      <c r="K58" s="18">
        <f>E58-J58</f>
        <v>0.39</v>
      </c>
      <c r="L58" s="18"/>
      <c r="M58" s="18"/>
      <c r="N58" s="18"/>
      <c r="O58" s="18">
        <v>0</v>
      </c>
      <c r="P58" s="18">
        <f t="shared" si="1"/>
        <v>7.8E-2</v>
      </c>
      <c r="Q58" s="20"/>
      <c r="R58" s="20"/>
      <c r="S58" s="18"/>
      <c r="T58" s="18">
        <f t="shared" si="2"/>
        <v>-5</v>
      </c>
      <c r="U58" s="18">
        <f t="shared" si="3"/>
        <v>-5</v>
      </c>
      <c r="V58" s="18">
        <v>0.15479999999999999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/>
      <c r="AG58" s="1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96</v>
      </c>
      <c r="B59" s="18" t="s">
        <v>38</v>
      </c>
      <c r="C59" s="18">
        <v>3.512</v>
      </c>
      <c r="D59" s="18"/>
      <c r="E59" s="16">
        <v>34.317</v>
      </c>
      <c r="F59" s="16">
        <v>-32.567999999999998</v>
      </c>
      <c r="G59" s="19">
        <v>0</v>
      </c>
      <c r="H59" s="18"/>
      <c r="I59" s="18" t="s">
        <v>93</v>
      </c>
      <c r="J59" s="18"/>
      <c r="K59" s="18">
        <f>E59-J59</f>
        <v>34.317</v>
      </c>
      <c r="L59" s="18"/>
      <c r="M59" s="18"/>
      <c r="N59" s="18"/>
      <c r="O59" s="18">
        <v>0</v>
      </c>
      <c r="P59" s="18">
        <f t="shared" si="1"/>
        <v>6.8634000000000004</v>
      </c>
      <c r="Q59" s="20"/>
      <c r="R59" s="20"/>
      <c r="S59" s="18"/>
      <c r="T59" s="18">
        <f t="shared" si="2"/>
        <v>-4.7451700323454844</v>
      </c>
      <c r="U59" s="18">
        <f t="shared" si="3"/>
        <v>-4.7451700323454844</v>
      </c>
      <c r="V59" s="18">
        <v>13.3712</v>
      </c>
      <c r="W59" s="18">
        <v>11.7706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/>
      <c r="AG59" s="1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97</v>
      </c>
      <c r="B60" s="18" t="s">
        <v>38</v>
      </c>
      <c r="C60" s="18"/>
      <c r="D60" s="18"/>
      <c r="E60" s="16">
        <v>4.3479999999999999</v>
      </c>
      <c r="F60" s="16">
        <v>-4.3479999999999999</v>
      </c>
      <c r="G60" s="19">
        <v>0</v>
      </c>
      <c r="H60" s="18"/>
      <c r="I60" s="18" t="s">
        <v>93</v>
      </c>
      <c r="J60" s="18"/>
      <c r="K60" s="18">
        <f>E60-J60</f>
        <v>4.3479999999999999</v>
      </c>
      <c r="L60" s="18"/>
      <c r="M60" s="18"/>
      <c r="N60" s="18"/>
      <c r="O60" s="18">
        <v>0</v>
      </c>
      <c r="P60" s="18">
        <f t="shared" si="1"/>
        <v>0.86959999999999993</v>
      </c>
      <c r="Q60" s="20"/>
      <c r="R60" s="20"/>
      <c r="S60" s="18"/>
      <c r="T60" s="18">
        <f t="shared" si="2"/>
        <v>-5</v>
      </c>
      <c r="U60" s="18">
        <f t="shared" si="3"/>
        <v>-5</v>
      </c>
      <c r="V60" s="18">
        <v>3.0306000000000002</v>
      </c>
      <c r="W60" s="18">
        <v>3.0276000000000001</v>
      </c>
      <c r="X60" s="18">
        <v>0</v>
      </c>
      <c r="Y60" s="18">
        <v>0</v>
      </c>
      <c r="Z60" s="18">
        <v>2.0068000000000001</v>
      </c>
      <c r="AA60" s="18">
        <v>1.4366000000000001</v>
      </c>
      <c r="AB60" s="18">
        <v>0.14319999999999999</v>
      </c>
      <c r="AC60" s="18">
        <v>0</v>
      </c>
      <c r="AD60" s="18">
        <v>0</v>
      </c>
      <c r="AE60" s="18">
        <v>0</v>
      </c>
      <c r="AF60" s="18"/>
      <c r="AG60" s="1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98</v>
      </c>
      <c r="B61" s="18" t="s">
        <v>38</v>
      </c>
      <c r="C61" s="18">
        <v>7.976</v>
      </c>
      <c r="D61" s="18"/>
      <c r="E61" s="16">
        <v>8.6910000000000007</v>
      </c>
      <c r="F61" s="16">
        <v>-4.3380000000000001</v>
      </c>
      <c r="G61" s="19">
        <v>0</v>
      </c>
      <c r="H61" s="18"/>
      <c r="I61" s="18" t="s">
        <v>93</v>
      </c>
      <c r="J61" s="18"/>
      <c r="K61" s="18">
        <f>E61-J61</f>
        <v>8.6910000000000007</v>
      </c>
      <c r="L61" s="18"/>
      <c r="M61" s="18"/>
      <c r="N61" s="18"/>
      <c r="O61" s="18">
        <v>0</v>
      </c>
      <c r="P61" s="18">
        <f t="shared" si="1"/>
        <v>1.7382000000000002</v>
      </c>
      <c r="Q61" s="20"/>
      <c r="R61" s="20"/>
      <c r="S61" s="18"/>
      <c r="T61" s="18">
        <f t="shared" si="2"/>
        <v>-2.4956851915774938</v>
      </c>
      <c r="U61" s="18">
        <f t="shared" si="3"/>
        <v>-2.4956851915774938</v>
      </c>
      <c r="V61" s="18">
        <v>3.4885999999999999</v>
      </c>
      <c r="W61" s="18">
        <v>3.6252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/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99</v>
      </c>
      <c r="B62" s="18" t="s">
        <v>35</v>
      </c>
      <c r="C62" s="18">
        <v>22</v>
      </c>
      <c r="D62" s="18"/>
      <c r="E62" s="16">
        <v>57</v>
      </c>
      <c r="F62" s="16">
        <v>-39</v>
      </c>
      <c r="G62" s="19">
        <v>0</v>
      </c>
      <c r="H62" s="18"/>
      <c r="I62" s="18" t="s">
        <v>93</v>
      </c>
      <c r="J62" s="18"/>
      <c r="K62" s="18">
        <f>E62-J62</f>
        <v>57</v>
      </c>
      <c r="L62" s="18"/>
      <c r="M62" s="18"/>
      <c r="N62" s="18"/>
      <c r="O62" s="18">
        <v>0</v>
      </c>
      <c r="P62" s="18">
        <f t="shared" si="1"/>
        <v>11.4</v>
      </c>
      <c r="Q62" s="20"/>
      <c r="R62" s="20"/>
      <c r="S62" s="18"/>
      <c r="T62" s="18">
        <f t="shared" si="2"/>
        <v>-3.4210526315789473</v>
      </c>
      <c r="U62" s="18">
        <f t="shared" si="3"/>
        <v>-3.4210526315789473</v>
      </c>
      <c r="V62" s="18">
        <v>13.2</v>
      </c>
      <c r="W62" s="18">
        <v>13.8</v>
      </c>
      <c r="X62" s="18">
        <v>0</v>
      </c>
      <c r="Y62" s="18">
        <v>6</v>
      </c>
      <c r="Z62" s="18">
        <v>12</v>
      </c>
      <c r="AA62" s="18">
        <v>2.2000000000000002</v>
      </c>
      <c r="AB62" s="18">
        <v>3.4</v>
      </c>
      <c r="AC62" s="18">
        <v>10.8</v>
      </c>
      <c r="AD62" s="18">
        <v>2.4</v>
      </c>
      <c r="AE62" s="18">
        <v>6.6</v>
      </c>
      <c r="AF62" s="18"/>
      <c r="AG62" s="1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100</v>
      </c>
      <c r="B63" s="18" t="s">
        <v>35</v>
      </c>
      <c r="C63" s="18">
        <v>2</v>
      </c>
      <c r="D63" s="18"/>
      <c r="E63" s="16">
        <v>4</v>
      </c>
      <c r="F63" s="16">
        <v>-3</v>
      </c>
      <c r="G63" s="19">
        <v>0</v>
      </c>
      <c r="H63" s="18"/>
      <c r="I63" s="18" t="s">
        <v>93</v>
      </c>
      <c r="J63" s="18"/>
      <c r="K63" s="18">
        <f>E63-J63</f>
        <v>4</v>
      </c>
      <c r="L63" s="18"/>
      <c r="M63" s="18"/>
      <c r="N63" s="18"/>
      <c r="O63" s="18">
        <v>0</v>
      </c>
      <c r="P63" s="18">
        <f t="shared" si="1"/>
        <v>0.8</v>
      </c>
      <c r="Q63" s="20"/>
      <c r="R63" s="20"/>
      <c r="S63" s="18"/>
      <c r="T63" s="18">
        <f t="shared" si="2"/>
        <v>-3.75</v>
      </c>
      <c r="U63" s="18">
        <f t="shared" si="3"/>
        <v>-3.75</v>
      </c>
      <c r="V63" s="18">
        <v>0.4</v>
      </c>
      <c r="W63" s="18">
        <v>0.6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101</v>
      </c>
      <c r="B64" s="18" t="s">
        <v>38</v>
      </c>
      <c r="C64" s="18">
        <v>13.012</v>
      </c>
      <c r="D64" s="18"/>
      <c r="E64" s="16">
        <v>45.14</v>
      </c>
      <c r="F64" s="16">
        <v>-36.441000000000003</v>
      </c>
      <c r="G64" s="19">
        <v>0</v>
      </c>
      <c r="H64" s="18"/>
      <c r="I64" s="18" t="s">
        <v>93</v>
      </c>
      <c r="J64" s="18"/>
      <c r="K64" s="18">
        <f>E64-J64</f>
        <v>45.14</v>
      </c>
      <c r="L64" s="18"/>
      <c r="M64" s="18"/>
      <c r="N64" s="18"/>
      <c r="O64" s="18">
        <v>0</v>
      </c>
      <c r="P64" s="18">
        <f t="shared" si="1"/>
        <v>9.0280000000000005</v>
      </c>
      <c r="Q64" s="20"/>
      <c r="R64" s="20"/>
      <c r="S64" s="18"/>
      <c r="T64" s="18">
        <f t="shared" si="2"/>
        <v>-4.0364421798848031</v>
      </c>
      <c r="U64" s="18">
        <f t="shared" si="3"/>
        <v>-4.0364421798848031</v>
      </c>
      <c r="V64" s="18">
        <v>2.8809999999999998</v>
      </c>
      <c r="W64" s="18">
        <v>8.9233999999999991</v>
      </c>
      <c r="X64" s="18">
        <v>0</v>
      </c>
      <c r="Y64" s="18">
        <v>0.87520000000000009</v>
      </c>
      <c r="Z64" s="18">
        <v>7.6360000000000001</v>
      </c>
      <c r="AA64" s="18">
        <v>2.0653999999999999</v>
      </c>
      <c r="AB64" s="18">
        <v>1.1768000000000001</v>
      </c>
      <c r="AC64" s="18">
        <v>6.3356000000000003</v>
      </c>
      <c r="AD64" s="18">
        <v>0</v>
      </c>
      <c r="AE64" s="18">
        <v>0</v>
      </c>
      <c r="AF64" s="18"/>
      <c r="AG64" s="1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102</v>
      </c>
      <c r="B65" s="18" t="s">
        <v>35</v>
      </c>
      <c r="C65" s="18">
        <v>19</v>
      </c>
      <c r="D65" s="18"/>
      <c r="E65" s="16">
        <v>34</v>
      </c>
      <c r="F65" s="16">
        <v>-23</v>
      </c>
      <c r="G65" s="19">
        <v>0</v>
      </c>
      <c r="H65" s="18"/>
      <c r="I65" s="18" t="s">
        <v>93</v>
      </c>
      <c r="J65" s="18"/>
      <c r="K65" s="18">
        <f>E65-J65</f>
        <v>34</v>
      </c>
      <c r="L65" s="18"/>
      <c r="M65" s="18"/>
      <c r="N65" s="18"/>
      <c r="O65" s="18">
        <v>0</v>
      </c>
      <c r="P65" s="18">
        <f t="shared" si="1"/>
        <v>6.8</v>
      </c>
      <c r="Q65" s="20"/>
      <c r="R65" s="20"/>
      <c r="S65" s="18"/>
      <c r="T65" s="18">
        <f t="shared" si="2"/>
        <v>-3.3823529411764706</v>
      </c>
      <c r="U65" s="18">
        <f t="shared" si="3"/>
        <v>-3.3823529411764706</v>
      </c>
      <c r="V65" s="18">
        <v>5.8</v>
      </c>
      <c r="W65" s="18">
        <v>6.6</v>
      </c>
      <c r="X65" s="18">
        <v>0</v>
      </c>
      <c r="Y65" s="18">
        <v>1.8</v>
      </c>
      <c r="Z65" s="18">
        <v>4.4000000000000004</v>
      </c>
      <c r="AA65" s="18">
        <v>10.199999999999999</v>
      </c>
      <c r="AB65" s="18">
        <v>1.8</v>
      </c>
      <c r="AC65" s="18">
        <v>4.5999999999999996</v>
      </c>
      <c r="AD65" s="18">
        <v>5.4</v>
      </c>
      <c r="AE65" s="18">
        <v>6.8</v>
      </c>
      <c r="AF65" s="18"/>
      <c r="AG65" s="18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103</v>
      </c>
      <c r="B66" s="18" t="s">
        <v>38</v>
      </c>
      <c r="C66" s="18">
        <v>21.731999999999999</v>
      </c>
      <c r="D66" s="18"/>
      <c r="E66" s="16">
        <v>45.158000000000001</v>
      </c>
      <c r="F66" s="16">
        <v>-30.698</v>
      </c>
      <c r="G66" s="19">
        <v>0</v>
      </c>
      <c r="H66" s="18"/>
      <c r="I66" s="18" t="s">
        <v>93</v>
      </c>
      <c r="J66" s="18"/>
      <c r="K66" s="18">
        <f>E66-J66</f>
        <v>45.158000000000001</v>
      </c>
      <c r="L66" s="18"/>
      <c r="M66" s="18"/>
      <c r="N66" s="18"/>
      <c r="O66" s="18">
        <v>0</v>
      </c>
      <c r="P66" s="18">
        <f t="shared" si="1"/>
        <v>9.031600000000001</v>
      </c>
      <c r="Q66" s="20"/>
      <c r="R66" s="20"/>
      <c r="S66" s="18"/>
      <c r="T66" s="18">
        <f t="shared" si="2"/>
        <v>-3.3989547809911862</v>
      </c>
      <c r="U66" s="18">
        <f t="shared" si="3"/>
        <v>-3.3989547809911862</v>
      </c>
      <c r="V66" s="18">
        <v>7.5016000000000007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/>
      <c r="AG66" s="1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104</v>
      </c>
      <c r="B67" s="18" t="s">
        <v>38</v>
      </c>
      <c r="C67" s="18">
        <v>1.345</v>
      </c>
      <c r="D67" s="18"/>
      <c r="E67" s="16">
        <v>16.474</v>
      </c>
      <c r="F67" s="16">
        <v>-15.129</v>
      </c>
      <c r="G67" s="19">
        <v>0</v>
      </c>
      <c r="H67" s="18"/>
      <c r="I67" s="18" t="s">
        <v>93</v>
      </c>
      <c r="J67" s="18"/>
      <c r="K67" s="18">
        <f>E67-J67</f>
        <v>16.474</v>
      </c>
      <c r="L67" s="18"/>
      <c r="M67" s="18"/>
      <c r="N67" s="18"/>
      <c r="O67" s="18">
        <v>0</v>
      </c>
      <c r="P67" s="18">
        <f t="shared" si="1"/>
        <v>3.2948</v>
      </c>
      <c r="Q67" s="20"/>
      <c r="R67" s="20"/>
      <c r="S67" s="18"/>
      <c r="T67" s="18">
        <f t="shared" si="2"/>
        <v>-4.591780988223868</v>
      </c>
      <c r="U67" s="18">
        <f t="shared" si="3"/>
        <v>-4.591780988223868</v>
      </c>
      <c r="V67" s="18">
        <v>1.6564000000000001</v>
      </c>
      <c r="W67" s="18">
        <v>0.27760000000000001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/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105</v>
      </c>
      <c r="B68" s="18" t="s">
        <v>38</v>
      </c>
      <c r="C68" s="18">
        <v>7.2480000000000002</v>
      </c>
      <c r="D68" s="18"/>
      <c r="E68" s="16">
        <v>26.754000000000001</v>
      </c>
      <c r="F68" s="16">
        <v>-19.506</v>
      </c>
      <c r="G68" s="19">
        <v>0</v>
      </c>
      <c r="H68" s="18"/>
      <c r="I68" s="18" t="s">
        <v>93</v>
      </c>
      <c r="J68" s="18"/>
      <c r="K68" s="18">
        <f>E68-J68</f>
        <v>26.754000000000001</v>
      </c>
      <c r="L68" s="18"/>
      <c r="M68" s="18"/>
      <c r="N68" s="18"/>
      <c r="O68" s="18">
        <v>0</v>
      </c>
      <c r="P68" s="18">
        <f t="shared" si="1"/>
        <v>5.3508000000000004</v>
      </c>
      <c r="Q68" s="20"/>
      <c r="R68" s="20"/>
      <c r="S68" s="18"/>
      <c r="T68" s="18">
        <f t="shared" si="2"/>
        <v>-3.6454361964566044</v>
      </c>
      <c r="U68" s="18">
        <f t="shared" si="3"/>
        <v>-3.6454361964566044</v>
      </c>
      <c r="V68" s="18">
        <v>16.502199999999998</v>
      </c>
      <c r="W68" s="18">
        <v>19.383199999999999</v>
      </c>
      <c r="X68" s="18">
        <v>0</v>
      </c>
      <c r="Y68" s="18">
        <v>12.347200000000001</v>
      </c>
      <c r="Z68" s="18">
        <v>5.3330000000000002</v>
      </c>
      <c r="AA68" s="18">
        <v>4.9744000000000002</v>
      </c>
      <c r="AB68" s="18">
        <v>7.9537999999999993</v>
      </c>
      <c r="AC68" s="18">
        <v>3.4238</v>
      </c>
      <c r="AD68" s="18">
        <v>4.4067999999999996</v>
      </c>
      <c r="AE68" s="18">
        <v>8.9141999999999992</v>
      </c>
      <c r="AF68" s="18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106</v>
      </c>
      <c r="B69" s="18" t="s">
        <v>38</v>
      </c>
      <c r="C69" s="18">
        <v>7.5549999999999997</v>
      </c>
      <c r="D69" s="18"/>
      <c r="E69" s="16">
        <v>10.122999999999999</v>
      </c>
      <c r="F69" s="16">
        <v>-10.122999999999999</v>
      </c>
      <c r="G69" s="19">
        <v>0</v>
      </c>
      <c r="H69" s="18"/>
      <c r="I69" s="18" t="s">
        <v>93</v>
      </c>
      <c r="J69" s="18"/>
      <c r="K69" s="18">
        <f>E69-J69</f>
        <v>10.122999999999999</v>
      </c>
      <c r="L69" s="18"/>
      <c r="M69" s="18"/>
      <c r="N69" s="18"/>
      <c r="O69" s="18">
        <v>0</v>
      </c>
      <c r="P69" s="18">
        <f t="shared" si="1"/>
        <v>2.0246</v>
      </c>
      <c r="Q69" s="20"/>
      <c r="R69" s="20"/>
      <c r="S69" s="18"/>
      <c r="T69" s="18">
        <f t="shared" si="2"/>
        <v>-5</v>
      </c>
      <c r="U69" s="18">
        <f t="shared" si="3"/>
        <v>-5</v>
      </c>
      <c r="V69" s="18">
        <v>6.5441999999999991</v>
      </c>
      <c r="W69" s="18">
        <v>16.846399999999999</v>
      </c>
      <c r="X69" s="18">
        <v>0</v>
      </c>
      <c r="Y69" s="18">
        <v>5.4776000000000007</v>
      </c>
      <c r="Z69" s="18">
        <v>3.4407999999999999</v>
      </c>
      <c r="AA69" s="18">
        <v>13.021800000000001</v>
      </c>
      <c r="AB69" s="18">
        <v>2.9964</v>
      </c>
      <c r="AC69" s="18">
        <v>2.4929999999999999</v>
      </c>
      <c r="AD69" s="18">
        <v>1.9890000000000001</v>
      </c>
      <c r="AE69" s="18">
        <v>2.0142000000000002</v>
      </c>
      <c r="AF69" s="18"/>
      <c r="AG69" s="1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107</v>
      </c>
      <c r="B70" s="18" t="s">
        <v>35</v>
      </c>
      <c r="C70" s="18">
        <v>7</v>
      </c>
      <c r="D70" s="18"/>
      <c r="E70" s="16">
        <v>34</v>
      </c>
      <c r="F70" s="16">
        <v>-27</v>
      </c>
      <c r="G70" s="19">
        <v>0</v>
      </c>
      <c r="H70" s="18"/>
      <c r="I70" s="18" t="s">
        <v>93</v>
      </c>
      <c r="J70" s="18"/>
      <c r="K70" s="18">
        <f>E70-J70</f>
        <v>34</v>
      </c>
      <c r="L70" s="18"/>
      <c r="M70" s="18"/>
      <c r="N70" s="18"/>
      <c r="O70" s="18">
        <v>0</v>
      </c>
      <c r="P70" s="18">
        <f t="shared" si="1"/>
        <v>6.8</v>
      </c>
      <c r="Q70" s="20"/>
      <c r="R70" s="20"/>
      <c r="S70" s="18"/>
      <c r="T70" s="18">
        <f t="shared" si="2"/>
        <v>-3.9705882352941178</v>
      </c>
      <c r="U70" s="18">
        <f t="shared" si="3"/>
        <v>-3.9705882352941178</v>
      </c>
      <c r="V70" s="18">
        <v>3.8</v>
      </c>
      <c r="W70" s="18">
        <v>10.6</v>
      </c>
      <c r="X70" s="18">
        <v>0</v>
      </c>
      <c r="Y70" s="18">
        <v>5</v>
      </c>
      <c r="Z70" s="18">
        <v>8.6</v>
      </c>
      <c r="AA70" s="18">
        <v>6.6</v>
      </c>
      <c r="AB70" s="18">
        <v>8</v>
      </c>
      <c r="AC70" s="18">
        <v>12.2</v>
      </c>
      <c r="AD70" s="18">
        <v>3</v>
      </c>
      <c r="AE70" s="18">
        <v>0</v>
      </c>
      <c r="AF70" s="18"/>
      <c r="AG70" s="18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108</v>
      </c>
      <c r="B71" s="18" t="s">
        <v>38</v>
      </c>
      <c r="C71" s="18">
        <v>9.08</v>
      </c>
      <c r="D71" s="18"/>
      <c r="E71" s="16">
        <v>56.002000000000002</v>
      </c>
      <c r="F71" s="16">
        <v>-48.521000000000001</v>
      </c>
      <c r="G71" s="19">
        <v>0</v>
      </c>
      <c r="H71" s="18"/>
      <c r="I71" s="18" t="s">
        <v>93</v>
      </c>
      <c r="J71" s="18"/>
      <c r="K71" s="18">
        <f>E71-J71</f>
        <v>56.002000000000002</v>
      </c>
      <c r="L71" s="18"/>
      <c r="M71" s="18"/>
      <c r="N71" s="18"/>
      <c r="O71" s="18">
        <v>0</v>
      </c>
      <c r="P71" s="18">
        <f t="shared" ref="P71:P79" si="11">E71/5</f>
        <v>11.2004</v>
      </c>
      <c r="Q71" s="20"/>
      <c r="R71" s="20"/>
      <c r="S71" s="18"/>
      <c r="T71" s="18">
        <f t="shared" ref="T71:T79" si="12">(F71+N71+O71+Q71)/P71</f>
        <v>-4.3320774258062213</v>
      </c>
      <c r="U71" s="18">
        <f t="shared" ref="U71:U79" si="13">(F71+N71+O71)/P71</f>
        <v>-4.3320774258062213</v>
      </c>
      <c r="V71" s="18">
        <v>11.421799999999999</v>
      </c>
      <c r="W71" s="18">
        <v>18.138999999999999</v>
      </c>
      <c r="X71" s="18">
        <v>0</v>
      </c>
      <c r="Y71" s="18">
        <v>13</v>
      </c>
      <c r="Z71" s="18">
        <v>9.3338000000000001</v>
      </c>
      <c r="AA71" s="18">
        <v>18.312799999999999</v>
      </c>
      <c r="AB71" s="18">
        <v>12.049200000000001</v>
      </c>
      <c r="AC71" s="18">
        <v>13.3436</v>
      </c>
      <c r="AD71" s="18">
        <v>7.2173999999999996</v>
      </c>
      <c r="AE71" s="18">
        <v>0.48299999999999998</v>
      </c>
      <c r="AF71" s="18"/>
      <c r="AG71" s="18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109</v>
      </c>
      <c r="B72" s="18" t="s">
        <v>38</v>
      </c>
      <c r="C72" s="18">
        <v>27.867999999999999</v>
      </c>
      <c r="D72" s="18"/>
      <c r="E72" s="16">
        <v>70.641999999999996</v>
      </c>
      <c r="F72" s="16">
        <v>-48.569000000000003</v>
      </c>
      <c r="G72" s="19">
        <v>0</v>
      </c>
      <c r="H72" s="18"/>
      <c r="I72" s="18" t="s">
        <v>93</v>
      </c>
      <c r="J72" s="18"/>
      <c r="K72" s="18">
        <f>E72-J72</f>
        <v>70.641999999999996</v>
      </c>
      <c r="L72" s="18"/>
      <c r="M72" s="18"/>
      <c r="N72" s="18"/>
      <c r="O72" s="18">
        <v>0</v>
      </c>
      <c r="P72" s="18">
        <f t="shared" si="11"/>
        <v>14.128399999999999</v>
      </c>
      <c r="Q72" s="20"/>
      <c r="R72" s="20"/>
      <c r="S72" s="18"/>
      <c r="T72" s="18">
        <f t="shared" si="12"/>
        <v>-3.4376857959853915</v>
      </c>
      <c r="U72" s="18">
        <f t="shared" si="13"/>
        <v>-3.4376857959853915</v>
      </c>
      <c r="V72" s="18">
        <v>16.0076</v>
      </c>
      <c r="W72" s="18">
        <v>37.787999999999997</v>
      </c>
      <c r="X72" s="18">
        <v>0</v>
      </c>
      <c r="Y72" s="18">
        <v>5.2573999999999996</v>
      </c>
      <c r="Z72" s="18">
        <v>15.815200000000001</v>
      </c>
      <c r="AA72" s="18">
        <v>21.065799999999999</v>
      </c>
      <c r="AB72" s="18">
        <v>10.9794</v>
      </c>
      <c r="AC72" s="18">
        <v>13.3108</v>
      </c>
      <c r="AD72" s="18">
        <v>12.0562</v>
      </c>
      <c r="AE72" s="18">
        <v>18.241599999999998</v>
      </c>
      <c r="AF72" s="18"/>
      <c r="AG72" s="1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8" t="s">
        <v>35</v>
      </c>
      <c r="C73" s="18">
        <v>33</v>
      </c>
      <c r="D73" s="18"/>
      <c r="E73" s="16">
        <v>68</v>
      </c>
      <c r="F73" s="16">
        <v>-48</v>
      </c>
      <c r="G73" s="19">
        <v>0</v>
      </c>
      <c r="H73" s="18"/>
      <c r="I73" s="18" t="s">
        <v>93</v>
      </c>
      <c r="J73" s="18"/>
      <c r="K73" s="18">
        <f>E73-J73</f>
        <v>68</v>
      </c>
      <c r="L73" s="18"/>
      <c r="M73" s="18"/>
      <c r="N73" s="18"/>
      <c r="O73" s="18">
        <v>0</v>
      </c>
      <c r="P73" s="18">
        <f t="shared" si="11"/>
        <v>13.6</v>
      </c>
      <c r="Q73" s="20"/>
      <c r="R73" s="20"/>
      <c r="S73" s="18"/>
      <c r="T73" s="18">
        <f t="shared" si="12"/>
        <v>-3.5294117647058822</v>
      </c>
      <c r="U73" s="18">
        <f t="shared" si="13"/>
        <v>-3.5294117647058822</v>
      </c>
      <c r="V73" s="18">
        <v>18.399999999999999</v>
      </c>
      <c r="W73" s="18">
        <v>0.8</v>
      </c>
      <c r="X73" s="18">
        <v>0</v>
      </c>
      <c r="Y73" s="18">
        <v>4.4000000000000004</v>
      </c>
      <c r="Z73" s="18">
        <v>19.600000000000001</v>
      </c>
      <c r="AA73" s="18">
        <v>19.600000000000001</v>
      </c>
      <c r="AB73" s="18">
        <v>8</v>
      </c>
      <c r="AC73" s="18">
        <v>16.2</v>
      </c>
      <c r="AD73" s="18">
        <v>8</v>
      </c>
      <c r="AE73" s="18">
        <v>13</v>
      </c>
      <c r="AF73" s="18"/>
      <c r="AG73" s="18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111</v>
      </c>
      <c r="B74" s="18" t="s">
        <v>38</v>
      </c>
      <c r="C74" s="18">
        <v>14.180999999999999</v>
      </c>
      <c r="D74" s="18"/>
      <c r="E74" s="16">
        <v>29.361000000000001</v>
      </c>
      <c r="F74" s="16">
        <v>-18.053000000000001</v>
      </c>
      <c r="G74" s="19">
        <v>0</v>
      </c>
      <c r="H74" s="18"/>
      <c r="I74" s="18" t="s">
        <v>93</v>
      </c>
      <c r="J74" s="18"/>
      <c r="K74" s="18">
        <f>E74-J74</f>
        <v>29.361000000000001</v>
      </c>
      <c r="L74" s="18"/>
      <c r="M74" s="18"/>
      <c r="N74" s="18"/>
      <c r="O74" s="18">
        <v>0</v>
      </c>
      <c r="P74" s="18">
        <f t="shared" si="11"/>
        <v>5.8722000000000003</v>
      </c>
      <c r="Q74" s="20"/>
      <c r="R74" s="20"/>
      <c r="S74" s="18"/>
      <c r="T74" s="18">
        <f t="shared" si="12"/>
        <v>-3.0743162698818161</v>
      </c>
      <c r="U74" s="18">
        <f t="shared" si="13"/>
        <v>-3.0743162698818161</v>
      </c>
      <c r="V74" s="18">
        <v>5.952</v>
      </c>
      <c r="W74" s="18">
        <v>5.6804000000000006</v>
      </c>
      <c r="X74" s="18">
        <v>0</v>
      </c>
      <c r="Y74" s="18">
        <v>6.6953999999999994</v>
      </c>
      <c r="Z74" s="18">
        <v>11.3028</v>
      </c>
      <c r="AA74" s="18">
        <v>11.3172</v>
      </c>
      <c r="AB74" s="18">
        <v>5.9720000000000004</v>
      </c>
      <c r="AC74" s="18">
        <v>7.8287999999999993</v>
      </c>
      <c r="AD74" s="18">
        <v>4.6551999999999998</v>
      </c>
      <c r="AE74" s="18">
        <v>8.1468000000000007</v>
      </c>
      <c r="AF74" s="18"/>
      <c r="AG74" s="18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112</v>
      </c>
      <c r="B75" s="18" t="s">
        <v>38</v>
      </c>
      <c r="C75" s="18">
        <v>8.5500000000000007</v>
      </c>
      <c r="D75" s="18"/>
      <c r="E75" s="16">
        <v>19.739000000000001</v>
      </c>
      <c r="F75" s="15">
        <v>-12.893000000000001</v>
      </c>
      <c r="G75" s="19">
        <v>0</v>
      </c>
      <c r="H75" s="18"/>
      <c r="I75" s="18" t="s">
        <v>93</v>
      </c>
      <c r="J75" s="18"/>
      <c r="K75" s="18">
        <f>E75-J75</f>
        <v>19.739000000000001</v>
      </c>
      <c r="L75" s="18"/>
      <c r="M75" s="18"/>
      <c r="N75" s="18"/>
      <c r="O75" s="18">
        <v>0</v>
      </c>
      <c r="P75" s="18">
        <f t="shared" si="11"/>
        <v>3.9478</v>
      </c>
      <c r="Q75" s="20"/>
      <c r="R75" s="20"/>
      <c r="S75" s="18"/>
      <c r="T75" s="18">
        <f t="shared" si="12"/>
        <v>-3.2658695982572574</v>
      </c>
      <c r="U75" s="18">
        <f t="shared" si="13"/>
        <v>-3.2658695982572574</v>
      </c>
      <c r="V75" s="18">
        <v>4.0868000000000002</v>
      </c>
      <c r="W75" s="18">
        <v>13.2682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/>
      <c r="AG75" s="1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113</v>
      </c>
      <c r="B76" s="18" t="s">
        <v>35</v>
      </c>
      <c r="C76" s="18">
        <v>17</v>
      </c>
      <c r="D76" s="18"/>
      <c r="E76" s="16">
        <v>42</v>
      </c>
      <c r="F76" s="16">
        <v>-25</v>
      </c>
      <c r="G76" s="19">
        <v>0</v>
      </c>
      <c r="H76" s="18"/>
      <c r="I76" s="18" t="s">
        <v>93</v>
      </c>
      <c r="J76" s="18"/>
      <c r="K76" s="18">
        <f>E76-J76</f>
        <v>42</v>
      </c>
      <c r="L76" s="18"/>
      <c r="M76" s="18"/>
      <c r="N76" s="18"/>
      <c r="O76" s="18">
        <v>0</v>
      </c>
      <c r="P76" s="18">
        <f t="shared" si="11"/>
        <v>8.4</v>
      </c>
      <c r="Q76" s="20"/>
      <c r="R76" s="20"/>
      <c r="S76" s="18"/>
      <c r="T76" s="18">
        <f t="shared" si="12"/>
        <v>-2.9761904761904763</v>
      </c>
      <c r="U76" s="18">
        <f t="shared" si="13"/>
        <v>-2.9761904761904763</v>
      </c>
      <c r="V76" s="18">
        <v>5.4</v>
      </c>
      <c r="W76" s="18">
        <v>1.8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/>
      <c r="AG76" s="1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114</v>
      </c>
      <c r="B77" s="18" t="s">
        <v>35</v>
      </c>
      <c r="C77" s="18"/>
      <c r="D77" s="18"/>
      <c r="E77" s="16">
        <v>3</v>
      </c>
      <c r="F77" s="16">
        <v>-3</v>
      </c>
      <c r="G77" s="19">
        <v>0</v>
      </c>
      <c r="H77" s="18"/>
      <c r="I77" s="18" t="s">
        <v>93</v>
      </c>
      <c r="J77" s="18"/>
      <c r="K77" s="18">
        <f>E77-J77</f>
        <v>3</v>
      </c>
      <c r="L77" s="18"/>
      <c r="M77" s="18"/>
      <c r="N77" s="18"/>
      <c r="O77" s="18">
        <v>0</v>
      </c>
      <c r="P77" s="18">
        <f t="shared" si="11"/>
        <v>0.6</v>
      </c>
      <c r="Q77" s="20"/>
      <c r="R77" s="20"/>
      <c r="S77" s="18"/>
      <c r="T77" s="18">
        <f t="shared" si="12"/>
        <v>-5</v>
      </c>
      <c r="U77" s="18">
        <f t="shared" si="13"/>
        <v>-5</v>
      </c>
      <c r="V77" s="18">
        <v>1.8</v>
      </c>
      <c r="W77" s="18">
        <v>4.4000000000000004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/>
      <c r="AG77" s="1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115</v>
      </c>
      <c r="B78" s="18" t="s">
        <v>35</v>
      </c>
      <c r="C78" s="18">
        <v>1</v>
      </c>
      <c r="D78" s="18"/>
      <c r="E78" s="16">
        <v>4</v>
      </c>
      <c r="F78" s="16">
        <v>-4</v>
      </c>
      <c r="G78" s="19">
        <v>0</v>
      </c>
      <c r="H78" s="18"/>
      <c r="I78" s="18" t="s">
        <v>93</v>
      </c>
      <c r="J78" s="18"/>
      <c r="K78" s="18">
        <f>E78-J78</f>
        <v>4</v>
      </c>
      <c r="L78" s="18"/>
      <c r="M78" s="18"/>
      <c r="N78" s="18"/>
      <c r="O78" s="18">
        <v>0</v>
      </c>
      <c r="P78" s="18">
        <f t="shared" si="11"/>
        <v>0.8</v>
      </c>
      <c r="Q78" s="20"/>
      <c r="R78" s="20"/>
      <c r="S78" s="18"/>
      <c r="T78" s="18">
        <f t="shared" si="12"/>
        <v>-5</v>
      </c>
      <c r="U78" s="18">
        <f t="shared" si="13"/>
        <v>-5</v>
      </c>
      <c r="V78" s="18">
        <v>1</v>
      </c>
      <c r="W78" s="18">
        <v>4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/>
      <c r="AG78" s="1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116</v>
      </c>
      <c r="B79" s="18" t="s">
        <v>35</v>
      </c>
      <c r="C79" s="18">
        <v>1</v>
      </c>
      <c r="D79" s="18"/>
      <c r="E79" s="16">
        <v>7</v>
      </c>
      <c r="F79" s="16">
        <v>-1</v>
      </c>
      <c r="G79" s="19">
        <v>0</v>
      </c>
      <c r="H79" s="18"/>
      <c r="I79" s="18" t="s">
        <v>93</v>
      </c>
      <c r="J79" s="18"/>
      <c r="K79" s="18">
        <f>E79-J79</f>
        <v>7</v>
      </c>
      <c r="L79" s="18"/>
      <c r="M79" s="18"/>
      <c r="N79" s="18"/>
      <c r="O79" s="18">
        <v>0</v>
      </c>
      <c r="P79" s="18">
        <f t="shared" si="11"/>
        <v>1.4</v>
      </c>
      <c r="Q79" s="20"/>
      <c r="R79" s="20"/>
      <c r="S79" s="18"/>
      <c r="T79" s="18">
        <f t="shared" si="12"/>
        <v>-0.7142857142857143</v>
      </c>
      <c r="U79" s="18">
        <f t="shared" si="13"/>
        <v>-0.7142857142857143</v>
      </c>
      <c r="V79" s="18">
        <v>0.6</v>
      </c>
      <c r="W79" s="18">
        <v>2.2000000000000002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/>
      <c r="AG79" s="1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</sheetData>
  <autoFilter ref="A3:AG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2025-05-22T16:05:49Z</dcterms:created>
  <dcterms:modified xsi:type="dcterms:W3CDTF">2025-05-22T16:30:41Z</dcterms:modified>
</cp:coreProperties>
</file>