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CD69E47-2A33-4684-A0F1-A386F86C8D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3" i="1" l="1"/>
  <c r="Q563" i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Y174" i="1" s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Y22" i="1"/>
  <c r="B563" i="1" s="1"/>
  <c r="P22" i="1"/>
  <c r="H10" i="1"/>
  <c r="A9" i="1"/>
  <c r="F10" i="1" s="1"/>
  <c r="D7" i="1"/>
  <c r="Q6" i="1"/>
  <c r="P2" i="1"/>
  <c r="Z140" i="1" l="1"/>
  <c r="Z223" i="1"/>
  <c r="H9" i="1"/>
  <c r="A10" i="1"/>
  <c r="Y42" i="1"/>
  <c r="Y69" i="1"/>
  <c r="Y90" i="1"/>
  <c r="Y101" i="1"/>
  <c r="BP139" i="1"/>
  <c r="BN139" i="1"/>
  <c r="Z139" i="1"/>
  <c r="Y141" i="1"/>
  <c r="Y184" i="1"/>
  <c r="BP183" i="1"/>
  <c r="BN183" i="1"/>
  <c r="Z183" i="1"/>
  <c r="Z184" i="1" s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6" i="1"/>
  <c r="BN216" i="1"/>
  <c r="Z216" i="1"/>
  <c r="BP229" i="1"/>
  <c r="BN229" i="1"/>
  <c r="Z229" i="1"/>
  <c r="BP233" i="1"/>
  <c r="BN233" i="1"/>
  <c r="Z233" i="1"/>
  <c r="Y328" i="1"/>
  <c r="BP323" i="1"/>
  <c r="BN323" i="1"/>
  <c r="Z323" i="1"/>
  <c r="Y329" i="1"/>
  <c r="BP345" i="1"/>
  <c r="BN345" i="1"/>
  <c r="Z345" i="1"/>
  <c r="Y347" i="1"/>
  <c r="BP389" i="1"/>
  <c r="BN389" i="1"/>
  <c r="Z389" i="1"/>
  <c r="Z393" i="1" s="1"/>
  <c r="Y393" i="1"/>
  <c r="Z404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X556" i="1"/>
  <c r="Y28" i="1"/>
  <c r="Y46" i="1"/>
  <c r="Y55" i="1"/>
  <c r="Y63" i="1"/>
  <c r="Y77" i="1"/>
  <c r="Y83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85" i="1"/>
  <c r="BP212" i="1"/>
  <c r="BN212" i="1"/>
  <c r="Z212" i="1"/>
  <c r="BP319" i="1"/>
  <c r="BN319" i="1"/>
  <c r="Z319" i="1"/>
  <c r="Y321" i="1"/>
  <c r="BP327" i="1"/>
  <c r="BN327" i="1"/>
  <c r="Z327" i="1"/>
  <c r="Y334" i="1"/>
  <c r="BP331" i="1"/>
  <c r="BN331" i="1"/>
  <c r="Z331" i="1"/>
  <c r="Y335" i="1"/>
  <c r="Z347" i="1"/>
  <c r="F9" i="1"/>
  <c r="J9" i="1"/>
  <c r="Z22" i="1"/>
  <c r="Z28" i="1" s="1"/>
  <c r="BN22" i="1"/>
  <c r="BP22" i="1"/>
  <c r="Z24" i="1"/>
  <c r="BN24" i="1"/>
  <c r="Z26" i="1"/>
  <c r="BN26" i="1"/>
  <c r="X557" i="1"/>
  <c r="Y29" i="1"/>
  <c r="C563" i="1"/>
  <c r="Z38" i="1"/>
  <c r="Z41" i="1" s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100" i="1" s="1"/>
  <c r="BN92" i="1"/>
  <c r="BP92" i="1"/>
  <c r="Z93" i="1"/>
  <c r="BN93" i="1"/>
  <c r="Z95" i="1"/>
  <c r="BN95" i="1"/>
  <c r="Z97" i="1"/>
  <c r="BN97" i="1"/>
  <c r="Z99" i="1"/>
  <c r="BN99" i="1"/>
  <c r="Z104" i="1"/>
  <c r="Y108" i="1"/>
  <c r="BP112" i="1"/>
  <c r="BN112" i="1"/>
  <c r="Z112" i="1"/>
  <c r="Z114" i="1" s="1"/>
  <c r="Y125" i="1"/>
  <c r="BP120" i="1"/>
  <c r="BN120" i="1"/>
  <c r="Z120" i="1"/>
  <c r="Z124" i="1" s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BP154" i="1"/>
  <c r="BN154" i="1"/>
  <c r="Z154" i="1"/>
  <c r="Z156" i="1" s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Z206" i="1" s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Z270" i="1" s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Z375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BP339" i="1"/>
  <c r="BN339" i="1"/>
  <c r="Z339" i="1"/>
  <c r="Z341" i="1" s="1"/>
  <c r="Y348" i="1"/>
  <c r="Z358" i="1"/>
  <c r="BP356" i="1"/>
  <c r="BN356" i="1"/>
  <c r="Z356" i="1"/>
  <c r="BP366" i="1"/>
  <c r="BN366" i="1"/>
  <c r="Z366" i="1"/>
  <c r="Z370" i="1" s="1"/>
  <c r="BP374" i="1"/>
  <c r="BN374" i="1"/>
  <c r="Z374" i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Z495" i="1" s="1"/>
  <c r="BP491" i="1"/>
  <c r="BN491" i="1"/>
  <c r="Z491" i="1"/>
  <c r="Y495" i="1"/>
  <c r="BP499" i="1"/>
  <c r="BN499" i="1"/>
  <c r="Z499" i="1"/>
  <c r="Z501" i="1" s="1"/>
  <c r="Y501" i="1"/>
  <c r="Z506" i="1"/>
  <c r="Z563" i="1"/>
  <c r="Y447" i="1"/>
  <c r="BP481" i="1"/>
  <c r="BN481" i="1"/>
  <c r="Z481" i="1"/>
  <c r="Z483" i="1" s="1"/>
  <c r="Y496" i="1"/>
  <c r="BP489" i="1"/>
  <c r="BN489" i="1"/>
  <c r="Z489" i="1"/>
  <c r="BP493" i="1"/>
  <c r="BN493" i="1"/>
  <c r="Z493" i="1"/>
  <c r="Y502" i="1"/>
  <c r="BP505" i="1"/>
  <c r="BN505" i="1"/>
  <c r="Z505" i="1"/>
  <c r="Y507" i="1"/>
  <c r="Y521" i="1"/>
  <c r="BP517" i="1"/>
  <c r="BN517" i="1"/>
  <c r="Z517" i="1"/>
  <c r="Z521" i="1" s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77" i="1" l="1"/>
  <c r="Z423" i="1"/>
  <c r="Y553" i="1"/>
  <c r="Y555" i="1"/>
  <c r="Y557" i="1"/>
  <c r="Z441" i="1"/>
  <c r="Z313" i="1"/>
  <c r="Z278" i="1"/>
  <c r="Z235" i="1"/>
  <c r="Z108" i="1"/>
  <c r="Z558" i="1" s="1"/>
  <c r="Z77" i="1"/>
  <c r="Y554" i="1"/>
  <c r="Y556" i="1" s="1"/>
  <c r="Z334" i="1"/>
  <c r="Z531" i="1"/>
  <c r="Z328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<sst xmlns="http://schemas.openxmlformats.org/spreadsheetml/2006/main" count="2482" uniqueCount="886">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</sst>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0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19</v>
      </c>
      <c r="Q8" s="756">
        <v>0.41666666666666669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20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21</v>
      </c>
      <c r="Q10" s="801"/>
      <c r="R10" s="802"/>
      <c r="U10" s="24" t="s">
        <v>22</v>
      </c>
      <c r="V10" s="666" t="s">
        <v>23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745"/>
      <c r="R11" s="746"/>
      <c r="U11" s="24" t="s">
        <v>26</v>
      </c>
      <c r="V11" s="898" t="s">
        <v>27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29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31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34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64</v>
      </c>
      <c r="B22" s="54" t="s">
        <v>65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66</v>
      </c>
      <c r="L22" s="33"/>
      <c r="M22" s="34" t="s">
        <v>67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68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66</v>
      </c>
      <c r="L23" s="33"/>
      <c r="M23" s="34" t="s">
        <v>67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68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66</v>
      </c>
      <c r="L24" s="33"/>
      <c r="M24" s="34" t="s">
        <v>67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68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66</v>
      </c>
      <c r="L25" s="33"/>
      <c r="M25" s="34" t="s">
        <v>67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68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66</v>
      </c>
      <c r="L26" s="33"/>
      <c r="M26" s="34" t="s">
        <v>67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68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66</v>
      </c>
      <c r="L27" s="33"/>
      <c r="M27" s="34" t="s">
        <v>67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68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38" t="s">
        <v>86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38" t="s">
        <v>68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88</v>
      </c>
      <c r="B31" s="54" t="s">
        <v>89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66</v>
      </c>
      <c r="L31" s="33"/>
      <c r="M31" s="34" t="s">
        <v>90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68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38" t="s">
        <v>86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38" t="s">
        <v>68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96</v>
      </c>
      <c r="B37" s="54" t="s">
        <v>97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98</v>
      </c>
      <c r="L37" s="33"/>
      <c r="M37" s="34" t="s">
        <v>99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68</v>
      </c>
      <c r="X37" s="613">
        <v>500</v>
      </c>
      <c r="Y37" s="614">
        <f>IFERROR(IF(X37="",0,CEILING((X37/$H37),1)*$H37),"")</f>
        <v>507.6</v>
      </c>
      <c r="Z37" s="37">
        <f>IFERROR(IF(Y37=0,"",ROUNDUP(Y37/H37,0)*0.01898),"")</f>
        <v>0.89205999999999996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520.1388888888888</v>
      </c>
      <c r="BN37" s="64">
        <f>IFERROR(Y37*I37/H37,"0")</f>
        <v>528.04499999999996</v>
      </c>
      <c r="BO37" s="64">
        <f>IFERROR(1/J37*(X37/H37),"0")</f>
        <v>0.72337962962962954</v>
      </c>
      <c r="BP37" s="64">
        <f>IFERROR(1/J37*(Y37/H37),"0")</f>
        <v>0.734375</v>
      </c>
    </row>
    <row r="38" spans="1:68" ht="27" customHeight="1" x14ac:dyDescent="0.25">
      <c r="A38" s="54" t="s">
        <v>101</v>
      </c>
      <c r="B38" s="54" t="s">
        <v>102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103</v>
      </c>
      <c r="L38" s="33"/>
      <c r="M38" s="34" t="s">
        <v>104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68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103</v>
      </c>
      <c r="L39" s="33"/>
      <c r="M39" s="34" t="s">
        <v>104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68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103</v>
      </c>
      <c r="L40" s="33"/>
      <c r="M40" s="34" t="s">
        <v>99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68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38" t="s">
        <v>86</v>
      </c>
      <c r="X41" s="615">
        <f>IFERROR(X37/H37,"0")+IFERROR(X38/H38,"0")+IFERROR(X39/H39,"0")+IFERROR(X40/H40,"0")</f>
        <v>46.296296296296291</v>
      </c>
      <c r="Y41" s="615">
        <f>IFERROR(Y37/H37,"0")+IFERROR(Y38/H38,"0")+IFERROR(Y39/H39,"0")+IFERROR(Y40/H40,"0")</f>
        <v>47</v>
      </c>
      <c r="Z41" s="615">
        <f>IFERROR(IF(Z37="",0,Z37),"0")+IFERROR(IF(Z38="",0,Z38),"0")+IFERROR(IF(Z39="",0,Z39),"0")+IFERROR(IF(Z40="",0,Z40),"0")</f>
        <v>0.89205999999999996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38" t="s">
        <v>68</v>
      </c>
      <c r="X42" s="615">
        <f>IFERROR(SUM(X37:X40),"0")</f>
        <v>500</v>
      </c>
      <c r="Y42" s="615">
        <f>IFERROR(SUM(Y37:Y40),"0")</f>
        <v>507.6</v>
      </c>
      <c r="Z42" s="38"/>
      <c r="AA42" s="616"/>
      <c r="AB42" s="616"/>
      <c r="AC42" s="616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110</v>
      </c>
      <c r="B44" s="54" t="s">
        <v>111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66</v>
      </c>
      <c r="L44" s="33"/>
      <c r="M44" s="34" t="s">
        <v>104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68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38" t="s">
        <v>86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38" t="s">
        <v>68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114</v>
      </c>
      <c r="B49" s="54" t="s">
        <v>115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98</v>
      </c>
      <c r="L49" s="33"/>
      <c r="M49" s="34" t="s">
        <v>104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68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98</v>
      </c>
      <c r="L50" s="33"/>
      <c r="M50" s="34" t="s">
        <v>99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68</v>
      </c>
      <c r="X50" s="613">
        <v>500</v>
      </c>
      <c r="Y50" s="614">
        <f t="shared" si="6"/>
        <v>507.6</v>
      </c>
      <c r="Z50" s="37">
        <f>IFERROR(IF(Y50=0,"",ROUNDUP(Y50/H50,0)*0.01898),"")</f>
        <v>0.89205999999999996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520.1388888888888</v>
      </c>
      <c r="BN50" s="64">
        <f t="shared" si="8"/>
        <v>528.04499999999996</v>
      </c>
      <c r="BO50" s="64">
        <f t="shared" si="9"/>
        <v>0.72337962962962954</v>
      </c>
      <c r="BP50" s="64">
        <f t="shared" si="10"/>
        <v>0.734375</v>
      </c>
    </row>
    <row r="51" spans="1:68" ht="27" customHeight="1" x14ac:dyDescent="0.25">
      <c r="A51" s="54" t="s">
        <v>120</v>
      </c>
      <c r="B51" s="54" t="s">
        <v>121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103</v>
      </c>
      <c r="L51" s="33"/>
      <c r="M51" s="34" t="s">
        <v>99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68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103</v>
      </c>
      <c r="L52" s="33"/>
      <c r="M52" s="34" t="s">
        <v>99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68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66</v>
      </c>
      <c r="L53" s="33"/>
      <c r="M53" s="34" t="s">
        <v>127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68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103</v>
      </c>
      <c r="L54" s="33"/>
      <c r="M54" s="34" t="s">
        <v>99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68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38" t="s">
        <v>86</v>
      </c>
      <c r="X55" s="615">
        <f>IFERROR(X49/H49,"0")+IFERROR(X50/H50,"0")+IFERROR(X51/H51,"0")+IFERROR(X52/H52,"0")+IFERROR(X53/H53,"0")+IFERROR(X54/H54,"0")</f>
        <v>46.296296296296291</v>
      </c>
      <c r="Y55" s="615">
        <f>IFERROR(Y49/H49,"0")+IFERROR(Y50/H50,"0")+IFERROR(Y51/H51,"0")+IFERROR(Y52/H52,"0")+IFERROR(Y53/H53,"0")+IFERROR(Y54/H54,"0")</f>
        <v>47</v>
      </c>
      <c r="Z55" s="615">
        <f>IFERROR(IF(Z49="",0,Z49),"0")+IFERROR(IF(Z50="",0,Z50),"0")+IFERROR(IF(Z51="",0,Z51),"0")+IFERROR(IF(Z52="",0,Z52),"0")+IFERROR(IF(Z53="",0,Z53),"0")+IFERROR(IF(Z54="",0,Z54),"0")</f>
        <v>0.89205999999999996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38" t="s">
        <v>68</v>
      </c>
      <c r="X56" s="615">
        <f>IFERROR(SUM(X49:X54),"0")</f>
        <v>500</v>
      </c>
      <c r="Y56" s="615">
        <f>IFERROR(SUM(Y49:Y54),"0")</f>
        <v>507.6</v>
      </c>
      <c r="Z56" s="38"/>
      <c r="AA56" s="616"/>
      <c r="AB56" s="616"/>
      <c r="AC56" s="616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133</v>
      </c>
      <c r="B58" s="54" t="s">
        <v>134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98</v>
      </c>
      <c r="L58" s="33"/>
      <c r="M58" s="34" t="s">
        <v>99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68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103</v>
      </c>
      <c r="L59" s="33"/>
      <c r="M59" s="34" t="s">
        <v>99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68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66</v>
      </c>
      <c r="L60" s="33"/>
      <c r="M60" s="34" t="s">
        <v>104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68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66</v>
      </c>
      <c r="L61" s="33"/>
      <c r="M61" s="34" t="s">
        <v>99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68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38" t="s">
        <v>86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38" t="s">
        <v>68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144</v>
      </c>
      <c r="B65" s="54" t="s">
        <v>145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146</v>
      </c>
      <c r="L65" s="33"/>
      <c r="M65" s="34" t="s">
        <v>67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68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146</v>
      </c>
      <c r="L66" s="33"/>
      <c r="M66" s="34" t="s">
        <v>67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68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146</v>
      </c>
      <c r="L67" s="33"/>
      <c r="M67" s="34" t="s">
        <v>67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68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38" t="s">
        <v>86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38" t="s">
        <v>68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154</v>
      </c>
      <c r="B71" s="54" t="s">
        <v>155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98</v>
      </c>
      <c r="L71" s="33"/>
      <c r="M71" s="34" t="s">
        <v>104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68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98</v>
      </c>
      <c r="L72" s="33"/>
      <c r="M72" s="34" t="s">
        <v>104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68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98</v>
      </c>
      <c r="L73" s="33"/>
      <c r="M73" s="34" t="s">
        <v>104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68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66</v>
      </c>
      <c r="L74" s="33"/>
      <c r="M74" s="34" t="s">
        <v>104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68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66</v>
      </c>
      <c r="L75" s="33"/>
      <c r="M75" s="34" t="s">
        <v>104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68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66</v>
      </c>
      <c r="L76" s="33"/>
      <c r="M76" s="34" t="s">
        <v>104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68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38" t="s">
        <v>86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38" t="s">
        <v>68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170</v>
      </c>
      <c r="B80" s="54" t="s">
        <v>171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98</v>
      </c>
      <c r="L80" s="33"/>
      <c r="M80" s="34" t="s">
        <v>127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68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103</v>
      </c>
      <c r="L81" s="33"/>
      <c r="M81" s="34" t="s">
        <v>104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68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38" t="s">
        <v>86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38" t="s">
        <v>68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177</v>
      </c>
      <c r="B86" s="54" t="s">
        <v>178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98</v>
      </c>
      <c r="L86" s="33"/>
      <c r="M86" s="34" t="s">
        <v>127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68</v>
      </c>
      <c r="X86" s="613">
        <v>700</v>
      </c>
      <c r="Y86" s="614">
        <f>IFERROR(IF(X86="",0,CEILING((X86/$H86),1)*$H86),"")</f>
        <v>702</v>
      </c>
      <c r="Z86" s="37">
        <f>IFERROR(IF(Y86=0,"",ROUNDUP(Y86/H86,0)*0.01898),"")</f>
        <v>1.2337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728.19444444444434</v>
      </c>
      <c r="BN86" s="64">
        <f>IFERROR(Y86*I86/H86,"0")</f>
        <v>730.27499999999986</v>
      </c>
      <c r="BO86" s="64">
        <f>IFERROR(1/J86*(X86/H86),"0")</f>
        <v>1.0127314814814814</v>
      </c>
      <c r="BP86" s="64">
        <f>IFERROR(1/J86*(Y86/H86),"0")</f>
        <v>1.015625</v>
      </c>
    </row>
    <row r="87" spans="1:68" ht="16.5" customHeight="1" x14ac:dyDescent="0.25">
      <c r="A87" s="54" t="s">
        <v>180</v>
      </c>
      <c r="B87" s="54" t="s">
        <v>181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103</v>
      </c>
      <c r="L87" s="33"/>
      <c r="M87" s="34" t="s">
        <v>104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68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103</v>
      </c>
      <c r="L88" s="33"/>
      <c r="M88" s="34" t="s">
        <v>127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68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38" t="s">
        <v>86</v>
      </c>
      <c r="X89" s="615">
        <f>IFERROR(X86/H86,"0")+IFERROR(X87/H87,"0")+IFERROR(X88/H88,"0")</f>
        <v>64.81481481481481</v>
      </c>
      <c r="Y89" s="615">
        <f>IFERROR(Y86/H86,"0")+IFERROR(Y87/H87,"0")+IFERROR(Y88/H88,"0")</f>
        <v>65</v>
      </c>
      <c r="Z89" s="615">
        <f>IFERROR(IF(Z86="",0,Z86),"0")+IFERROR(IF(Z87="",0,Z87),"0")+IFERROR(IF(Z88="",0,Z88),"0")</f>
        <v>1.2337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38" t="s">
        <v>68</v>
      </c>
      <c r="X90" s="615">
        <f>IFERROR(SUM(X86:X88),"0")</f>
        <v>700</v>
      </c>
      <c r="Y90" s="615">
        <f>IFERROR(SUM(Y86:Y88),"0")</f>
        <v>702</v>
      </c>
      <c r="Z90" s="38"/>
      <c r="AA90" s="616"/>
      <c r="AB90" s="616"/>
      <c r="AC90" s="616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185</v>
      </c>
      <c r="B92" s="54" t="s">
        <v>186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98</v>
      </c>
      <c r="L92" s="33"/>
      <c r="M92" s="34" t="s">
        <v>104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68</v>
      </c>
      <c r="X92" s="613">
        <v>800</v>
      </c>
      <c r="Y92" s="614">
        <f t="shared" ref="Y92:Y99" si="16">IFERROR(IF(X92="",0,CEILING((X92/$H92),1)*$H92),"")</f>
        <v>806.40000000000009</v>
      </c>
      <c r="Z92" s="37">
        <f>IFERROR(IF(Y92=0,"",ROUNDUP(Y92/H92,0)*0.01898),"")</f>
        <v>1.8220800000000001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849.42857142857144</v>
      </c>
      <c r="BN92" s="64">
        <f t="shared" ref="BN92:BN99" si="18">IFERROR(Y92*I92/H92,"0")</f>
        <v>856.22400000000005</v>
      </c>
      <c r="BO92" s="64">
        <f t="shared" ref="BO92:BO99" si="19">IFERROR(1/J92*(X92/H92),"0")</f>
        <v>1.4880952380952381</v>
      </c>
      <c r="BP92" s="64">
        <f t="shared" ref="BP92:BP99" si="20">IFERROR(1/J92*(Y92/H92),"0")</f>
        <v>1.5</v>
      </c>
    </row>
    <row r="93" spans="1:68" ht="16.5" customHeight="1" x14ac:dyDescent="0.25">
      <c r="A93" s="54" t="s">
        <v>185</v>
      </c>
      <c r="B93" s="54" t="s">
        <v>188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98</v>
      </c>
      <c r="L93" s="33"/>
      <c r="M93" s="34" t="s">
        <v>127</v>
      </c>
      <c r="N93" s="34"/>
      <c r="O93" s="33">
        <v>45</v>
      </c>
      <c r="P93" s="886" t="s">
        <v>189</v>
      </c>
      <c r="Q93" s="625"/>
      <c r="R93" s="625"/>
      <c r="S93" s="625"/>
      <c r="T93" s="626"/>
      <c r="U93" s="35"/>
      <c r="V93" s="35"/>
      <c r="W93" s="36" t="s">
        <v>68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190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98</v>
      </c>
      <c r="L94" s="33"/>
      <c r="M94" s="34" t="s">
        <v>104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68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66</v>
      </c>
      <c r="L95" s="33"/>
      <c r="M95" s="34" t="s">
        <v>104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68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2">
        <v>4301052039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66</v>
      </c>
      <c r="L96" s="33"/>
      <c r="M96" s="34" t="s">
        <v>104</v>
      </c>
      <c r="N96" s="34"/>
      <c r="O96" s="33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5"/>
      <c r="V96" s="35"/>
      <c r="W96" s="36" t="s">
        <v>68</v>
      </c>
      <c r="X96" s="613">
        <v>225</v>
      </c>
      <c r="Y96" s="614">
        <f t="shared" si="16"/>
        <v>226.8</v>
      </c>
      <c r="Z96" s="37">
        <f>IFERROR(IF(Y96=0,"",ROUNDUP(Y96/H96,0)*0.00651),"")</f>
        <v>0.54683999999999999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246</v>
      </c>
      <c r="BN96" s="64">
        <f t="shared" si="18"/>
        <v>247.96799999999999</v>
      </c>
      <c r="BO96" s="64">
        <f t="shared" si="19"/>
        <v>0.45787545787545786</v>
      </c>
      <c r="BP96" s="64">
        <f t="shared" si="20"/>
        <v>0.46153846153846156</v>
      </c>
    </row>
    <row r="97" spans="1:68" ht="27" customHeight="1" x14ac:dyDescent="0.25">
      <c r="A97" s="54" t="s">
        <v>194</v>
      </c>
      <c r="B97" s="54" t="s">
        <v>197</v>
      </c>
      <c r="C97" s="32">
        <v>4301051718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66</v>
      </c>
      <c r="L97" s="33"/>
      <c r="M97" s="34" t="s">
        <v>127</v>
      </c>
      <c r="N97" s="34"/>
      <c r="O97" s="33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5"/>
      <c r="V97" s="35"/>
      <c r="W97" s="36" t="s">
        <v>68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66</v>
      </c>
      <c r="L98" s="33"/>
      <c r="M98" s="34" t="s">
        <v>104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68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66</v>
      </c>
      <c r="L99" s="33"/>
      <c r="M99" s="34" t="s">
        <v>104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68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38" t="s">
        <v>86</v>
      </c>
      <c r="X100" s="615">
        <f>IFERROR(X92/H92,"0")+IFERROR(X93/H93,"0")+IFERROR(X94/H94,"0")+IFERROR(X95/H95,"0")+IFERROR(X96/H96,"0")+IFERROR(X97/H97,"0")+IFERROR(X98/H98,"0")+IFERROR(X99/H99,"0")</f>
        <v>178.57142857142856</v>
      </c>
      <c r="Y100" s="615">
        <f>IFERROR(Y92/H92,"0")+IFERROR(Y93/H93,"0")+IFERROR(Y94/H94,"0")+IFERROR(Y95/H95,"0")+IFERROR(Y96/H96,"0")+IFERROR(Y97/H97,"0")+IFERROR(Y98/H98,"0")+IFERROR(Y99/H99,"0")</f>
        <v>180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2.3689200000000001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38" t="s">
        <v>68</v>
      </c>
      <c r="X101" s="615">
        <f>IFERROR(SUM(X92:X99),"0")</f>
        <v>1025</v>
      </c>
      <c r="Y101" s="615">
        <f>IFERROR(SUM(Y92:Y99),"0")</f>
        <v>1033.2</v>
      </c>
      <c r="Z101" s="38"/>
      <c r="AA101" s="616"/>
      <c r="AB101" s="616"/>
      <c r="AC101" s="616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204</v>
      </c>
      <c r="B104" s="54" t="s">
        <v>205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98</v>
      </c>
      <c r="L104" s="33"/>
      <c r="M104" s="34" t="s">
        <v>99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68</v>
      </c>
      <c r="X104" s="613">
        <v>700</v>
      </c>
      <c r="Y104" s="614">
        <f>IFERROR(IF(X104="",0,CEILING((X104/$H104),1)*$H104),"")</f>
        <v>702</v>
      </c>
      <c r="Z104" s="37">
        <f>IFERROR(IF(Y104=0,"",ROUNDUP(Y104/H104,0)*0.01898),"")</f>
        <v>1.2337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728.19444444444434</v>
      </c>
      <c r="BN104" s="64">
        <f>IFERROR(Y104*I104/H104,"0")</f>
        <v>730.27499999999986</v>
      </c>
      <c r="BO104" s="64">
        <f>IFERROR(1/J104*(X104/H104),"0")</f>
        <v>1.0127314814814814</v>
      </c>
      <c r="BP104" s="64">
        <f>IFERROR(1/J104*(Y104/H104),"0")</f>
        <v>1.015625</v>
      </c>
    </row>
    <row r="105" spans="1:68" ht="16.5" customHeight="1" x14ac:dyDescent="0.25">
      <c r="A105" s="54" t="s">
        <v>207</v>
      </c>
      <c r="B105" s="54" t="s">
        <v>208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103</v>
      </c>
      <c r="L105" s="33"/>
      <c r="M105" s="34" t="s">
        <v>104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68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103</v>
      </c>
      <c r="L106" s="33"/>
      <c r="M106" s="34" t="s">
        <v>104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68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103</v>
      </c>
      <c r="L107" s="33"/>
      <c r="M107" s="34" t="s">
        <v>104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68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38" t="s">
        <v>86</v>
      </c>
      <c r="X108" s="615">
        <f>IFERROR(X104/H104,"0")+IFERROR(X105/H105,"0")+IFERROR(X106/H106,"0")+IFERROR(X107/H107,"0")</f>
        <v>64.81481481481481</v>
      </c>
      <c r="Y108" s="615">
        <f>IFERROR(Y104/H104,"0")+IFERROR(Y105/H105,"0")+IFERROR(Y106/H106,"0")+IFERROR(Y107/H107,"0")</f>
        <v>65</v>
      </c>
      <c r="Z108" s="615">
        <f>IFERROR(IF(Z104="",0,Z104),"0")+IFERROR(IF(Z105="",0,Z105),"0")+IFERROR(IF(Z106="",0,Z106),"0")+IFERROR(IF(Z107="",0,Z107),"0")</f>
        <v>1.2337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38" t="s">
        <v>68</v>
      </c>
      <c r="X109" s="615">
        <f>IFERROR(SUM(X104:X107),"0")</f>
        <v>700</v>
      </c>
      <c r="Y109" s="615">
        <f>IFERROR(SUM(Y104:Y107),"0")</f>
        <v>702</v>
      </c>
      <c r="Z109" s="38"/>
      <c r="AA109" s="616"/>
      <c r="AB109" s="616"/>
      <c r="AC109" s="616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213</v>
      </c>
      <c r="B111" s="54" t="s">
        <v>214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98</v>
      </c>
      <c r="L111" s="33"/>
      <c r="M111" s="34" t="s">
        <v>99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68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146</v>
      </c>
      <c r="L112" s="33"/>
      <c r="M112" s="34" t="s">
        <v>99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68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66</v>
      </c>
      <c r="L113" s="33"/>
      <c r="M113" s="34" t="s">
        <v>99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68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38" t="s">
        <v>86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38" t="s">
        <v>68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220</v>
      </c>
      <c r="B117" s="54" t="s">
        <v>221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98</v>
      </c>
      <c r="L117" s="33"/>
      <c r="M117" s="34" t="s">
        <v>104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68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98</v>
      </c>
      <c r="L118" s="33"/>
      <c r="M118" s="34" t="s">
        <v>127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68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98</v>
      </c>
      <c r="L119" s="33"/>
      <c r="M119" s="34" t="s">
        <v>104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68</v>
      </c>
      <c r="X119" s="613">
        <v>500</v>
      </c>
      <c r="Y119" s="614">
        <f t="shared" si="21"/>
        <v>504</v>
      </c>
      <c r="Z119" s="37">
        <f>IFERROR(IF(Y119=0,"",ROUNDUP(Y119/H119,0)*0.01898),"")</f>
        <v>1.1388</v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530.53571428571422</v>
      </c>
      <c r="BN119" s="64">
        <f t="shared" si="23"/>
        <v>534.78</v>
      </c>
      <c r="BO119" s="64">
        <f t="shared" si="24"/>
        <v>0.93005952380952372</v>
      </c>
      <c r="BP119" s="64">
        <f t="shared" si="25"/>
        <v>0.9375</v>
      </c>
    </row>
    <row r="120" spans="1:68" ht="27" customHeight="1" x14ac:dyDescent="0.25">
      <c r="A120" s="54" t="s">
        <v>226</v>
      </c>
      <c r="B120" s="54" t="s">
        <v>227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66</v>
      </c>
      <c r="L120" s="33"/>
      <c r="M120" s="34" t="s">
        <v>127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68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66</v>
      </c>
      <c r="L121" s="33"/>
      <c r="M121" s="34" t="s">
        <v>127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68</v>
      </c>
      <c r="X121" s="613">
        <v>900</v>
      </c>
      <c r="Y121" s="614">
        <f t="shared" si="21"/>
        <v>901.80000000000007</v>
      </c>
      <c r="Z121" s="37">
        <f>IFERROR(IF(Y121=0,"",ROUNDUP(Y121/H121,0)*0.00651),"")</f>
        <v>2.1743399999999999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984</v>
      </c>
      <c r="BN121" s="64">
        <f t="shared" si="23"/>
        <v>985.96799999999996</v>
      </c>
      <c r="BO121" s="64">
        <f t="shared" si="24"/>
        <v>1.8315018315018314</v>
      </c>
      <c r="BP121" s="64">
        <f t="shared" si="25"/>
        <v>1.8351648351648353</v>
      </c>
    </row>
    <row r="122" spans="1:68" ht="16.5" customHeight="1" x14ac:dyDescent="0.25">
      <c r="A122" s="54" t="s">
        <v>230</v>
      </c>
      <c r="B122" s="54" t="s">
        <v>231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66</v>
      </c>
      <c r="L122" s="33"/>
      <c r="M122" s="34" t="s">
        <v>104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68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66</v>
      </c>
      <c r="L123" s="33"/>
      <c r="M123" s="34" t="s">
        <v>104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68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38" t="s">
        <v>86</v>
      </c>
      <c r="X124" s="615">
        <f>IFERROR(X117/H117,"0")+IFERROR(X118/H118,"0")+IFERROR(X119/H119,"0")+IFERROR(X120/H120,"0")+IFERROR(X121/H121,"0")+IFERROR(X122/H122,"0")+IFERROR(X123/H123,"0")</f>
        <v>392.85714285714283</v>
      </c>
      <c r="Y124" s="615">
        <f>IFERROR(Y117/H117,"0")+IFERROR(Y118/H118,"0")+IFERROR(Y119/H119,"0")+IFERROR(Y120/H120,"0")+IFERROR(Y121/H121,"0")+IFERROR(Y122/H122,"0")+IFERROR(Y123/H123,"0")</f>
        <v>394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3.3131399999999998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38" t="s">
        <v>68</v>
      </c>
      <c r="X125" s="615">
        <f>IFERROR(SUM(X117:X123),"0")</f>
        <v>1400</v>
      </c>
      <c r="Y125" s="615">
        <f>IFERROR(SUM(Y117:Y123),"0")</f>
        <v>1405.8000000000002</v>
      </c>
      <c r="Z125" s="38"/>
      <c r="AA125" s="616"/>
      <c r="AB125" s="616"/>
      <c r="AC125" s="616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236</v>
      </c>
      <c r="B127" s="54" t="s">
        <v>237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66</v>
      </c>
      <c r="L127" s="33"/>
      <c r="M127" s="34" t="s">
        <v>104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68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66</v>
      </c>
      <c r="L128" s="33"/>
      <c r="M128" s="34" t="s">
        <v>104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68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38" t="s">
        <v>86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38" t="s">
        <v>68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243</v>
      </c>
      <c r="B133" s="54" t="s">
        <v>244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66</v>
      </c>
      <c r="L133" s="33"/>
      <c r="M133" s="34" t="s">
        <v>90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68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66</v>
      </c>
      <c r="L134" s="33"/>
      <c r="M134" s="34" t="s">
        <v>90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68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38" t="s">
        <v>86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38" t="s">
        <v>68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247</v>
      </c>
      <c r="B138" s="54" t="s">
        <v>248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66</v>
      </c>
      <c r="L138" s="33"/>
      <c r="M138" s="34" t="s">
        <v>90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68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66</v>
      </c>
      <c r="L139" s="33"/>
      <c r="M139" s="34" t="s">
        <v>90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68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38" t="s">
        <v>86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38" t="s">
        <v>68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251</v>
      </c>
      <c r="B143" s="54" t="s">
        <v>252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66</v>
      </c>
      <c r="L143" s="33"/>
      <c r="M143" s="34" t="s">
        <v>90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68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66</v>
      </c>
      <c r="L144" s="33"/>
      <c r="M144" s="34" t="s">
        <v>90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68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38" t="s">
        <v>86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38" t="s">
        <v>68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254</v>
      </c>
      <c r="B149" s="54" t="s">
        <v>255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103</v>
      </c>
      <c r="L149" s="33"/>
      <c r="M149" s="34" t="s">
        <v>99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68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38" t="s">
        <v>86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38" t="s">
        <v>68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257</v>
      </c>
      <c r="B153" s="54" t="s">
        <v>258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98</v>
      </c>
      <c r="L153" s="33"/>
      <c r="M153" s="34" t="s">
        <v>99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68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66</v>
      </c>
      <c r="L154" s="33"/>
      <c r="M154" s="34" t="s">
        <v>67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68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98</v>
      </c>
      <c r="L155" s="33"/>
      <c r="M155" s="34" t="s">
        <v>67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68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38" t="s">
        <v>86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38" t="s">
        <v>68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268</v>
      </c>
      <c r="B161" s="54" t="s">
        <v>269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146</v>
      </c>
      <c r="L161" s="33"/>
      <c r="M161" s="34" t="s">
        <v>67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68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270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38" t="s">
        <v>86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38" t="s">
        <v>68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271</v>
      </c>
      <c r="B165" s="54" t="s">
        <v>272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103</v>
      </c>
      <c r="L165" s="33"/>
      <c r="M165" s="34" t="s">
        <v>67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68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103</v>
      </c>
      <c r="L166" s="33"/>
      <c r="M166" s="34" t="s">
        <v>67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68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276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277</v>
      </c>
      <c r="B167" s="54" t="s">
        <v>278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103</v>
      </c>
      <c r="L167" s="33"/>
      <c r="M167" s="34" t="s">
        <v>67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68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279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280</v>
      </c>
      <c r="B168" s="54" t="s">
        <v>281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146</v>
      </c>
      <c r="L168" s="33"/>
      <c r="M168" s="34" t="s">
        <v>67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68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273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146</v>
      </c>
      <c r="L169" s="33"/>
      <c r="M169" s="34" t="s">
        <v>67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68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276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284</v>
      </c>
      <c r="B170" s="54" t="s">
        <v>285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146</v>
      </c>
      <c r="L170" s="33"/>
      <c r="M170" s="34" t="s">
        <v>67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68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286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287</v>
      </c>
      <c r="B171" s="54" t="s">
        <v>288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146</v>
      </c>
      <c r="L171" s="33"/>
      <c r="M171" s="34" t="s">
        <v>67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68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279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66</v>
      </c>
      <c r="L172" s="33"/>
      <c r="M172" s="34" t="s">
        <v>67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68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279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146</v>
      </c>
      <c r="L173" s="33"/>
      <c r="M173" s="34" t="s">
        <v>67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68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38" t="s">
        <v>86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38" t="s">
        <v>68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294</v>
      </c>
      <c r="B177" s="54" t="s">
        <v>295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296</v>
      </c>
      <c r="L177" s="33"/>
      <c r="M177" s="34" t="s">
        <v>297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68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296</v>
      </c>
      <c r="L178" s="33"/>
      <c r="M178" s="34" t="s">
        <v>297</v>
      </c>
      <c r="N178" s="34"/>
      <c r="O178" s="33">
        <v>90</v>
      </c>
      <c r="P178" s="903" t="s">
        <v>301</v>
      </c>
      <c r="Q178" s="625"/>
      <c r="R178" s="625"/>
      <c r="S178" s="625"/>
      <c r="T178" s="626"/>
      <c r="U178" s="35"/>
      <c r="V178" s="35"/>
      <c r="W178" s="36" t="s">
        <v>68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302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303</v>
      </c>
      <c r="B179" s="54" t="s">
        <v>304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296</v>
      </c>
      <c r="L179" s="33"/>
      <c r="M179" s="34" t="s">
        <v>297</v>
      </c>
      <c r="N179" s="34"/>
      <c r="O179" s="33">
        <v>90</v>
      </c>
      <c r="P179" s="825" t="s">
        <v>305</v>
      </c>
      <c r="Q179" s="625"/>
      <c r="R179" s="625"/>
      <c r="S179" s="625"/>
      <c r="T179" s="626"/>
      <c r="U179" s="35"/>
      <c r="V179" s="35"/>
      <c r="W179" s="36" t="s">
        <v>68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38" t="s">
        <v>86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38" t="s">
        <v>68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307</v>
      </c>
      <c r="B183" s="54" t="s">
        <v>308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296</v>
      </c>
      <c r="L183" s="33"/>
      <c r="M183" s="34" t="s">
        <v>297</v>
      </c>
      <c r="N183" s="34"/>
      <c r="O183" s="33">
        <v>90</v>
      </c>
      <c r="P183" s="913" t="s">
        <v>309</v>
      </c>
      <c r="Q183" s="625"/>
      <c r="R183" s="625"/>
      <c r="S183" s="625"/>
      <c r="T183" s="626"/>
      <c r="U183" s="35"/>
      <c r="V183" s="35"/>
      <c r="W183" s="36" t="s">
        <v>68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302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38" t="s">
        <v>86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38" t="s">
        <v>68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311</v>
      </c>
      <c r="B188" s="54" t="s">
        <v>312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98</v>
      </c>
      <c r="L188" s="33"/>
      <c r="M188" s="34" t="s">
        <v>99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68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313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314</v>
      </c>
      <c r="B189" s="54" t="s">
        <v>315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66</v>
      </c>
      <c r="L189" s="33"/>
      <c r="M189" s="34" t="s">
        <v>99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68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313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38" t="s">
        <v>86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38" t="s">
        <v>68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316</v>
      </c>
      <c r="B193" s="54" t="s">
        <v>317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98</v>
      </c>
      <c r="L193" s="33"/>
      <c r="M193" s="34" t="s">
        <v>104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68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319</v>
      </c>
      <c r="B194" s="54" t="s">
        <v>320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66</v>
      </c>
      <c r="L194" s="33"/>
      <c r="M194" s="34" t="s">
        <v>99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68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318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38" t="s">
        <v>86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38" t="s">
        <v>68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321</v>
      </c>
      <c r="B198" s="54" t="s">
        <v>322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103</v>
      </c>
      <c r="L198" s="33"/>
      <c r="M198" s="34" t="s">
        <v>67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68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324</v>
      </c>
      <c r="B199" s="54" t="s">
        <v>325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103</v>
      </c>
      <c r="L199" s="33"/>
      <c r="M199" s="34" t="s">
        <v>67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68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326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327</v>
      </c>
      <c r="B200" s="54" t="s">
        <v>328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103</v>
      </c>
      <c r="L200" s="33"/>
      <c r="M200" s="34" t="s">
        <v>67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68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329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330</v>
      </c>
      <c r="B201" s="54" t="s">
        <v>331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103</v>
      </c>
      <c r="L201" s="33"/>
      <c r="M201" s="34" t="s">
        <v>67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68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332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333</v>
      </c>
      <c r="B202" s="54" t="s">
        <v>334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146</v>
      </c>
      <c r="L202" s="33"/>
      <c r="M202" s="34" t="s">
        <v>67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68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323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335</v>
      </c>
      <c r="B203" s="54" t="s">
        <v>336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146</v>
      </c>
      <c r="L203" s="33"/>
      <c r="M203" s="34" t="s">
        <v>67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68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326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146</v>
      </c>
      <c r="L204" s="33"/>
      <c r="M204" s="34" t="s">
        <v>67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68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329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146</v>
      </c>
      <c r="L205" s="33"/>
      <c r="M205" s="34" t="s">
        <v>67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68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332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38" t="s">
        <v>86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38" t="s">
        <v>68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341</v>
      </c>
      <c r="B209" s="54" t="s">
        <v>342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98</v>
      </c>
      <c r="L209" s="33"/>
      <c r="M209" s="34" t="s">
        <v>104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68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343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344</v>
      </c>
      <c r="B210" s="54" t="s">
        <v>345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98</v>
      </c>
      <c r="L210" s="33"/>
      <c r="M210" s="34" t="s">
        <v>104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68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346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347</v>
      </c>
      <c r="B211" s="54" t="s">
        <v>348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98</v>
      </c>
      <c r="L211" s="33"/>
      <c r="M211" s="34" t="s">
        <v>104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68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349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350</v>
      </c>
      <c r="B212" s="54" t="s">
        <v>351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66</v>
      </c>
      <c r="L212" s="33"/>
      <c r="M212" s="34" t="s">
        <v>104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68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343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352</v>
      </c>
      <c r="B213" s="54" t="s">
        <v>353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66</v>
      </c>
      <c r="L213" s="33"/>
      <c r="M213" s="34" t="s">
        <v>127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68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355</v>
      </c>
      <c r="B214" s="54" t="s">
        <v>356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66</v>
      </c>
      <c r="L214" s="33"/>
      <c r="M214" s="34" t="s">
        <v>104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68</v>
      </c>
      <c r="X214" s="613">
        <v>80</v>
      </c>
      <c r="Y214" s="614">
        <f t="shared" si="36"/>
        <v>81.599999999999994</v>
      </c>
      <c r="Z214" s="37">
        <f t="shared" si="41"/>
        <v>0.22134000000000001</v>
      </c>
      <c r="AA214" s="56"/>
      <c r="AB214" s="57"/>
      <c r="AC214" s="271" t="s">
        <v>349</v>
      </c>
      <c r="AG214" s="64"/>
      <c r="AJ214" s="68"/>
      <c r="AK214" s="68">
        <v>0</v>
      </c>
      <c r="BB214" s="272" t="s">
        <v>1</v>
      </c>
      <c r="BM214" s="64">
        <f t="shared" si="37"/>
        <v>88.40000000000002</v>
      </c>
      <c r="BN214" s="64">
        <f t="shared" si="38"/>
        <v>90.168000000000006</v>
      </c>
      <c r="BO214" s="64">
        <f t="shared" si="39"/>
        <v>0.18315018315018317</v>
      </c>
      <c r="BP214" s="64">
        <f t="shared" si="40"/>
        <v>0.18681318681318682</v>
      </c>
    </row>
    <row r="215" spans="1:68" ht="27" customHeight="1" x14ac:dyDescent="0.25">
      <c r="A215" s="54" t="s">
        <v>357</v>
      </c>
      <c r="B215" s="54" t="s">
        <v>358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66</v>
      </c>
      <c r="L215" s="33"/>
      <c r="M215" s="34" t="s">
        <v>104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68</v>
      </c>
      <c r="X215" s="613">
        <v>80</v>
      </c>
      <c r="Y215" s="614">
        <f t="shared" si="36"/>
        <v>81.599999999999994</v>
      </c>
      <c r="Z215" s="37">
        <f t="shared" si="41"/>
        <v>0.22134000000000001</v>
      </c>
      <c r="AA215" s="56"/>
      <c r="AB215" s="57"/>
      <c r="AC215" s="273" t="s">
        <v>349</v>
      </c>
      <c r="AG215" s="64"/>
      <c r="AJ215" s="68"/>
      <c r="AK215" s="68">
        <v>0</v>
      </c>
      <c r="BB215" s="274" t="s">
        <v>1</v>
      </c>
      <c r="BM215" s="64">
        <f t="shared" si="37"/>
        <v>88.40000000000002</v>
      </c>
      <c r="BN215" s="64">
        <f t="shared" si="38"/>
        <v>90.168000000000006</v>
      </c>
      <c r="BO215" s="64">
        <f t="shared" si="39"/>
        <v>0.18315018315018317</v>
      </c>
      <c r="BP215" s="64">
        <f t="shared" si="40"/>
        <v>0.18681318681318682</v>
      </c>
    </row>
    <row r="216" spans="1:68" ht="27" customHeight="1" x14ac:dyDescent="0.25">
      <c r="A216" s="54" t="s">
        <v>359</v>
      </c>
      <c r="B216" s="54" t="s">
        <v>360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66</v>
      </c>
      <c r="L216" s="33"/>
      <c r="M216" s="34" t="s">
        <v>127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68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66</v>
      </c>
      <c r="L217" s="33"/>
      <c r="M217" s="34" t="s">
        <v>104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68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364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38" t="s">
        <v>86</v>
      </c>
      <c r="X218" s="615">
        <f>IFERROR(X209/H209,"0")+IFERROR(X210/H210,"0")+IFERROR(X211/H211,"0")+IFERROR(X212/H212,"0")+IFERROR(X213/H213,"0")+IFERROR(X214/H214,"0")+IFERROR(X215/H215,"0")+IFERROR(X216/H216,"0")+IFERROR(X217/H217,"0")</f>
        <v>66.666666666666671</v>
      </c>
      <c r="Y218" s="615">
        <f>IFERROR(Y209/H209,"0")+IFERROR(Y210/H210,"0")+IFERROR(Y211/H211,"0")+IFERROR(Y212/H212,"0")+IFERROR(Y213/H213,"0")+IFERROR(Y214/H214,"0")+IFERROR(Y215/H215,"0")+IFERROR(Y216/H216,"0")+IFERROR(Y217/H217,"0")</f>
        <v>68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0.44268000000000002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38" t="s">
        <v>68</v>
      </c>
      <c r="X219" s="615">
        <f>IFERROR(SUM(X209:X217),"0")</f>
        <v>160</v>
      </c>
      <c r="Y219" s="615">
        <f>IFERROR(SUM(Y209:Y217),"0")</f>
        <v>163.19999999999999</v>
      </c>
      <c r="Z219" s="38"/>
      <c r="AA219" s="616"/>
      <c r="AB219" s="616"/>
      <c r="AC219" s="616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365</v>
      </c>
      <c r="B221" s="54" t="s">
        <v>366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66</v>
      </c>
      <c r="L221" s="33"/>
      <c r="M221" s="34" t="s">
        <v>127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68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367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368</v>
      </c>
      <c r="B222" s="54" t="s">
        <v>369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66</v>
      </c>
      <c r="L222" s="33"/>
      <c r="M222" s="34" t="s">
        <v>104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68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370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38" t="s">
        <v>86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38" t="s">
        <v>68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372</v>
      </c>
      <c r="B227" s="54" t="s">
        <v>373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98</v>
      </c>
      <c r="L227" s="33"/>
      <c r="M227" s="34" t="s">
        <v>99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68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374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372</v>
      </c>
      <c r="B228" s="54" t="s">
        <v>375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98</v>
      </c>
      <c r="L228" s="33"/>
      <c r="M228" s="34" t="s">
        <v>376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68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377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378</v>
      </c>
      <c r="B229" s="54" t="s">
        <v>379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98</v>
      </c>
      <c r="L229" s="33"/>
      <c r="M229" s="34" t="s">
        <v>99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68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380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381</v>
      </c>
      <c r="B230" s="54" t="s">
        <v>382</v>
      </c>
      <c r="C230" s="32">
        <v>4301011941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12.08</v>
      </c>
      <c r="J230" s="33">
        <v>48</v>
      </c>
      <c r="K230" s="33" t="s">
        <v>98</v>
      </c>
      <c r="L230" s="33"/>
      <c r="M230" s="34" t="s">
        <v>376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68</v>
      </c>
      <c r="X230" s="613">
        <v>0</v>
      </c>
      <c r="Y230" s="614">
        <f t="shared" si="42"/>
        <v>0</v>
      </c>
      <c r="Z230" s="37" t="str">
        <f>IFERROR(IF(Y230=0,"",ROUNDUP(Y230/H230,0)*0.02039),"")</f>
        <v/>
      </c>
      <c r="AA230" s="56"/>
      <c r="AB230" s="57"/>
      <c r="AC230" s="289" t="s">
        <v>377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381</v>
      </c>
      <c r="B231" s="54" t="s">
        <v>383</v>
      </c>
      <c r="C231" s="32">
        <v>4301011721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12.035</v>
      </c>
      <c r="J231" s="33">
        <v>64</v>
      </c>
      <c r="K231" s="33" t="s">
        <v>98</v>
      </c>
      <c r="L231" s="33"/>
      <c r="M231" s="34" t="s">
        <v>99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68</v>
      </c>
      <c r="X231" s="613">
        <v>0</v>
      </c>
      <c r="Y231" s="614">
        <f t="shared" si="42"/>
        <v>0</v>
      </c>
      <c r="Z231" s="37" t="str">
        <f>IFERROR(IF(Y231=0,"",ROUNDUP(Y231/H231,0)*0.01898),"")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385</v>
      </c>
      <c r="B232" s="54" t="s">
        <v>386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103</v>
      </c>
      <c r="L232" s="33"/>
      <c r="M232" s="34" t="s">
        <v>99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68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374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387</v>
      </c>
      <c r="B233" s="54" t="s">
        <v>388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103</v>
      </c>
      <c r="L233" s="33"/>
      <c r="M233" s="34" t="s">
        <v>99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68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380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389</v>
      </c>
      <c r="B234" s="54" t="s">
        <v>390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103</v>
      </c>
      <c r="L234" s="33"/>
      <c r="M234" s="34" t="s">
        <v>99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68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38" t="s">
        <v>86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38" t="s">
        <v>68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391</v>
      </c>
      <c r="B238" s="54" t="s">
        <v>392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146</v>
      </c>
      <c r="L238" s="33"/>
      <c r="M238" s="34" t="s">
        <v>104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68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391</v>
      </c>
      <c r="B239" s="54" t="s">
        <v>394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146</v>
      </c>
      <c r="L239" s="33"/>
      <c r="M239" s="34" t="s">
        <v>104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68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393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38" t="s">
        <v>86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38" t="s">
        <v>68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396</v>
      </c>
      <c r="B243" s="54" t="s">
        <v>397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296</v>
      </c>
      <c r="L243" s="33"/>
      <c r="M243" s="34" t="s">
        <v>297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68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38" t="s">
        <v>86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38" t="s">
        <v>68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400</v>
      </c>
      <c r="B247" s="54" t="s">
        <v>401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296</v>
      </c>
      <c r="L247" s="33"/>
      <c r="M247" s="34" t="s">
        <v>297</v>
      </c>
      <c r="N247" s="34"/>
      <c r="O247" s="33">
        <v>90</v>
      </c>
      <c r="P247" s="901" t="s">
        <v>402</v>
      </c>
      <c r="Q247" s="625"/>
      <c r="R247" s="625"/>
      <c r="S247" s="625"/>
      <c r="T247" s="626"/>
      <c r="U247" s="35"/>
      <c r="V247" s="35"/>
      <c r="W247" s="36" t="s">
        <v>68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404</v>
      </c>
      <c r="B248" s="54" t="s">
        <v>405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296</v>
      </c>
      <c r="L248" s="33"/>
      <c r="M248" s="34" t="s">
        <v>297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68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403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406</v>
      </c>
      <c r="B249" s="54" t="s">
        <v>407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296</v>
      </c>
      <c r="L249" s="33"/>
      <c r="M249" s="34" t="s">
        <v>297</v>
      </c>
      <c r="N249" s="34"/>
      <c r="O249" s="33">
        <v>90</v>
      </c>
      <c r="P249" s="649" t="s">
        <v>408</v>
      </c>
      <c r="Q249" s="625"/>
      <c r="R249" s="625"/>
      <c r="S249" s="625"/>
      <c r="T249" s="626"/>
      <c r="U249" s="35"/>
      <c r="V249" s="35"/>
      <c r="W249" s="36" t="s">
        <v>68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403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409</v>
      </c>
      <c r="B250" s="54" t="s">
        <v>410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296</v>
      </c>
      <c r="L250" s="33"/>
      <c r="M250" s="34" t="s">
        <v>297</v>
      </c>
      <c r="N250" s="34"/>
      <c r="O250" s="33">
        <v>90</v>
      </c>
      <c r="P250" s="730" t="s">
        <v>411</v>
      </c>
      <c r="Q250" s="625"/>
      <c r="R250" s="625"/>
      <c r="S250" s="625"/>
      <c r="T250" s="626"/>
      <c r="U250" s="35"/>
      <c r="V250" s="35"/>
      <c r="W250" s="36" t="s">
        <v>68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403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412</v>
      </c>
      <c r="B251" s="54" t="s">
        <v>413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296</v>
      </c>
      <c r="L251" s="33"/>
      <c r="M251" s="34" t="s">
        <v>297</v>
      </c>
      <c r="N251" s="34"/>
      <c r="O251" s="33">
        <v>90</v>
      </c>
      <c r="P251" s="851" t="s">
        <v>414</v>
      </c>
      <c r="Q251" s="625"/>
      <c r="R251" s="625"/>
      <c r="S251" s="625"/>
      <c r="T251" s="626"/>
      <c r="U251" s="35"/>
      <c r="V251" s="35"/>
      <c r="W251" s="36" t="s">
        <v>68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403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38" t="s">
        <v>86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38" t="s">
        <v>68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416</v>
      </c>
      <c r="B256" s="54" t="s">
        <v>417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98</v>
      </c>
      <c r="L256" s="33"/>
      <c r="M256" s="34" t="s">
        <v>99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68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418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419</v>
      </c>
      <c r="B257" s="54" t="s">
        <v>420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98</v>
      </c>
      <c r="L257" s="33"/>
      <c r="M257" s="34" t="s">
        <v>376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68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419</v>
      </c>
      <c r="B258" s="54" t="s">
        <v>422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98</v>
      </c>
      <c r="L258" s="33"/>
      <c r="M258" s="34" t="s">
        <v>99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68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423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424</v>
      </c>
      <c r="B259" s="54" t="s">
        <v>425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98</v>
      </c>
      <c r="L259" s="33"/>
      <c r="M259" s="34" t="s">
        <v>99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68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426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427</v>
      </c>
      <c r="B260" s="54" t="s">
        <v>428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103</v>
      </c>
      <c r="L260" s="33"/>
      <c r="M260" s="34" t="s">
        <v>99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68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429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430</v>
      </c>
      <c r="B261" s="54" t="s">
        <v>431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103</v>
      </c>
      <c r="L261" s="33"/>
      <c r="M261" s="34" t="s">
        <v>99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68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432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38" t="s">
        <v>86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38" t="s">
        <v>68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434</v>
      </c>
      <c r="B266" s="54" t="s">
        <v>435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98</v>
      </c>
      <c r="L266" s="33"/>
      <c r="M266" s="34" t="s">
        <v>104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68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100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436</v>
      </c>
      <c r="B267" s="54" t="s">
        <v>437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98</v>
      </c>
      <c r="L267" s="33"/>
      <c r="M267" s="34" t="s">
        <v>104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68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438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98</v>
      </c>
      <c r="L268" s="33"/>
      <c r="M268" s="34" t="s">
        <v>104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68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441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442</v>
      </c>
      <c r="B269" s="54" t="s">
        <v>443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98</v>
      </c>
      <c r="L269" s="33"/>
      <c r="M269" s="34" t="s">
        <v>99</v>
      </c>
      <c r="N269" s="34"/>
      <c r="O269" s="33">
        <v>31</v>
      </c>
      <c r="P269" s="884" t="s">
        <v>444</v>
      </c>
      <c r="Q269" s="625"/>
      <c r="R269" s="625"/>
      <c r="S269" s="625"/>
      <c r="T269" s="626"/>
      <c r="U269" s="35"/>
      <c r="V269" s="35"/>
      <c r="W269" s="36" t="s">
        <v>68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445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38" t="s">
        <v>86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38" t="s">
        <v>68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447</v>
      </c>
      <c r="B274" s="54" t="s">
        <v>448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66</v>
      </c>
      <c r="L274" s="33"/>
      <c r="M274" s="34" t="s">
        <v>104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68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449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450</v>
      </c>
      <c r="B275" s="54" t="s">
        <v>451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66</v>
      </c>
      <c r="L275" s="33"/>
      <c r="M275" s="34" t="s">
        <v>127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68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452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453</v>
      </c>
      <c r="B276" s="54" t="s">
        <v>454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66</v>
      </c>
      <c r="L276" s="33"/>
      <c r="M276" s="34" t="s">
        <v>104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68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455</v>
      </c>
      <c r="AG276" s="64"/>
      <c r="AJ276" s="68"/>
      <c r="AK276" s="68">
        <v>0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456</v>
      </c>
      <c r="B277" s="54" t="s">
        <v>457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103</v>
      </c>
      <c r="L277" s="33"/>
      <c r="M277" s="34" t="s">
        <v>104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68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449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38" t="s">
        <v>86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38" t="s">
        <v>68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459</v>
      </c>
      <c r="B282" s="54" t="s">
        <v>460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146</v>
      </c>
      <c r="L282" s="33"/>
      <c r="M282" s="34" t="s">
        <v>67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68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461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38" t="s">
        <v>86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38" t="s">
        <v>68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462</v>
      </c>
      <c r="B286" s="54" t="s">
        <v>463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103</v>
      </c>
      <c r="L286" s="33"/>
      <c r="M286" s="34" t="s">
        <v>104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68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464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38" t="s">
        <v>86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38" t="s">
        <v>68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466</v>
      </c>
      <c r="B291" s="54" t="s">
        <v>467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66</v>
      </c>
      <c r="L291" s="33"/>
      <c r="M291" s="34" t="s">
        <v>104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68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468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38" t="s">
        <v>86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38" t="s">
        <v>68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470</v>
      </c>
      <c r="B296" s="54" t="s">
        <v>471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146</v>
      </c>
      <c r="L296" s="33"/>
      <c r="M296" s="34" t="s">
        <v>67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68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472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473</v>
      </c>
      <c r="B297" s="54" t="s">
        <v>474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146</v>
      </c>
      <c r="L297" s="33"/>
      <c r="M297" s="34" t="s">
        <v>67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68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472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38" t="s">
        <v>86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38" t="s">
        <v>68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476</v>
      </c>
      <c r="B302" s="54" t="s">
        <v>477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98</v>
      </c>
      <c r="L302" s="33"/>
      <c r="M302" s="34" t="s">
        <v>99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68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478</v>
      </c>
      <c r="AB302" s="57"/>
      <c r="AC302" s="353" t="s">
        <v>479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38" t="s">
        <v>86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38" t="s">
        <v>68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481</v>
      </c>
      <c r="B307" s="54" t="s">
        <v>482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98</v>
      </c>
      <c r="L307" s="33"/>
      <c r="M307" s="34" t="s">
        <v>104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68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98</v>
      </c>
      <c r="L308" s="33"/>
      <c r="M308" s="34" t="s">
        <v>376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68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484</v>
      </c>
      <c r="B309" s="54" t="s">
        <v>487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98</v>
      </c>
      <c r="L309" s="33"/>
      <c r="M309" s="34" t="s">
        <v>104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68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488</v>
      </c>
      <c r="AG309" s="64"/>
      <c r="AJ309" s="68"/>
      <c r="AK309" s="68">
        <v>0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489</v>
      </c>
      <c r="B310" s="54" t="s">
        <v>490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98</v>
      </c>
      <c r="L310" s="33"/>
      <c r="M310" s="34" t="s">
        <v>99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68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491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492</v>
      </c>
      <c r="B311" s="54" t="s">
        <v>493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103</v>
      </c>
      <c r="L311" s="33"/>
      <c r="M311" s="34" t="s">
        <v>99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68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494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495</v>
      </c>
      <c r="B312" s="54" t="s">
        <v>496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103</v>
      </c>
      <c r="L312" s="33"/>
      <c r="M312" s="34" t="s">
        <v>99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68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488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38" t="s">
        <v>86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38" t="s">
        <v>68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497</v>
      </c>
      <c r="B316" s="54" t="s">
        <v>498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103</v>
      </c>
      <c r="L316" s="33"/>
      <c r="M316" s="34" t="s">
        <v>67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68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500</v>
      </c>
      <c r="B317" s="54" t="s">
        <v>501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103</v>
      </c>
      <c r="L317" s="33"/>
      <c r="M317" s="34" t="s">
        <v>67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68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502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503</v>
      </c>
      <c r="B318" s="54" t="s">
        <v>504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103</v>
      </c>
      <c r="L318" s="33"/>
      <c r="M318" s="34" t="s">
        <v>67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68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505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506</v>
      </c>
      <c r="B319" s="54" t="s">
        <v>507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146</v>
      </c>
      <c r="L319" s="33"/>
      <c r="M319" s="34" t="s">
        <v>67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68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502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38" t="s">
        <v>86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38" t="s">
        <v>68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508</v>
      </c>
      <c r="B323" s="54" t="s">
        <v>509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98</v>
      </c>
      <c r="L323" s="33"/>
      <c r="M323" s="34" t="s">
        <v>104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68</v>
      </c>
      <c r="X323" s="613">
        <v>200</v>
      </c>
      <c r="Y323" s="614">
        <f>IFERROR(IF(X323="",0,CEILING((X323/$H323),1)*$H323),"")</f>
        <v>202.79999999999998</v>
      </c>
      <c r="Z323" s="37">
        <f>IFERROR(IF(Y323=0,"",ROUNDUP(Y323/H323,0)*0.01898),"")</f>
        <v>0.49348000000000003</v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213.15384615384619</v>
      </c>
      <c r="BN323" s="64">
        <f>IFERROR(Y323*I323/H323,"0")</f>
        <v>216.13799999999998</v>
      </c>
      <c r="BO323" s="64">
        <f>IFERROR(1/J323*(X323/H323),"0")</f>
        <v>0.40064102564102566</v>
      </c>
      <c r="BP323" s="64">
        <f>IFERROR(1/J323*(Y323/H323),"0")</f>
        <v>0.40625</v>
      </c>
    </row>
    <row r="324" spans="1:68" ht="27" customHeight="1" x14ac:dyDescent="0.25">
      <c r="A324" s="54" t="s">
        <v>511</v>
      </c>
      <c r="B324" s="54" t="s">
        <v>512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98</v>
      </c>
      <c r="L324" s="33"/>
      <c r="M324" s="34" t="s">
        <v>104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68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513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514</v>
      </c>
      <c r="B325" s="54" t="s">
        <v>515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98</v>
      </c>
      <c r="L325" s="33"/>
      <c r="M325" s="34" t="s">
        <v>104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68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516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517</v>
      </c>
      <c r="B326" s="54" t="s">
        <v>518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66</v>
      </c>
      <c r="L326" s="33"/>
      <c r="M326" s="34" t="s">
        <v>104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68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519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66</v>
      </c>
      <c r="L327" s="33"/>
      <c r="M327" s="34" t="s">
        <v>127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68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522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38" t="s">
        <v>86</v>
      </c>
      <c r="X328" s="615">
        <f>IFERROR(X323/H323,"0")+IFERROR(X324/H324,"0")+IFERROR(X325/H325,"0")+IFERROR(X326/H326,"0")+IFERROR(X327/H327,"0")</f>
        <v>25.641025641025642</v>
      </c>
      <c r="Y328" s="615">
        <f>IFERROR(Y323/H323,"0")+IFERROR(Y324/H324,"0")+IFERROR(Y325/H325,"0")+IFERROR(Y326/H326,"0")+IFERROR(Y327/H327,"0")</f>
        <v>26</v>
      </c>
      <c r="Z328" s="615">
        <f>IFERROR(IF(Z323="",0,Z323),"0")+IFERROR(IF(Z324="",0,Z324),"0")+IFERROR(IF(Z325="",0,Z325),"0")+IFERROR(IF(Z326="",0,Z326),"0")+IFERROR(IF(Z327="",0,Z327),"0")</f>
        <v>0.49348000000000003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38" t="s">
        <v>68</v>
      </c>
      <c r="X329" s="615">
        <f>IFERROR(SUM(X323:X327),"0")</f>
        <v>200</v>
      </c>
      <c r="Y329" s="615">
        <f>IFERROR(SUM(Y323:Y327),"0")</f>
        <v>202.79999999999998</v>
      </c>
      <c r="Z329" s="38"/>
      <c r="AA329" s="616"/>
      <c r="AB329" s="616"/>
      <c r="AC329" s="616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523</v>
      </c>
      <c r="B331" s="54" t="s">
        <v>524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98</v>
      </c>
      <c r="L331" s="33"/>
      <c r="M331" s="34" t="s">
        <v>104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68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525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98</v>
      </c>
      <c r="L332" s="33"/>
      <c r="M332" s="34" t="s">
        <v>104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68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528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529</v>
      </c>
      <c r="B333" s="54" t="s">
        <v>530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98</v>
      </c>
      <c r="L333" s="33"/>
      <c r="M333" s="34" t="s">
        <v>127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68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531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38" t="s">
        <v>86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38" t="s">
        <v>68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532</v>
      </c>
      <c r="B337" s="54" t="s">
        <v>533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103</v>
      </c>
      <c r="L337" s="33"/>
      <c r="M337" s="34" t="s">
        <v>90</v>
      </c>
      <c r="N337" s="34"/>
      <c r="O337" s="33">
        <v>180</v>
      </c>
      <c r="P337" s="710" t="s">
        <v>534</v>
      </c>
      <c r="Q337" s="625"/>
      <c r="R337" s="625"/>
      <c r="S337" s="625"/>
      <c r="T337" s="626"/>
      <c r="U337" s="35"/>
      <c r="V337" s="35"/>
      <c r="W337" s="36" t="s">
        <v>68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535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103</v>
      </c>
      <c r="L338" s="33"/>
      <c r="M338" s="34" t="s">
        <v>90</v>
      </c>
      <c r="N338" s="34"/>
      <c r="O338" s="33">
        <v>180</v>
      </c>
      <c r="P338" s="971" t="s">
        <v>538</v>
      </c>
      <c r="Q338" s="625"/>
      <c r="R338" s="625"/>
      <c r="S338" s="625"/>
      <c r="T338" s="626"/>
      <c r="U338" s="35"/>
      <c r="V338" s="35"/>
      <c r="W338" s="36" t="s">
        <v>68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539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540</v>
      </c>
      <c r="B339" s="54" t="s">
        <v>541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66</v>
      </c>
      <c r="L339" s="33"/>
      <c r="M339" s="34" t="s">
        <v>90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68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542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66</v>
      </c>
      <c r="L340" s="33"/>
      <c r="M340" s="34" t="s">
        <v>90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68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539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38" t="s">
        <v>86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38" t="s">
        <v>68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546</v>
      </c>
      <c r="B344" s="54" t="s">
        <v>547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66</v>
      </c>
      <c r="L344" s="33"/>
      <c r="M344" s="34" t="s">
        <v>548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68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549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550</v>
      </c>
      <c r="B345" s="54" t="s">
        <v>551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66</v>
      </c>
      <c r="L345" s="33"/>
      <c r="M345" s="34" t="s">
        <v>548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68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549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66</v>
      </c>
      <c r="L346" s="33"/>
      <c r="M346" s="34" t="s">
        <v>548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68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549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38" t="s">
        <v>86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38" t="s">
        <v>68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555</v>
      </c>
      <c r="B351" s="54" t="s">
        <v>556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66</v>
      </c>
      <c r="L351" s="33"/>
      <c r="M351" s="34" t="s">
        <v>67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68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38" t="s">
        <v>86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38" t="s">
        <v>68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558</v>
      </c>
      <c r="B355" s="54" t="s">
        <v>559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98</v>
      </c>
      <c r="L355" s="33"/>
      <c r="M355" s="34" t="s">
        <v>127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68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561</v>
      </c>
      <c r="B356" s="54" t="s">
        <v>562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66</v>
      </c>
      <c r="L356" s="33"/>
      <c r="M356" s="34" t="s">
        <v>104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68</v>
      </c>
      <c r="X356" s="613">
        <v>294</v>
      </c>
      <c r="Y356" s="614">
        <f>IFERROR(IF(X356="",0,CEILING((X356/$H356),1)*$H356),"")</f>
        <v>294</v>
      </c>
      <c r="Z356" s="37">
        <f>IFERROR(IF(Y356=0,"",ROUNDUP(Y356/H356,0)*0.00651),"")</f>
        <v>0.91139999999999999</v>
      </c>
      <c r="AA356" s="56"/>
      <c r="AB356" s="57"/>
      <c r="AC356" s="409" t="s">
        <v>563</v>
      </c>
      <c r="AG356" s="64"/>
      <c r="AJ356" s="68"/>
      <c r="AK356" s="68">
        <v>0</v>
      </c>
      <c r="BB356" s="410" t="s">
        <v>1</v>
      </c>
      <c r="BM356" s="64">
        <f>IFERROR(X356*I356/H356,"0")</f>
        <v>329.28</v>
      </c>
      <c r="BN356" s="64">
        <f>IFERROR(Y356*I356/H356,"0")</f>
        <v>329.28</v>
      </c>
      <c r="BO356" s="64">
        <f>IFERROR(1/J356*(X356/H356),"0")</f>
        <v>0.76923076923076927</v>
      </c>
      <c r="BP356" s="64">
        <f>IFERROR(1/J356*(Y356/H356),"0")</f>
        <v>0.76923076923076927</v>
      </c>
    </row>
    <row r="357" spans="1:68" ht="27" customHeight="1" x14ac:dyDescent="0.25">
      <c r="A357" s="54" t="s">
        <v>564</v>
      </c>
      <c r="B357" s="54" t="s">
        <v>565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66</v>
      </c>
      <c r="L357" s="33"/>
      <c r="M357" s="34" t="s">
        <v>127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68</v>
      </c>
      <c r="X357" s="613">
        <v>42</v>
      </c>
      <c r="Y357" s="614">
        <f>IFERROR(IF(X357="",0,CEILING((X357/$H357),1)*$H357),"")</f>
        <v>42</v>
      </c>
      <c r="Z357" s="37">
        <f>IFERROR(IF(Y357=0,"",ROUNDUP(Y357/H357,0)*0.00651),"")</f>
        <v>0.13020000000000001</v>
      </c>
      <c r="AA357" s="56"/>
      <c r="AB357" s="57"/>
      <c r="AC357" s="411" t="s">
        <v>566</v>
      </c>
      <c r="AG357" s="64"/>
      <c r="AJ357" s="68"/>
      <c r="AK357" s="68">
        <v>0</v>
      </c>
      <c r="BB357" s="412" t="s">
        <v>1</v>
      </c>
      <c r="BM357" s="64">
        <f>IFERROR(X357*I357/H357,"0")</f>
        <v>46.8</v>
      </c>
      <c r="BN357" s="64">
        <f>IFERROR(Y357*I357/H357,"0")</f>
        <v>46.8</v>
      </c>
      <c r="BO357" s="64">
        <f>IFERROR(1/J357*(X357/H357),"0")</f>
        <v>0.1098901098901099</v>
      </c>
      <c r="BP357" s="64">
        <f>IFERROR(1/J357*(Y357/H357),"0")</f>
        <v>0.1098901098901099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38" t="s">
        <v>86</v>
      </c>
      <c r="X358" s="615">
        <f>IFERROR(X355/H355,"0")+IFERROR(X356/H356,"0")+IFERROR(X357/H357,"0")</f>
        <v>160</v>
      </c>
      <c r="Y358" s="615">
        <f>IFERROR(Y355/H355,"0")+IFERROR(Y356/H356,"0")+IFERROR(Y357/H357,"0")</f>
        <v>160</v>
      </c>
      <c r="Z358" s="615">
        <f>IFERROR(IF(Z355="",0,Z355),"0")+IFERROR(IF(Z356="",0,Z356),"0")+IFERROR(IF(Z357="",0,Z357),"0")</f>
        <v>1.0416000000000001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38" t="s">
        <v>68</v>
      </c>
      <c r="X359" s="615">
        <f>IFERROR(SUM(X355:X357),"0")</f>
        <v>336</v>
      </c>
      <c r="Y359" s="615">
        <f>IFERROR(SUM(Y355:Y357),"0")</f>
        <v>336</v>
      </c>
      <c r="Z359" s="38"/>
      <c r="AA359" s="616"/>
      <c r="AB359" s="616"/>
      <c r="AC359" s="616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569</v>
      </c>
      <c r="B363" s="54" t="s">
        <v>570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98</v>
      </c>
      <c r="L363" s="33"/>
      <c r="M363" s="34" t="s">
        <v>67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68</v>
      </c>
      <c r="X363" s="613">
        <v>1000</v>
      </c>
      <c r="Y363" s="614">
        <f t="shared" ref="Y363:Y369" si="57">IFERROR(IF(X363="",0,CEILING((X363/$H363),1)*$H363),"")</f>
        <v>1005</v>
      </c>
      <c r="Z363" s="37">
        <f>IFERROR(IF(Y363=0,"",ROUNDUP(Y363/H363,0)*0.02175),"")</f>
        <v>1.4572499999999999</v>
      </c>
      <c r="AA363" s="56"/>
      <c r="AB363" s="57"/>
      <c r="AC363" s="413" t="s">
        <v>571</v>
      </c>
      <c r="AG363" s="64"/>
      <c r="AJ363" s="68"/>
      <c r="AK363" s="68">
        <v>0</v>
      </c>
      <c r="BB363" s="414" t="s">
        <v>1</v>
      </c>
      <c r="BM363" s="64">
        <f t="shared" ref="BM363:BM369" si="58">IFERROR(X363*I363/H363,"0")</f>
        <v>1032</v>
      </c>
      <c r="BN363" s="64">
        <f t="shared" ref="BN363:BN369" si="59">IFERROR(Y363*I363/H363,"0")</f>
        <v>1037.1600000000001</v>
      </c>
      <c r="BO363" s="64">
        <f t="shared" ref="BO363:BO369" si="60">IFERROR(1/J363*(X363/H363),"0")</f>
        <v>1.3888888888888888</v>
      </c>
      <c r="BP363" s="64">
        <f t="shared" ref="BP363:BP369" si="61">IFERROR(1/J363*(Y363/H363),"0")</f>
        <v>1.3958333333333333</v>
      </c>
    </row>
    <row r="364" spans="1:68" ht="27" customHeight="1" x14ac:dyDescent="0.25">
      <c r="A364" s="54" t="s">
        <v>572</v>
      </c>
      <c r="B364" s="54" t="s">
        <v>573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98</v>
      </c>
      <c r="L364" s="33"/>
      <c r="M364" s="34" t="s">
        <v>67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68</v>
      </c>
      <c r="X364" s="613">
        <v>500</v>
      </c>
      <c r="Y364" s="614">
        <f t="shared" si="57"/>
        <v>510</v>
      </c>
      <c r="Z364" s="37">
        <f>IFERROR(IF(Y364=0,"",ROUNDUP(Y364/H364,0)*0.02175),"")</f>
        <v>0.73949999999999994</v>
      </c>
      <c r="AA364" s="56"/>
      <c r="AB364" s="57"/>
      <c r="AC364" s="415" t="s">
        <v>574</v>
      </c>
      <c r="AG364" s="64"/>
      <c r="AJ364" s="68"/>
      <c r="AK364" s="68">
        <v>0</v>
      </c>
      <c r="BB364" s="416" t="s">
        <v>1</v>
      </c>
      <c r="BM364" s="64">
        <f t="shared" si="58"/>
        <v>516</v>
      </c>
      <c r="BN364" s="64">
        <f t="shared" si="59"/>
        <v>526.32000000000005</v>
      </c>
      <c r="BO364" s="64">
        <f t="shared" si="60"/>
        <v>0.69444444444444442</v>
      </c>
      <c r="BP364" s="64">
        <f t="shared" si="61"/>
        <v>0.70833333333333326</v>
      </c>
    </row>
    <row r="365" spans="1:68" ht="37.5" customHeight="1" x14ac:dyDescent="0.25">
      <c r="A365" s="54" t="s">
        <v>575</v>
      </c>
      <c r="B365" s="54" t="s">
        <v>576</v>
      </c>
      <c r="C365" s="32">
        <v>4301011867</v>
      </c>
      <c r="D365" s="617">
        <v>4680115884830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98</v>
      </c>
      <c r="L365" s="33"/>
      <c r="M365" s="34" t="s">
        <v>67</v>
      </c>
      <c r="N365" s="34"/>
      <c r="O365" s="33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5"/>
      <c r="V365" s="35"/>
      <c r="W365" s="36" t="s">
        <v>68</v>
      </c>
      <c r="X365" s="613">
        <v>500</v>
      </c>
      <c r="Y365" s="614">
        <f t="shared" si="57"/>
        <v>510</v>
      </c>
      <c r="Z365" s="37">
        <f>IFERROR(IF(Y365=0,"",ROUNDUP(Y365/H365,0)*0.02175),"")</f>
        <v>0.73949999999999994</v>
      </c>
      <c r="AA365" s="56"/>
      <c r="AB365" s="57"/>
      <c r="AC365" s="417" t="s">
        <v>577</v>
      </c>
      <c r="AG365" s="64"/>
      <c r="AJ365" s="68"/>
      <c r="AK365" s="68">
        <v>0</v>
      </c>
      <c r="BB365" s="418" t="s">
        <v>1</v>
      </c>
      <c r="BM365" s="64">
        <f t="shared" si="58"/>
        <v>516</v>
      </c>
      <c r="BN365" s="64">
        <f t="shared" si="59"/>
        <v>526.32000000000005</v>
      </c>
      <c r="BO365" s="64">
        <f t="shared" si="60"/>
        <v>0.69444444444444442</v>
      </c>
      <c r="BP365" s="64">
        <f t="shared" si="61"/>
        <v>0.70833333333333326</v>
      </c>
    </row>
    <row r="366" spans="1:68" ht="27" customHeight="1" x14ac:dyDescent="0.25">
      <c r="A366" s="54" t="s">
        <v>578</v>
      </c>
      <c r="B366" s="54" t="s">
        <v>579</v>
      </c>
      <c r="C366" s="32">
        <v>4301011832</v>
      </c>
      <c r="D366" s="617">
        <v>4607091383997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98</v>
      </c>
      <c r="L366" s="33"/>
      <c r="M366" s="34" t="s">
        <v>127</v>
      </c>
      <c r="N366" s="34"/>
      <c r="O366" s="33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5"/>
      <c r="V366" s="35"/>
      <c r="W366" s="36" t="s">
        <v>68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580</v>
      </c>
      <c r="AG366" s="64"/>
      <c r="AJ366" s="68"/>
      <c r="AK366" s="68">
        <v>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customHeight="1" x14ac:dyDescent="0.25">
      <c r="A367" s="54" t="s">
        <v>581</v>
      </c>
      <c r="B367" s="54" t="s">
        <v>582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103</v>
      </c>
      <c r="L367" s="33"/>
      <c r="M367" s="34" t="s">
        <v>99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68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583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584</v>
      </c>
      <c r="B368" s="54" t="s">
        <v>585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103</v>
      </c>
      <c r="L368" s="33"/>
      <c r="M368" s="34" t="s">
        <v>67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68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574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586</v>
      </c>
      <c r="B369" s="54" t="s">
        <v>587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103</v>
      </c>
      <c r="L369" s="33"/>
      <c r="M369" s="34" t="s">
        <v>67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68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577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38" t="s">
        <v>86</v>
      </c>
      <c r="X370" s="615">
        <f>IFERROR(X363/H363,"0")+IFERROR(X364/H364,"0")+IFERROR(X365/H365,"0")+IFERROR(X366/H366,"0")+IFERROR(X367/H367,"0")+IFERROR(X368/H368,"0")+IFERROR(X369/H369,"0")</f>
        <v>133.33333333333334</v>
      </c>
      <c r="Y370" s="615">
        <f>IFERROR(Y363/H363,"0")+IFERROR(Y364/H364,"0")+IFERROR(Y365/H365,"0")+IFERROR(Y366/H366,"0")+IFERROR(Y367/H367,"0")+IFERROR(Y368/H368,"0")+IFERROR(Y369/H369,"0")</f>
        <v>135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2.9362499999999998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38" t="s">
        <v>68</v>
      </c>
      <c r="X371" s="615">
        <f>IFERROR(SUM(X363:X369),"0")</f>
        <v>2000</v>
      </c>
      <c r="Y371" s="615">
        <f>IFERROR(SUM(Y363:Y369),"0")</f>
        <v>2025</v>
      </c>
      <c r="Z371" s="38"/>
      <c r="AA371" s="616"/>
      <c r="AB371" s="616"/>
      <c r="AC371" s="616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588</v>
      </c>
      <c r="B373" s="54" t="s">
        <v>589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98</v>
      </c>
      <c r="L373" s="33"/>
      <c r="M373" s="34" t="s">
        <v>99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68</v>
      </c>
      <c r="X373" s="613">
        <v>1000</v>
      </c>
      <c r="Y373" s="614">
        <f>IFERROR(IF(X373="",0,CEILING((X373/$H373),1)*$H373),"")</f>
        <v>1005</v>
      </c>
      <c r="Z373" s="37">
        <f>IFERROR(IF(Y373=0,"",ROUNDUP(Y373/H373,0)*0.02175),"")</f>
        <v>1.4572499999999999</v>
      </c>
      <c r="AA373" s="56"/>
      <c r="AB373" s="57"/>
      <c r="AC373" s="427" t="s">
        <v>590</v>
      </c>
      <c r="AG373" s="64"/>
      <c r="AJ373" s="68"/>
      <c r="AK373" s="68">
        <v>0</v>
      </c>
      <c r="BB373" s="428" t="s">
        <v>1</v>
      </c>
      <c r="BM373" s="64">
        <f>IFERROR(X373*I373/H373,"0")</f>
        <v>1032</v>
      </c>
      <c r="BN373" s="64">
        <f>IFERROR(Y373*I373/H373,"0")</f>
        <v>1037.1600000000001</v>
      </c>
      <c r="BO373" s="64">
        <f>IFERROR(1/J373*(X373/H373),"0")</f>
        <v>1.3888888888888888</v>
      </c>
      <c r="BP373" s="64">
        <f>IFERROR(1/J373*(Y373/H373),"0")</f>
        <v>1.3958333333333333</v>
      </c>
    </row>
    <row r="374" spans="1:68" ht="16.5" customHeight="1" x14ac:dyDescent="0.25">
      <c r="A374" s="54" t="s">
        <v>591</v>
      </c>
      <c r="B374" s="54" t="s">
        <v>592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103</v>
      </c>
      <c r="L374" s="33"/>
      <c r="M374" s="34" t="s">
        <v>99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68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590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38" t="s">
        <v>86</v>
      </c>
      <c r="X375" s="615">
        <f>IFERROR(X373/H373,"0")+IFERROR(X374/H374,"0")</f>
        <v>66.666666666666671</v>
      </c>
      <c r="Y375" s="615">
        <f>IFERROR(Y373/H373,"0")+IFERROR(Y374/H374,"0")</f>
        <v>67</v>
      </c>
      <c r="Z375" s="615">
        <f>IFERROR(IF(Z373="",0,Z373),"0")+IFERROR(IF(Z374="",0,Z374),"0")</f>
        <v>1.4572499999999999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38" t="s">
        <v>68</v>
      </c>
      <c r="X376" s="615">
        <f>IFERROR(SUM(X373:X374),"0")</f>
        <v>1000</v>
      </c>
      <c r="Y376" s="615">
        <f>IFERROR(SUM(Y373:Y374),"0")</f>
        <v>1005</v>
      </c>
      <c r="Z376" s="38"/>
      <c r="AA376" s="616"/>
      <c r="AB376" s="616"/>
      <c r="AC376" s="616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593</v>
      </c>
      <c r="B378" s="54" t="s">
        <v>594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98</v>
      </c>
      <c r="L378" s="33"/>
      <c r="M378" s="34" t="s">
        <v>104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68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595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596</v>
      </c>
      <c r="B379" s="54" t="s">
        <v>597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98</v>
      </c>
      <c r="L379" s="33"/>
      <c r="M379" s="34" t="s">
        <v>104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68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598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38" t="s">
        <v>86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38" t="s">
        <v>68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599</v>
      </c>
      <c r="B383" s="54" t="s">
        <v>600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98</v>
      </c>
      <c r="L383" s="33"/>
      <c r="M383" s="34" t="s">
        <v>104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68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601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38" t="s">
        <v>86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38" t="s">
        <v>68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37.5" customHeight="1" x14ac:dyDescent="0.25">
      <c r="A388" s="54" t="s">
        <v>603</v>
      </c>
      <c r="B388" s="54" t="s">
        <v>604</v>
      </c>
      <c r="C388" s="32">
        <v>4301011873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98</v>
      </c>
      <c r="L388" s="33"/>
      <c r="M388" s="34" t="s">
        <v>67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68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605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603</v>
      </c>
      <c r="B389" s="54" t="s">
        <v>606</v>
      </c>
      <c r="C389" s="32">
        <v>4301011483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98</v>
      </c>
      <c r="L389" s="33"/>
      <c r="M389" s="34" t="s">
        <v>67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68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607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608</v>
      </c>
      <c r="B390" s="54" t="s">
        <v>609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98</v>
      </c>
      <c r="L390" s="33"/>
      <c r="M390" s="34" t="s">
        <v>67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68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610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611</v>
      </c>
      <c r="B391" s="54" t="s">
        <v>612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98</v>
      </c>
      <c r="L391" s="33"/>
      <c r="M391" s="34" t="s">
        <v>67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68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610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613</v>
      </c>
      <c r="B392" s="54" t="s">
        <v>614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103</v>
      </c>
      <c r="L392" s="33"/>
      <c r="M392" s="34" t="s">
        <v>67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68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610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38" t="s">
        <v>86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38" t="s">
        <v>68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615</v>
      </c>
      <c r="B396" s="54" t="s">
        <v>616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103</v>
      </c>
      <c r="L396" s="33"/>
      <c r="M396" s="34" t="s">
        <v>67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68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38" t="s">
        <v>86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38" t="s">
        <v>68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618</v>
      </c>
      <c r="B400" s="54" t="s">
        <v>619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98</v>
      </c>
      <c r="L400" s="33"/>
      <c r="M400" s="34" t="s">
        <v>104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68</v>
      </c>
      <c r="X400" s="613">
        <v>2000</v>
      </c>
      <c r="Y400" s="614">
        <f>IFERROR(IF(X400="",0,CEILING((X400/$H400),1)*$H400),"")</f>
        <v>2007</v>
      </c>
      <c r="Z400" s="37">
        <f>IFERROR(IF(Y400=0,"",ROUNDUP(Y400/H400,0)*0.01898),"")</f>
        <v>4.2325400000000002</v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>IFERROR(X400*I400/H400,"0")</f>
        <v>2115.3333333333335</v>
      </c>
      <c r="BN400" s="64">
        <f>IFERROR(Y400*I400/H400,"0")</f>
        <v>2122.7370000000001</v>
      </c>
      <c r="BO400" s="64">
        <f>IFERROR(1/J400*(X400/H400),"0")</f>
        <v>3.4722222222222223</v>
      </c>
      <c r="BP400" s="64">
        <f>IFERROR(1/J400*(Y400/H400),"0")</f>
        <v>3.484375</v>
      </c>
    </row>
    <row r="401" spans="1:68" ht="37.5" customHeight="1" x14ac:dyDescent="0.25">
      <c r="A401" s="54" t="s">
        <v>621</v>
      </c>
      <c r="B401" s="54" t="s">
        <v>622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98</v>
      </c>
      <c r="L401" s="33"/>
      <c r="M401" s="34" t="s">
        <v>104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68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624</v>
      </c>
      <c r="B402" s="54" t="s">
        <v>625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66</v>
      </c>
      <c r="L402" s="33"/>
      <c r="M402" s="34" t="s">
        <v>104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68</v>
      </c>
      <c r="X402" s="613">
        <v>160</v>
      </c>
      <c r="Y402" s="614">
        <f>IFERROR(IF(X402="",0,CEILING((X402/$H402),1)*$H402),"")</f>
        <v>160.79999999999998</v>
      </c>
      <c r="Z402" s="37">
        <f>IFERROR(IF(Y402=0,"",ROUNDUP(Y402/H402,0)*0.00651),"")</f>
        <v>0.43617</v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>IFERROR(X402*I402/H402,"0")</f>
        <v>177.60000000000002</v>
      </c>
      <c r="BN402" s="64">
        <f>IFERROR(Y402*I402/H402,"0")</f>
        <v>178.488</v>
      </c>
      <c r="BO402" s="64">
        <f>IFERROR(1/J402*(X402/H402),"0")</f>
        <v>0.36630036630036633</v>
      </c>
      <c r="BP402" s="64">
        <f>IFERROR(1/J402*(Y402/H402),"0")</f>
        <v>0.36813186813186816</v>
      </c>
    </row>
    <row r="403" spans="1:68" ht="27" customHeight="1" x14ac:dyDescent="0.25">
      <c r="A403" s="54" t="s">
        <v>626</v>
      </c>
      <c r="B403" s="54" t="s">
        <v>627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66</v>
      </c>
      <c r="L403" s="33"/>
      <c r="M403" s="34" t="s">
        <v>104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68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38" t="s">
        <v>86</v>
      </c>
      <c r="X404" s="615">
        <f>IFERROR(X400/H400,"0")+IFERROR(X401/H401,"0")+IFERROR(X402/H402,"0")+IFERROR(X403/H403,"0")</f>
        <v>288.88888888888891</v>
      </c>
      <c r="Y404" s="615">
        <f>IFERROR(Y400/H400,"0")+IFERROR(Y401/H401,"0")+IFERROR(Y402/H402,"0")+IFERROR(Y403/H403,"0")</f>
        <v>290</v>
      </c>
      <c r="Z404" s="615">
        <f>IFERROR(IF(Z400="",0,Z400),"0")+IFERROR(IF(Z401="",0,Z401),"0")+IFERROR(IF(Z402="",0,Z402),"0")+IFERROR(IF(Z403="",0,Z403),"0")</f>
        <v>4.6687099999999999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38" t="s">
        <v>68</v>
      </c>
      <c r="X405" s="615">
        <f>IFERROR(SUM(X400:X403),"0")</f>
        <v>2160</v>
      </c>
      <c r="Y405" s="615">
        <f>IFERROR(SUM(Y400:Y403),"0")</f>
        <v>2167.8000000000002</v>
      </c>
      <c r="Z405" s="38"/>
      <c r="AA405" s="616"/>
      <c r="AB405" s="616"/>
      <c r="AC405" s="616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629</v>
      </c>
      <c r="B407" s="54" t="s">
        <v>630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98</v>
      </c>
      <c r="L407" s="33"/>
      <c r="M407" s="34" t="s">
        <v>104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68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38" t="s">
        <v>86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38" t="s">
        <v>68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634</v>
      </c>
      <c r="B413" s="54" t="s">
        <v>635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103</v>
      </c>
      <c r="L413" s="33"/>
      <c r="M413" s="34" t="s">
        <v>67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68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636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103</v>
      </c>
      <c r="L414" s="33"/>
      <c r="M414" s="34" t="s">
        <v>67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68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639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637</v>
      </c>
      <c r="B415" s="54" t="s">
        <v>640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103</v>
      </c>
      <c r="L415" s="33"/>
      <c r="M415" s="34" t="s">
        <v>67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68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639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641</v>
      </c>
      <c r="B416" s="54" t="s">
        <v>642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103</v>
      </c>
      <c r="L416" s="33"/>
      <c r="M416" s="34" t="s">
        <v>67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68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643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644</v>
      </c>
      <c r="B417" s="54" t="s">
        <v>645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146</v>
      </c>
      <c r="L417" s="33"/>
      <c r="M417" s="34" t="s">
        <v>67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68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636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646</v>
      </c>
      <c r="B418" s="54" t="s">
        <v>647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146</v>
      </c>
      <c r="L418" s="33"/>
      <c r="M418" s="34" t="s">
        <v>67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68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636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648</v>
      </c>
      <c r="B419" s="54" t="s">
        <v>649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146</v>
      </c>
      <c r="L419" s="33"/>
      <c r="M419" s="34" t="s">
        <v>67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68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650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651</v>
      </c>
      <c r="B420" s="54" t="s">
        <v>652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146</v>
      </c>
      <c r="L420" s="33"/>
      <c r="M420" s="34" t="s">
        <v>67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68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653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654</v>
      </c>
      <c r="B421" s="54" t="s">
        <v>655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146</v>
      </c>
      <c r="L421" s="33"/>
      <c r="M421" s="34" t="s">
        <v>67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68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656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657</v>
      </c>
      <c r="B422" s="54" t="s">
        <v>658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146</v>
      </c>
      <c r="L422" s="33"/>
      <c r="M422" s="34" t="s">
        <v>67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68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653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38" t="s">
        <v>86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38" t="s">
        <v>68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659</v>
      </c>
      <c r="B426" s="54" t="s">
        <v>660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103</v>
      </c>
      <c r="L426" s="33"/>
      <c r="M426" s="34" t="s">
        <v>104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68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661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662</v>
      </c>
      <c r="B427" s="54" t="s">
        <v>663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66</v>
      </c>
      <c r="L427" s="33"/>
      <c r="M427" s="34" t="s">
        <v>104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68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664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38" t="s">
        <v>86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38" t="s">
        <v>68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666</v>
      </c>
      <c r="B432" s="54" t="s">
        <v>667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66</v>
      </c>
      <c r="L432" s="33"/>
      <c r="M432" s="34" t="s">
        <v>67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68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668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669</v>
      </c>
      <c r="B433" s="54" t="s">
        <v>670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66</v>
      </c>
      <c r="L433" s="33"/>
      <c r="M433" s="34" t="s">
        <v>67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68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671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38" t="s">
        <v>86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38" t="s">
        <v>68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672</v>
      </c>
      <c r="B437" s="54" t="s">
        <v>673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103</v>
      </c>
      <c r="L437" s="33"/>
      <c r="M437" s="34" t="s">
        <v>99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68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674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675</v>
      </c>
      <c r="B438" s="54" t="s">
        <v>676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146</v>
      </c>
      <c r="L438" s="33"/>
      <c r="M438" s="34" t="s">
        <v>67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68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677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678</v>
      </c>
      <c r="B439" s="54" t="s">
        <v>679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146</v>
      </c>
      <c r="L439" s="33"/>
      <c r="M439" s="34" t="s">
        <v>67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68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680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681</v>
      </c>
      <c r="B440" s="54" t="s">
        <v>682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146</v>
      </c>
      <c r="L440" s="33"/>
      <c r="M440" s="34" t="s">
        <v>67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68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680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38" t="s">
        <v>86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38" t="s">
        <v>68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684</v>
      </c>
      <c r="B445" s="54" t="s">
        <v>685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146</v>
      </c>
      <c r="L445" s="33"/>
      <c r="M445" s="34" t="s">
        <v>67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68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686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687</v>
      </c>
      <c r="B446" s="54" t="s">
        <v>688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66</v>
      </c>
      <c r="L446" s="33"/>
      <c r="M446" s="34" t="s">
        <v>67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68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689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38" t="s">
        <v>86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38" t="s">
        <v>68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691</v>
      </c>
      <c r="B451" s="54" t="s">
        <v>692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66</v>
      </c>
      <c r="L451" s="33"/>
      <c r="M451" s="34" t="s">
        <v>67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68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693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38" t="s">
        <v>86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38" t="s">
        <v>68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694</v>
      </c>
      <c r="B455" s="54" t="s">
        <v>695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66</v>
      </c>
      <c r="L455" s="33"/>
      <c r="M455" s="34" t="s">
        <v>67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68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38" t="s">
        <v>86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38" t="s">
        <v>68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698</v>
      </c>
      <c r="B461" s="54" t="s">
        <v>699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98</v>
      </c>
      <c r="L461" s="33"/>
      <c r="M461" s="34" t="s">
        <v>99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68</v>
      </c>
      <c r="X461" s="613">
        <v>300</v>
      </c>
      <c r="Y461" s="614">
        <f t="shared" ref="Y461:Y476" si="68">IFERROR(IF(X461="",0,CEILING((X461/$H461),1)*$H461),"")</f>
        <v>300.96000000000004</v>
      </c>
      <c r="Z461" s="37">
        <f t="shared" ref="Z461:Z466" si="69">IFERROR(IF(Y461=0,"",ROUNDUP(Y461/H461,0)*0.01196),"")</f>
        <v>0.68171999999999999</v>
      </c>
      <c r="AA461" s="56"/>
      <c r="AB461" s="57"/>
      <c r="AC461" s="503" t="s">
        <v>700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320.45454545454544</v>
      </c>
      <c r="BN461" s="64">
        <f t="shared" ref="BN461:BN476" si="71">IFERROR(Y461*I461/H461,"0")</f>
        <v>321.48</v>
      </c>
      <c r="BO461" s="64">
        <f t="shared" ref="BO461:BO476" si="72">IFERROR(1/J461*(X461/H461),"0")</f>
        <v>0.54632867132867136</v>
      </c>
      <c r="BP461" s="64">
        <f t="shared" ref="BP461:BP476" si="73">IFERROR(1/J461*(Y461/H461),"0")</f>
        <v>0.54807692307692313</v>
      </c>
    </row>
    <row r="462" spans="1:68" ht="27" customHeight="1" x14ac:dyDescent="0.25">
      <c r="A462" s="54" t="s">
        <v>701</v>
      </c>
      <c r="B462" s="54" t="s">
        <v>702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98</v>
      </c>
      <c r="L462" s="33"/>
      <c r="M462" s="34" t="s">
        <v>99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68</v>
      </c>
      <c r="X462" s="613">
        <v>300</v>
      </c>
      <c r="Y462" s="614">
        <f t="shared" si="68"/>
        <v>300.96000000000004</v>
      </c>
      <c r="Z462" s="37">
        <f t="shared" si="69"/>
        <v>0.68171999999999999</v>
      </c>
      <c r="AA462" s="56"/>
      <c r="AB462" s="57"/>
      <c r="AC462" s="505" t="s">
        <v>703</v>
      </c>
      <c r="AG462" s="64"/>
      <c r="AJ462" s="68"/>
      <c r="AK462" s="68">
        <v>0</v>
      </c>
      <c r="BB462" s="506" t="s">
        <v>1</v>
      </c>
      <c r="BM462" s="64">
        <f t="shared" si="70"/>
        <v>320.45454545454544</v>
      </c>
      <c r="BN462" s="64">
        <f t="shared" si="71"/>
        <v>321.48</v>
      </c>
      <c r="BO462" s="64">
        <f t="shared" si="72"/>
        <v>0.54632867132867136</v>
      </c>
      <c r="BP462" s="64">
        <f t="shared" si="73"/>
        <v>0.54807692307692313</v>
      </c>
    </row>
    <row r="463" spans="1:68" ht="27" customHeight="1" x14ac:dyDescent="0.25">
      <c r="A463" s="54" t="s">
        <v>704</v>
      </c>
      <c r="B463" s="54" t="s">
        <v>705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98</v>
      </c>
      <c r="L463" s="33"/>
      <c r="M463" s="34" t="s">
        <v>104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68</v>
      </c>
      <c r="X463" s="613">
        <v>1000</v>
      </c>
      <c r="Y463" s="614">
        <f t="shared" si="68"/>
        <v>1003.2</v>
      </c>
      <c r="Z463" s="37">
        <f t="shared" si="69"/>
        <v>2.2724000000000002</v>
      </c>
      <c r="AA463" s="56"/>
      <c r="AB463" s="57"/>
      <c r="AC463" s="507" t="s">
        <v>706</v>
      </c>
      <c r="AG463" s="64"/>
      <c r="AJ463" s="68"/>
      <c r="AK463" s="68">
        <v>0</v>
      </c>
      <c r="BB463" s="508" t="s">
        <v>1</v>
      </c>
      <c r="BM463" s="64">
        <f t="shared" si="70"/>
        <v>1068.1818181818182</v>
      </c>
      <c r="BN463" s="64">
        <f t="shared" si="71"/>
        <v>1071.5999999999999</v>
      </c>
      <c r="BO463" s="64">
        <f t="shared" si="72"/>
        <v>1.821095571095571</v>
      </c>
      <c r="BP463" s="64">
        <f t="shared" si="73"/>
        <v>1.8269230769230771</v>
      </c>
    </row>
    <row r="464" spans="1:68" ht="16.5" customHeight="1" x14ac:dyDescent="0.25">
      <c r="A464" s="54" t="s">
        <v>707</v>
      </c>
      <c r="B464" s="54" t="s">
        <v>708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98</v>
      </c>
      <c r="L464" s="33"/>
      <c r="M464" s="34" t="s">
        <v>99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68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709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710</v>
      </c>
      <c r="B465" s="54" t="s">
        <v>711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98</v>
      </c>
      <c r="L465" s="33"/>
      <c r="M465" s="34" t="s">
        <v>99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68</v>
      </c>
      <c r="X465" s="613">
        <v>1000</v>
      </c>
      <c r="Y465" s="614">
        <f t="shared" si="68"/>
        <v>1003.2</v>
      </c>
      <c r="Z465" s="37">
        <f t="shared" si="69"/>
        <v>2.2724000000000002</v>
      </c>
      <c r="AA465" s="56"/>
      <c r="AB465" s="57"/>
      <c r="AC465" s="511" t="s">
        <v>712</v>
      </c>
      <c r="AG465" s="64"/>
      <c r="AJ465" s="68"/>
      <c r="AK465" s="68">
        <v>0</v>
      </c>
      <c r="BB465" s="512" t="s">
        <v>1</v>
      </c>
      <c r="BM465" s="64">
        <f t="shared" si="70"/>
        <v>1068.1818181818182</v>
      </c>
      <c r="BN465" s="64">
        <f t="shared" si="71"/>
        <v>1071.5999999999999</v>
      </c>
      <c r="BO465" s="64">
        <f t="shared" si="72"/>
        <v>1.821095571095571</v>
      </c>
      <c r="BP465" s="64">
        <f t="shared" si="73"/>
        <v>1.8269230769230771</v>
      </c>
    </row>
    <row r="466" spans="1:68" ht="16.5" customHeight="1" x14ac:dyDescent="0.25">
      <c r="A466" s="54" t="s">
        <v>713</v>
      </c>
      <c r="B466" s="54" t="s">
        <v>714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98</v>
      </c>
      <c r="L466" s="33"/>
      <c r="M466" s="34" t="s">
        <v>104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68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715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66</v>
      </c>
      <c r="L467" s="33"/>
      <c r="M467" s="34" t="s">
        <v>104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68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700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718</v>
      </c>
      <c r="B468" s="54" t="s">
        <v>719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103</v>
      </c>
      <c r="L468" s="33"/>
      <c r="M468" s="34" t="s">
        <v>99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5"/>
      <c r="V468" s="35"/>
      <c r="W468" s="36" t="s">
        <v>68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700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718</v>
      </c>
      <c r="B469" s="54" t="s">
        <v>720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103</v>
      </c>
      <c r="L469" s="33"/>
      <c r="M469" s="34" t="s">
        <v>99</v>
      </c>
      <c r="N469" s="34"/>
      <c r="O469" s="33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5"/>
      <c r="V469" s="35"/>
      <c r="W469" s="36" t="s">
        <v>68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700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721</v>
      </c>
      <c r="B470" s="54" t="s">
        <v>722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103</v>
      </c>
      <c r="L470" s="33"/>
      <c r="M470" s="34" t="s">
        <v>99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68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703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103</v>
      </c>
      <c r="L471" s="33"/>
      <c r="M471" s="34" t="s">
        <v>99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68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706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103</v>
      </c>
      <c r="L472" s="33"/>
      <c r="M472" s="34" t="s">
        <v>99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68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709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727</v>
      </c>
      <c r="B473" s="54" t="s">
        <v>728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66</v>
      </c>
      <c r="L473" s="33"/>
      <c r="M473" s="34" t="s">
        <v>99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68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712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729</v>
      </c>
      <c r="B474" s="54" t="s">
        <v>730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103</v>
      </c>
      <c r="L474" s="33"/>
      <c r="M474" s="34" t="s">
        <v>99</v>
      </c>
      <c r="N474" s="34"/>
      <c r="O474" s="33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68</v>
      </c>
      <c r="X474" s="613">
        <v>0</v>
      </c>
      <c r="Y474" s="614">
        <f t="shared" si="68"/>
        <v>0</v>
      </c>
      <c r="Z474" s="37" t="str">
        <f>IFERROR(IF(Y474=0,"",ROUNDUP(Y474/H474,0)*0.00902),"")</f>
        <v/>
      </c>
      <c r="AA474" s="56"/>
      <c r="AB474" s="57"/>
      <c r="AC474" s="529" t="s">
        <v>712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731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103</v>
      </c>
      <c r="L475" s="33"/>
      <c r="M475" s="34" t="s">
        <v>99</v>
      </c>
      <c r="N475" s="34"/>
      <c r="O475" s="33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68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712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103</v>
      </c>
      <c r="L476" s="33"/>
      <c r="M476" s="34" t="s">
        <v>99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68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715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38" t="s">
        <v>86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492.42424242424238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494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5.9082400000000002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38" t="s">
        <v>68</v>
      </c>
      <c r="X478" s="615">
        <f>IFERROR(SUM(X461:X476),"0")</f>
        <v>2600</v>
      </c>
      <c r="Y478" s="615">
        <f>IFERROR(SUM(Y461:Y476),"0")</f>
        <v>2608.3200000000002</v>
      </c>
      <c r="Z478" s="38"/>
      <c r="AA478" s="616"/>
      <c r="AB478" s="616"/>
      <c r="AC478" s="616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734</v>
      </c>
      <c r="B480" s="54" t="s">
        <v>735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98</v>
      </c>
      <c r="L480" s="33"/>
      <c r="M480" s="34" t="s">
        <v>104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68</v>
      </c>
      <c r="X480" s="613">
        <v>1000</v>
      </c>
      <c r="Y480" s="614">
        <f>IFERROR(IF(X480="",0,CEILING((X480/$H480),1)*$H480),"")</f>
        <v>1003.2</v>
      </c>
      <c r="Z480" s="37">
        <f>IFERROR(IF(Y480=0,"",ROUNDUP(Y480/H480,0)*0.01196),"")</f>
        <v>2.2724000000000002</v>
      </c>
      <c r="AA480" s="56"/>
      <c r="AB480" s="57"/>
      <c r="AC480" s="535" t="s">
        <v>736</v>
      </c>
      <c r="AG480" s="64"/>
      <c r="AJ480" s="68"/>
      <c r="AK480" s="68">
        <v>0</v>
      </c>
      <c r="BB480" s="536" t="s">
        <v>1</v>
      </c>
      <c r="BM480" s="64">
        <f>IFERROR(X480*I480/H480,"0")</f>
        <v>1068.1818181818182</v>
      </c>
      <c r="BN480" s="64">
        <f>IFERROR(Y480*I480/H480,"0")</f>
        <v>1071.5999999999999</v>
      </c>
      <c r="BO480" s="64">
        <f>IFERROR(1/J480*(X480/H480),"0")</f>
        <v>1.821095571095571</v>
      </c>
      <c r="BP480" s="64">
        <f>IFERROR(1/J480*(Y480/H480),"0")</f>
        <v>1.8269230769230771</v>
      </c>
    </row>
    <row r="481" spans="1:68" ht="16.5" customHeight="1" x14ac:dyDescent="0.25">
      <c r="A481" s="54" t="s">
        <v>737</v>
      </c>
      <c r="B481" s="54" t="s">
        <v>738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66</v>
      </c>
      <c r="L481" s="33"/>
      <c r="M481" s="34" t="s">
        <v>104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68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736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739</v>
      </c>
      <c r="B482" s="54" t="s">
        <v>740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103</v>
      </c>
      <c r="L482" s="33"/>
      <c r="M482" s="34" t="s">
        <v>99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68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736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38" t="s">
        <v>86</v>
      </c>
      <c r="X483" s="615">
        <f>IFERROR(X480/H480,"0")+IFERROR(X481/H481,"0")+IFERROR(X482/H482,"0")</f>
        <v>189.39393939393938</v>
      </c>
      <c r="Y483" s="615">
        <f>IFERROR(Y480/H480,"0")+IFERROR(Y481/H481,"0")+IFERROR(Y482/H482,"0")</f>
        <v>190</v>
      </c>
      <c r="Z483" s="615">
        <f>IFERROR(IF(Z480="",0,Z480),"0")+IFERROR(IF(Z481="",0,Z481),"0")+IFERROR(IF(Z482="",0,Z482),"0")</f>
        <v>2.2724000000000002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38" t="s">
        <v>68</v>
      </c>
      <c r="X484" s="615">
        <f>IFERROR(SUM(X480:X482),"0")</f>
        <v>1000</v>
      </c>
      <c r="Y484" s="615">
        <f>IFERROR(SUM(Y480:Y482),"0")</f>
        <v>1003.2</v>
      </c>
      <c r="Z484" s="38"/>
      <c r="AA484" s="616"/>
      <c r="AB484" s="616"/>
      <c r="AC484" s="616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741</v>
      </c>
      <c r="B486" s="54" t="s">
        <v>742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98</v>
      </c>
      <c r="L486" s="33"/>
      <c r="M486" s="34" t="s">
        <v>99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68</v>
      </c>
      <c r="X486" s="613">
        <v>500</v>
      </c>
      <c r="Y486" s="614">
        <f t="shared" ref="Y486:Y494" si="74">IFERROR(IF(X486="",0,CEILING((X486/$H486),1)*$H486),"")</f>
        <v>501.6</v>
      </c>
      <c r="Z486" s="37">
        <f>IFERROR(IF(Y486=0,"",ROUNDUP(Y486/H486,0)*0.01196),"")</f>
        <v>1.1362000000000001</v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534.09090909090912</v>
      </c>
      <c r="BN486" s="64">
        <f t="shared" ref="BN486:BN494" si="76">IFERROR(Y486*I486/H486,"0")</f>
        <v>535.79999999999995</v>
      </c>
      <c r="BO486" s="64">
        <f t="shared" ref="BO486:BO494" si="77">IFERROR(1/J486*(X486/H486),"0")</f>
        <v>0.91054778554778548</v>
      </c>
      <c r="BP486" s="64">
        <f t="shared" ref="BP486:BP494" si="78">IFERROR(1/J486*(Y486/H486),"0")</f>
        <v>0.91346153846153855</v>
      </c>
    </row>
    <row r="487" spans="1:68" ht="27" customHeight="1" x14ac:dyDescent="0.25">
      <c r="A487" s="54" t="s">
        <v>744</v>
      </c>
      <c r="B487" s="54" t="s">
        <v>745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98</v>
      </c>
      <c r="L487" s="33"/>
      <c r="M487" s="34" t="s">
        <v>67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68</v>
      </c>
      <c r="X487" s="613">
        <v>500</v>
      </c>
      <c r="Y487" s="614">
        <f t="shared" si="74"/>
        <v>501.6</v>
      </c>
      <c r="Z487" s="37">
        <f>IFERROR(IF(Y487=0,"",ROUNDUP(Y487/H487,0)*0.01196),"")</f>
        <v>1.1362000000000001</v>
      </c>
      <c r="AA487" s="56"/>
      <c r="AB487" s="57"/>
      <c r="AC487" s="543" t="s">
        <v>746</v>
      </c>
      <c r="AG487" s="64"/>
      <c r="AJ487" s="68"/>
      <c r="AK487" s="68">
        <v>0</v>
      </c>
      <c r="BB487" s="544" t="s">
        <v>1</v>
      </c>
      <c r="BM487" s="64">
        <f t="shared" si="75"/>
        <v>534.09090909090912</v>
      </c>
      <c r="BN487" s="64">
        <f t="shared" si="76"/>
        <v>535.79999999999995</v>
      </c>
      <c r="BO487" s="64">
        <f t="shared" si="77"/>
        <v>0.91054778554778548</v>
      </c>
      <c r="BP487" s="64">
        <f t="shared" si="78"/>
        <v>0.91346153846153855</v>
      </c>
    </row>
    <row r="488" spans="1:68" ht="27" customHeight="1" x14ac:dyDescent="0.25">
      <c r="A488" s="54" t="s">
        <v>747</v>
      </c>
      <c r="B488" s="54" t="s">
        <v>748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98</v>
      </c>
      <c r="L488" s="33"/>
      <c r="M488" s="34" t="s">
        <v>67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68</v>
      </c>
      <c r="X488" s="613">
        <v>500</v>
      </c>
      <c r="Y488" s="614">
        <f t="shared" si="74"/>
        <v>501.6</v>
      </c>
      <c r="Z488" s="37">
        <f>IFERROR(IF(Y488=0,"",ROUNDUP(Y488/H488,0)*0.01196),"")</f>
        <v>1.1362000000000001</v>
      </c>
      <c r="AA488" s="56"/>
      <c r="AB488" s="57"/>
      <c r="AC488" s="545" t="s">
        <v>749</v>
      </c>
      <c r="AG488" s="64"/>
      <c r="AJ488" s="68"/>
      <c r="AK488" s="68">
        <v>0</v>
      </c>
      <c r="BB488" s="546" t="s">
        <v>1</v>
      </c>
      <c r="BM488" s="64">
        <f t="shared" si="75"/>
        <v>534.09090909090912</v>
      </c>
      <c r="BN488" s="64">
        <f t="shared" si="76"/>
        <v>535.79999999999995</v>
      </c>
      <c r="BO488" s="64">
        <f t="shared" si="77"/>
        <v>0.91054778554778548</v>
      </c>
      <c r="BP488" s="64">
        <f t="shared" si="78"/>
        <v>0.91346153846153855</v>
      </c>
    </row>
    <row r="489" spans="1:68" ht="27" customHeight="1" x14ac:dyDescent="0.25">
      <c r="A489" s="54" t="s">
        <v>750</v>
      </c>
      <c r="B489" s="54" t="s">
        <v>751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66</v>
      </c>
      <c r="L489" s="33"/>
      <c r="M489" s="34" t="s">
        <v>99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68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743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752</v>
      </c>
      <c r="B490" s="54" t="s">
        <v>753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103</v>
      </c>
      <c r="L490" s="33"/>
      <c r="M490" s="34" t="s">
        <v>99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68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743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752</v>
      </c>
      <c r="B491" s="54" t="s">
        <v>754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103</v>
      </c>
      <c r="L491" s="33"/>
      <c r="M491" s="34" t="s">
        <v>99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68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743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755</v>
      </c>
      <c r="B492" s="54" t="s">
        <v>756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103</v>
      </c>
      <c r="L492" s="33"/>
      <c r="M492" s="34" t="s">
        <v>67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68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746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757</v>
      </c>
      <c r="B493" s="54" t="s">
        <v>758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103</v>
      </c>
      <c r="L493" s="33"/>
      <c r="M493" s="34" t="s">
        <v>67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68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749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757</v>
      </c>
      <c r="B494" s="54" t="s">
        <v>759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103</v>
      </c>
      <c r="L494" s="33"/>
      <c r="M494" s="34" t="s">
        <v>67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68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749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38" t="s">
        <v>86</v>
      </c>
      <c r="X495" s="615">
        <f>IFERROR(X486/H486,"0")+IFERROR(X487/H487,"0")+IFERROR(X488/H488,"0")+IFERROR(X489/H489,"0")+IFERROR(X490/H490,"0")+IFERROR(X491/H491,"0")+IFERROR(X492/H492,"0")+IFERROR(X493/H493,"0")+IFERROR(X494/H494,"0")</f>
        <v>284.09090909090907</v>
      </c>
      <c r="Y495" s="615">
        <f>IFERROR(Y486/H486,"0")+IFERROR(Y487/H487,"0")+IFERROR(Y488/H488,"0")+IFERROR(Y489/H489,"0")+IFERROR(Y490/H490,"0")+IFERROR(Y491/H491,"0")+IFERROR(Y492/H492,"0")+IFERROR(Y493/H493,"0")+IFERROR(Y494/H494,"0")</f>
        <v>285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3.4086000000000003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38" t="s">
        <v>68</v>
      </c>
      <c r="X496" s="615">
        <f>IFERROR(SUM(X486:X494),"0")</f>
        <v>1500</v>
      </c>
      <c r="Y496" s="615">
        <f>IFERROR(SUM(Y486:Y494),"0")</f>
        <v>1504.8000000000002</v>
      </c>
      <c r="Z496" s="38"/>
      <c r="AA496" s="616"/>
      <c r="AB496" s="616"/>
      <c r="AC496" s="616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760</v>
      </c>
      <c r="B498" s="54" t="s">
        <v>761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98</v>
      </c>
      <c r="L498" s="33"/>
      <c r="M498" s="34" t="s">
        <v>104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68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762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763</v>
      </c>
      <c r="B499" s="54" t="s">
        <v>764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98</v>
      </c>
      <c r="L499" s="33"/>
      <c r="M499" s="34" t="s">
        <v>104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68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765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766</v>
      </c>
      <c r="B500" s="54" t="s">
        <v>767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66</v>
      </c>
      <c r="L500" s="33"/>
      <c r="M500" s="34" t="s">
        <v>104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68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768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38" t="s">
        <v>86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38" t="s">
        <v>68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769</v>
      </c>
      <c r="B504" s="54" t="s">
        <v>770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98</v>
      </c>
      <c r="L504" s="33"/>
      <c r="M504" s="34" t="s">
        <v>104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68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771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772</v>
      </c>
      <c r="B505" s="54" t="s">
        <v>773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98</v>
      </c>
      <c r="L505" s="33"/>
      <c r="M505" s="34" t="s">
        <v>104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68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771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38" t="s">
        <v>86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38" t="s">
        <v>68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775</v>
      </c>
      <c r="B511" s="54" t="s">
        <v>776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98</v>
      </c>
      <c r="L511" s="33"/>
      <c r="M511" s="34" t="s">
        <v>104</v>
      </c>
      <c r="N511" s="34"/>
      <c r="O511" s="33">
        <v>55</v>
      </c>
      <c r="P511" s="819" t="s">
        <v>777</v>
      </c>
      <c r="Q511" s="625"/>
      <c r="R511" s="625"/>
      <c r="S511" s="625"/>
      <c r="T511" s="626"/>
      <c r="U511" s="35"/>
      <c r="V511" s="35"/>
      <c r="W511" s="36" t="s">
        <v>68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778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780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98</v>
      </c>
      <c r="L512" s="33"/>
      <c r="M512" s="34" t="s">
        <v>99</v>
      </c>
      <c r="N512" s="34"/>
      <c r="O512" s="33">
        <v>50</v>
      </c>
      <c r="P512" s="852" t="s">
        <v>781</v>
      </c>
      <c r="Q512" s="625"/>
      <c r="R512" s="625"/>
      <c r="S512" s="625"/>
      <c r="T512" s="626"/>
      <c r="U512" s="35"/>
      <c r="V512" s="35"/>
      <c r="W512" s="36" t="s">
        <v>68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782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783</v>
      </c>
      <c r="B513" s="54" t="s">
        <v>784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98</v>
      </c>
      <c r="L513" s="33"/>
      <c r="M513" s="34" t="s">
        <v>99</v>
      </c>
      <c r="N513" s="34"/>
      <c r="O513" s="33">
        <v>50</v>
      </c>
      <c r="P513" s="775" t="s">
        <v>785</v>
      </c>
      <c r="Q513" s="625"/>
      <c r="R513" s="625"/>
      <c r="S513" s="625"/>
      <c r="T513" s="626"/>
      <c r="U513" s="35"/>
      <c r="V513" s="35"/>
      <c r="W513" s="36" t="s">
        <v>68</v>
      </c>
      <c r="X513" s="613">
        <v>300</v>
      </c>
      <c r="Y513" s="614">
        <f>IFERROR(IF(X513="",0,CEILING((X513/$H513),1)*$H513),"")</f>
        <v>300</v>
      </c>
      <c r="Z513" s="37">
        <f>IFERROR(IF(Y513=0,"",ROUNDUP(Y513/H513,0)*0.01898),"")</f>
        <v>0.47450000000000003</v>
      </c>
      <c r="AA513" s="56"/>
      <c r="AB513" s="57"/>
      <c r="AC513" s="573" t="s">
        <v>786</v>
      </c>
      <c r="AG513" s="64"/>
      <c r="AJ513" s="68"/>
      <c r="AK513" s="68">
        <v>0</v>
      </c>
      <c r="BB513" s="574" t="s">
        <v>1</v>
      </c>
      <c r="BM513" s="64">
        <f>IFERROR(X513*I513/H513,"0")</f>
        <v>310.875</v>
      </c>
      <c r="BN513" s="64">
        <f>IFERROR(Y513*I513/H513,"0")</f>
        <v>310.875</v>
      </c>
      <c r="BO513" s="64">
        <f>IFERROR(1/J513*(X513/H513),"0")</f>
        <v>0.390625</v>
      </c>
      <c r="BP513" s="64">
        <f>IFERROR(1/J513*(Y513/H513),"0")</f>
        <v>0.390625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38" t="s">
        <v>86</v>
      </c>
      <c r="X514" s="615">
        <f>IFERROR(X511/H511,"0")+IFERROR(X512/H512,"0")+IFERROR(X513/H513,"0")</f>
        <v>25</v>
      </c>
      <c r="Y514" s="615">
        <f>IFERROR(Y511/H511,"0")+IFERROR(Y512/H512,"0")+IFERROR(Y513/H513,"0")</f>
        <v>25</v>
      </c>
      <c r="Z514" s="615">
        <f>IFERROR(IF(Z511="",0,Z511),"0")+IFERROR(IF(Z512="",0,Z512),"0")+IFERROR(IF(Z513="",0,Z513),"0")</f>
        <v>0.47450000000000003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38" t="s">
        <v>68</v>
      </c>
      <c r="X515" s="615">
        <f>IFERROR(SUM(X511:X513),"0")</f>
        <v>300</v>
      </c>
      <c r="Y515" s="615">
        <f>IFERROR(SUM(Y511:Y513),"0")</f>
        <v>300</v>
      </c>
      <c r="Z515" s="38"/>
      <c r="AA515" s="616"/>
      <c r="AB515" s="616"/>
      <c r="AC515" s="616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787</v>
      </c>
      <c r="B517" s="54" t="s">
        <v>788</v>
      </c>
      <c r="C517" s="32">
        <v>4301020400</v>
      </c>
      <c r="D517" s="617">
        <v>4640242180519</v>
      </c>
      <c r="E517" s="618"/>
      <c r="F517" s="612">
        <v>1.5</v>
      </c>
      <c r="G517" s="33">
        <v>8</v>
      </c>
      <c r="H517" s="612">
        <v>12</v>
      </c>
      <c r="I517" s="612">
        <v>12.435</v>
      </c>
      <c r="J517" s="33">
        <v>64</v>
      </c>
      <c r="K517" s="33" t="s">
        <v>98</v>
      </c>
      <c r="L517" s="33"/>
      <c r="M517" s="34" t="s">
        <v>99</v>
      </c>
      <c r="N517" s="34"/>
      <c r="O517" s="33">
        <v>50</v>
      </c>
      <c r="P517" s="833" t="s">
        <v>789</v>
      </c>
      <c r="Q517" s="625"/>
      <c r="R517" s="625"/>
      <c r="S517" s="625"/>
      <c r="T517" s="626"/>
      <c r="U517" s="35"/>
      <c r="V517" s="35"/>
      <c r="W517" s="36" t="s">
        <v>68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790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787</v>
      </c>
      <c r="B518" s="54" t="s">
        <v>791</v>
      </c>
      <c r="C518" s="32">
        <v>4301020269</v>
      </c>
      <c r="D518" s="617">
        <v>4640242180519</v>
      </c>
      <c r="E518" s="618"/>
      <c r="F518" s="612">
        <v>1.35</v>
      </c>
      <c r="G518" s="33">
        <v>8</v>
      </c>
      <c r="H518" s="612">
        <v>10.8</v>
      </c>
      <c r="I518" s="612">
        <v>11.234999999999999</v>
      </c>
      <c r="J518" s="33">
        <v>64</v>
      </c>
      <c r="K518" s="33" t="s">
        <v>98</v>
      </c>
      <c r="L518" s="33"/>
      <c r="M518" s="34" t="s">
        <v>104</v>
      </c>
      <c r="N518" s="34"/>
      <c r="O518" s="33">
        <v>50</v>
      </c>
      <c r="P518" s="645" t="s">
        <v>792</v>
      </c>
      <c r="Q518" s="625"/>
      <c r="R518" s="625"/>
      <c r="S518" s="625"/>
      <c r="T518" s="626"/>
      <c r="U518" s="35"/>
      <c r="V518" s="35"/>
      <c r="W518" s="36" t="s">
        <v>68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793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794</v>
      </c>
      <c r="B519" s="54" t="s">
        <v>795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98</v>
      </c>
      <c r="L519" s="33"/>
      <c r="M519" s="34" t="s">
        <v>99</v>
      </c>
      <c r="N519" s="34"/>
      <c r="O519" s="33">
        <v>50</v>
      </c>
      <c r="P519" s="784" t="s">
        <v>796</v>
      </c>
      <c r="Q519" s="625"/>
      <c r="R519" s="625"/>
      <c r="S519" s="625"/>
      <c r="T519" s="626"/>
      <c r="U519" s="35"/>
      <c r="V519" s="35"/>
      <c r="W519" s="36" t="s">
        <v>68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797</v>
      </c>
      <c r="B520" s="54" t="s">
        <v>798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103</v>
      </c>
      <c r="L520" s="33"/>
      <c r="M520" s="34" t="s">
        <v>99</v>
      </c>
      <c r="N520" s="34"/>
      <c r="O520" s="33">
        <v>50</v>
      </c>
      <c r="P520" s="650" t="s">
        <v>799</v>
      </c>
      <c r="Q520" s="625"/>
      <c r="R520" s="625"/>
      <c r="S520" s="625"/>
      <c r="T520" s="626"/>
      <c r="U520" s="35"/>
      <c r="V520" s="35"/>
      <c r="W520" s="36" t="s">
        <v>68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800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38" t="s">
        <v>86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38" t="s">
        <v>68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801</v>
      </c>
      <c r="B524" s="54" t="s">
        <v>802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103</v>
      </c>
      <c r="L524" s="33"/>
      <c r="M524" s="34" t="s">
        <v>67</v>
      </c>
      <c r="N524" s="34"/>
      <c r="O524" s="33">
        <v>40</v>
      </c>
      <c r="P524" s="774" t="s">
        <v>803</v>
      </c>
      <c r="Q524" s="625"/>
      <c r="R524" s="625"/>
      <c r="S524" s="625"/>
      <c r="T524" s="626"/>
      <c r="U524" s="35"/>
      <c r="V524" s="35"/>
      <c r="W524" s="36" t="s">
        <v>68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804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805</v>
      </c>
      <c r="B525" s="54" t="s">
        <v>806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103</v>
      </c>
      <c r="L525" s="33"/>
      <c r="M525" s="34" t="s">
        <v>67</v>
      </c>
      <c r="N525" s="34"/>
      <c r="O525" s="33">
        <v>40</v>
      </c>
      <c r="P525" s="879" t="s">
        <v>807</v>
      </c>
      <c r="Q525" s="625"/>
      <c r="R525" s="625"/>
      <c r="S525" s="625"/>
      <c r="T525" s="626"/>
      <c r="U525" s="35"/>
      <c r="V525" s="35"/>
      <c r="W525" s="36" t="s">
        <v>68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808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38" t="s">
        <v>86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38" t="s">
        <v>68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809</v>
      </c>
      <c r="B529" s="54" t="s">
        <v>810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98</v>
      </c>
      <c r="L529" s="33"/>
      <c r="M529" s="34" t="s">
        <v>127</v>
      </c>
      <c r="N529" s="34"/>
      <c r="O529" s="33">
        <v>45</v>
      </c>
      <c r="P529" s="764" t="s">
        <v>811</v>
      </c>
      <c r="Q529" s="625"/>
      <c r="R529" s="625"/>
      <c r="S529" s="625"/>
      <c r="T529" s="626"/>
      <c r="U529" s="35"/>
      <c r="V529" s="35"/>
      <c r="W529" s="36" t="s">
        <v>68</v>
      </c>
      <c r="X529" s="613">
        <v>500</v>
      </c>
      <c r="Y529" s="614">
        <f>IFERROR(IF(X529="",0,CEILING((X529/$H529),1)*$H529),"")</f>
        <v>504</v>
      </c>
      <c r="Z529" s="37">
        <f>IFERROR(IF(Y529=0,"",ROUNDUP(Y529/H529,0)*0.01898),"")</f>
        <v>1.06288</v>
      </c>
      <c r="AA529" s="56"/>
      <c r="AB529" s="57"/>
      <c r="AC529" s="587" t="s">
        <v>812</v>
      </c>
      <c r="AG529" s="64"/>
      <c r="AJ529" s="68"/>
      <c r="AK529" s="68">
        <v>0</v>
      </c>
      <c r="BB529" s="588" t="s">
        <v>1</v>
      </c>
      <c r="BM529" s="64">
        <f>IFERROR(X529*I529/H529,"0")</f>
        <v>528.83333333333337</v>
      </c>
      <c r="BN529" s="64">
        <f>IFERROR(Y529*I529/H529,"0")</f>
        <v>533.06399999999996</v>
      </c>
      <c r="BO529" s="64">
        <f>IFERROR(1/J529*(X529/H529),"0")</f>
        <v>0.86805555555555558</v>
      </c>
      <c r="BP529" s="64">
        <f>IFERROR(1/J529*(Y529/H529),"0")</f>
        <v>0.875</v>
      </c>
    </row>
    <row r="530" spans="1:68" ht="27" customHeight="1" x14ac:dyDescent="0.25">
      <c r="A530" s="54" t="s">
        <v>809</v>
      </c>
      <c r="B530" s="54" t="s">
        <v>813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98</v>
      </c>
      <c r="L530" s="33"/>
      <c r="M530" s="34" t="s">
        <v>104</v>
      </c>
      <c r="N530" s="34"/>
      <c r="O530" s="33">
        <v>45</v>
      </c>
      <c r="P530" s="854" t="s">
        <v>811</v>
      </c>
      <c r="Q530" s="625"/>
      <c r="R530" s="625"/>
      <c r="S530" s="625"/>
      <c r="T530" s="626"/>
      <c r="U530" s="35"/>
      <c r="V530" s="35"/>
      <c r="W530" s="36" t="s">
        <v>68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812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38" t="s">
        <v>86</v>
      </c>
      <c r="X531" s="615">
        <f>IFERROR(X529/H529,"0")+IFERROR(X530/H530,"0")</f>
        <v>55.555555555555557</v>
      </c>
      <c r="Y531" s="615">
        <f>IFERROR(Y529/H529,"0")+IFERROR(Y530/H530,"0")</f>
        <v>56</v>
      </c>
      <c r="Z531" s="615">
        <f>IFERROR(IF(Z529="",0,Z529),"0")+IFERROR(IF(Z530="",0,Z530),"0")</f>
        <v>1.06288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38" t="s">
        <v>68</v>
      </c>
      <c r="X532" s="615">
        <f>IFERROR(SUM(X529:X530),"0")</f>
        <v>500</v>
      </c>
      <c r="Y532" s="615">
        <f>IFERROR(SUM(Y529:Y530),"0")</f>
        <v>504</v>
      </c>
      <c r="Z532" s="38"/>
      <c r="AA532" s="616"/>
      <c r="AB532" s="616"/>
      <c r="AC532" s="616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814</v>
      </c>
      <c r="B534" s="54" t="s">
        <v>815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98</v>
      </c>
      <c r="L534" s="33"/>
      <c r="M534" s="34" t="s">
        <v>104</v>
      </c>
      <c r="N534" s="34"/>
      <c r="O534" s="33">
        <v>40</v>
      </c>
      <c r="P534" s="969" t="s">
        <v>816</v>
      </c>
      <c r="Q534" s="625"/>
      <c r="R534" s="625"/>
      <c r="S534" s="625"/>
      <c r="T534" s="626"/>
      <c r="U534" s="35"/>
      <c r="V534" s="35"/>
      <c r="W534" s="36" t="s">
        <v>68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817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814</v>
      </c>
      <c r="B535" s="54" t="s">
        <v>818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98</v>
      </c>
      <c r="L535" s="33"/>
      <c r="M535" s="34" t="s">
        <v>127</v>
      </c>
      <c r="N535" s="34"/>
      <c r="O535" s="33">
        <v>40</v>
      </c>
      <c r="P535" s="845" t="s">
        <v>819</v>
      </c>
      <c r="Q535" s="625"/>
      <c r="R535" s="625"/>
      <c r="S535" s="625"/>
      <c r="T535" s="626"/>
      <c r="U535" s="35"/>
      <c r="V535" s="35"/>
      <c r="W535" s="36" t="s">
        <v>68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817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820</v>
      </c>
      <c r="B536" s="54" t="s">
        <v>821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98</v>
      </c>
      <c r="L536" s="33"/>
      <c r="M536" s="34" t="s">
        <v>104</v>
      </c>
      <c r="N536" s="34"/>
      <c r="O536" s="33">
        <v>40</v>
      </c>
      <c r="P536" s="939" t="s">
        <v>822</v>
      </c>
      <c r="Q536" s="625"/>
      <c r="R536" s="625"/>
      <c r="S536" s="625"/>
      <c r="T536" s="626"/>
      <c r="U536" s="35"/>
      <c r="V536" s="35"/>
      <c r="W536" s="36" t="s">
        <v>68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823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820</v>
      </c>
      <c r="B537" s="54" t="s">
        <v>824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98</v>
      </c>
      <c r="L537" s="33"/>
      <c r="M537" s="34" t="s">
        <v>127</v>
      </c>
      <c r="N537" s="34"/>
      <c r="O537" s="33">
        <v>40</v>
      </c>
      <c r="P537" s="709" t="s">
        <v>825</v>
      </c>
      <c r="Q537" s="625"/>
      <c r="R537" s="625"/>
      <c r="S537" s="625"/>
      <c r="T537" s="626"/>
      <c r="U537" s="35"/>
      <c r="V537" s="35"/>
      <c r="W537" s="36" t="s">
        <v>68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823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38" t="s">
        <v>86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38" t="s">
        <v>68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827</v>
      </c>
      <c r="B542" s="54" t="s">
        <v>828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98</v>
      </c>
      <c r="L542" s="33"/>
      <c r="M542" s="34" t="s">
        <v>99</v>
      </c>
      <c r="N542" s="34"/>
      <c r="O542" s="33">
        <v>55</v>
      </c>
      <c r="P542" s="706" t="s">
        <v>829</v>
      </c>
      <c r="Q542" s="625"/>
      <c r="R542" s="625"/>
      <c r="S542" s="625"/>
      <c r="T542" s="626"/>
      <c r="U542" s="35"/>
      <c r="V542" s="35"/>
      <c r="W542" s="36" t="s">
        <v>68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830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38" t="s">
        <v>86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38" t="s">
        <v>68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831</v>
      </c>
      <c r="B546" s="54" t="s">
        <v>832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98</v>
      </c>
      <c r="L546" s="33"/>
      <c r="M546" s="34" t="s">
        <v>99</v>
      </c>
      <c r="N546" s="34"/>
      <c r="O546" s="33">
        <v>50</v>
      </c>
      <c r="P546" s="737" t="s">
        <v>833</v>
      </c>
      <c r="Q546" s="625"/>
      <c r="R546" s="625"/>
      <c r="S546" s="625"/>
      <c r="T546" s="626"/>
      <c r="U546" s="35"/>
      <c r="V546" s="35"/>
      <c r="W546" s="36" t="s">
        <v>68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834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38" t="s">
        <v>86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38" t="s">
        <v>68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835</v>
      </c>
      <c r="B550" s="54" t="s">
        <v>836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103</v>
      </c>
      <c r="L550" s="33"/>
      <c r="M550" s="34" t="s">
        <v>67</v>
      </c>
      <c r="N550" s="34"/>
      <c r="O550" s="33">
        <v>40</v>
      </c>
      <c r="P550" s="686" t="s">
        <v>837</v>
      </c>
      <c r="Q550" s="625"/>
      <c r="R550" s="625"/>
      <c r="S550" s="625"/>
      <c r="T550" s="626"/>
      <c r="U550" s="35"/>
      <c r="V550" s="35"/>
      <c r="W550" s="36" t="s">
        <v>68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838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38" t="s">
        <v>86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38" t="s">
        <v>68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38" t="s">
        <v>68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16581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16678.32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38" t="s">
        <v>68</v>
      </c>
      <c r="X554" s="615">
        <f>IFERROR(SUM(BM22:BM550),"0")</f>
        <v>17549.033737928738</v>
      </c>
      <c r="Y554" s="615">
        <f>IFERROR(SUM(BN22:BN550),"0")</f>
        <v>17651.417999999994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38" t="s">
        <v>842</v>
      </c>
      <c r="X555" s="39">
        <f>ROUNDUP(SUM(BO22:BO550),0)</f>
        <v>29</v>
      </c>
      <c r="Y555" s="39">
        <f>ROUNDUP(SUM(BP22:BP550),0)</f>
        <v>29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38" t="s">
        <v>68</v>
      </c>
      <c r="X556" s="615">
        <f>GrossWeightTotal+PalletQtyTotal*25</f>
        <v>18274.033737928738</v>
      </c>
      <c r="Y556" s="615">
        <f>GrossWeightTotalR+PalletQtyTotalR*25</f>
        <v>18376.417999999994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38" t="s">
        <v>842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2581.312021312021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2594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0" t="s">
        <v>846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34.100169999999999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847</v>
      </c>
      <c r="B560" s="61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610" t="s">
        <v>697</v>
      </c>
      <c r="AC560" s="641" t="s">
        <v>774</v>
      </c>
      <c r="AD560" s="705"/>
      <c r="AF560" s="61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61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849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507.6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507.6</v>
      </c>
      <c r="E563" s="47">
        <f>IFERROR(Y86*1,"0")+IFERROR(Y87*1,"0")+IFERROR(Y88*1,"0")+IFERROR(Y92*1,"0")+IFERROR(Y93*1,"0")+IFERROR(Y94*1,"0")+IFERROR(Y95*1,"0")+IFERROR(Y96*1,"0")+IFERROR(Y97*1,"0")+IFERROR(Y98*1,"0")+IFERROR(Y99*1,"0")</f>
        <v>1735.2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2107.8000000000002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163.19999999999999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202.79999999999998</v>
      </c>
      <c r="U563" s="47">
        <f>IFERROR(Y351*1,"0")+IFERROR(Y355*1,"0")+IFERROR(Y356*1,"0")+IFERROR(Y357*1,"0")</f>
        <v>336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3030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2167.8000000000002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5116.3200000000015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804</v>
      </c>
      <c r="AD563" s="47">
        <f>IFERROR(Y542*1,"0")+IFERROR(Y546*1,"0")+IFERROR(Y550*1,"0")</f>
        <v>0</v>
      </c>
      <c r="AF563" s="61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8"/>
    </row>
    <row r="3" spans="2:8" x14ac:dyDescent="0.2">
      <c r="B3" s="48" t="s">
        <v>851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852</v>
      </c>
      <c r="D6" s="48" t="s">
        <v>853</v>
      </c>
      <c r="E6" s="48"/>
    </row>
    <row r="7" spans="2:8" x14ac:dyDescent="0.2">
      <c r="B7" s="48" t="s">
        <v>854</v>
      </c>
      <c r="C7" s="48" t="s">
        <v>855</v>
      </c>
      <c r="D7" s="48" t="s">
        <v>856</v>
      </c>
      <c r="E7" s="48"/>
    </row>
    <row r="8" spans="2:8" x14ac:dyDescent="0.2">
      <c r="B8" s="48" t="s">
        <v>857</v>
      </c>
      <c r="C8" s="48" t="s">
        <v>858</v>
      </c>
      <c r="D8" s="48" t="s">
        <v>859</v>
      </c>
      <c r="E8" s="48"/>
    </row>
    <row r="9" spans="2:8" x14ac:dyDescent="0.2">
      <c r="B9" s="48" t="s">
        <v>860</v>
      </c>
      <c r="C9" s="48" t="s">
        <v>861</v>
      </c>
      <c r="D9" s="48" t="s">
        <v>862</v>
      </c>
      <c r="E9" s="48"/>
    </row>
    <row r="10" spans="2:8" x14ac:dyDescent="0.2">
      <c r="B10" s="48" t="s">
        <v>863</v>
      </c>
      <c r="C10" s="48" t="s">
        <v>864</v>
      </c>
      <c r="D10" s="48" t="s">
        <v>865</v>
      </c>
      <c r="E10" s="48"/>
    </row>
    <row r="11" spans="2:8" x14ac:dyDescent="0.2">
      <c r="B11" s="48" t="s">
        <v>866</v>
      </c>
      <c r="C11" s="48" t="s">
        <v>867</v>
      </c>
      <c r="D11" s="48" t="s">
        <v>868</v>
      </c>
      <c r="E11" s="48"/>
    </row>
    <row r="13" spans="2:8" x14ac:dyDescent="0.2">
      <c r="B13" s="48" t="s">
        <v>869</v>
      </c>
      <c r="C13" s="48" t="s">
        <v>852</v>
      </c>
      <c r="D13" s="48"/>
      <c r="E13" s="48"/>
    </row>
    <row r="15" spans="2:8" x14ac:dyDescent="0.2">
      <c r="B15" s="48" t="s">
        <v>870</v>
      </c>
      <c r="C15" s="48" t="s">
        <v>855</v>
      </c>
      <c r="D15" s="48"/>
      <c r="E15" s="48"/>
    </row>
    <row r="17" spans="2:5" x14ac:dyDescent="0.2">
      <c r="B17" s="48" t="s">
        <v>871</v>
      </c>
      <c r="C17" s="48" t="s">
        <v>858</v>
      </c>
      <c r="D17" s="48"/>
      <c r="E17" s="48"/>
    </row>
    <row r="19" spans="2:5" x14ac:dyDescent="0.2">
      <c r="B19" s="48" t="s">
        <v>872</v>
      </c>
      <c r="C19" s="48" t="s">
        <v>861</v>
      </c>
      <c r="D19" s="48"/>
      <c r="E19" s="48"/>
    </row>
    <row r="21" spans="2:5" x14ac:dyDescent="0.2">
      <c r="B21" s="48" t="s">
        <v>873</v>
      </c>
      <c r="C21" s="48" t="s">
        <v>864</v>
      </c>
      <c r="D21" s="48"/>
      <c r="E21" s="48"/>
    </row>
    <row r="23" spans="2:5" x14ac:dyDescent="0.2">
      <c r="B23" s="48" t="s">
        <v>874</v>
      </c>
      <c r="C23" s="48" t="s">
        <v>867</v>
      </c>
      <c r="D23" s="48"/>
      <c r="E23" s="48"/>
    </row>
    <row r="25" spans="2:5" x14ac:dyDescent="0.2">
      <c r="B25" s="48" t="s">
        <v>875</v>
      </c>
      <c r="C25" s="48"/>
      <c r="D25" s="48"/>
      <c r="E25" s="48"/>
    </row>
    <row r="26" spans="2:5" x14ac:dyDescent="0.2">
      <c r="B26" s="48" t="s">
        <v>876</v>
      </c>
      <c r="C26" s="48"/>
      <c r="D26" s="48"/>
      <c r="E26" s="48"/>
    </row>
    <row r="27" spans="2:5" x14ac:dyDescent="0.2">
      <c r="B27" s="48" t="s">
        <v>877</v>
      </c>
      <c r="C27" s="48"/>
      <c r="D27" s="48"/>
      <c r="E27" s="48"/>
    </row>
    <row r="28" spans="2:5" x14ac:dyDescent="0.2">
      <c r="B28" s="48" t="s">
        <v>878</v>
      </c>
      <c r="C28" s="48"/>
      <c r="D28" s="48"/>
      <c r="E28" s="48"/>
    </row>
    <row r="29" spans="2:5" x14ac:dyDescent="0.2">
      <c r="B29" s="48" t="s">
        <v>879</v>
      </c>
      <c r="C29" s="48"/>
      <c r="D29" s="48"/>
      <c r="E29" s="48"/>
    </row>
    <row r="30" spans="2:5" x14ac:dyDescent="0.2">
      <c r="B30" s="48" t="s">
        <v>880</v>
      </c>
      <c r="C30" s="48"/>
      <c r="D30" s="48"/>
      <c r="E30" s="48"/>
    </row>
    <row r="31" spans="2:5" x14ac:dyDescent="0.2">
      <c r="B31" s="48" t="s">
        <v>881</v>
      </c>
      <c r="C31" s="48"/>
      <c r="D31" s="48"/>
      <c r="E31" s="48"/>
    </row>
    <row r="32" spans="2:5" x14ac:dyDescent="0.2">
      <c r="B32" s="48" t="s">
        <v>882</v>
      </c>
      <c r="C32" s="48"/>
      <c r="D32" s="48"/>
      <c r="E32" s="48"/>
    </row>
    <row r="33" spans="2:5" x14ac:dyDescent="0.2">
      <c r="B33" s="48" t="s">
        <v>883</v>
      </c>
      <c r="C33" s="48"/>
      <c r="D33" s="48"/>
      <c r="E33" s="48"/>
    </row>
    <row r="34" spans="2:5" x14ac:dyDescent="0.2">
      <c r="B34" s="48" t="s">
        <v>884</v>
      </c>
      <c r="C34" s="48"/>
      <c r="D34" s="48"/>
      <c r="E34" s="48"/>
    </row>
    <row r="35" spans="2:5" x14ac:dyDescent="0.2">
      <c r="B35" s="48" t="s">
        <v>885</v>
      </c>
      <c r="C35" s="48"/>
      <c r="D35" s="48"/>
      <c r="E35" s="48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2025-05-20T09:34:28Z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