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CC9EAD7F-8CB8-459E-A3B7-030D87DB1B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38" i="1" l="1"/>
  <c r="Z5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Y507" i="1"/>
  <c r="Z227" i="1"/>
  <c r="Z167" i="1"/>
  <c r="Z122" i="1"/>
  <c r="Y505" i="1"/>
  <c r="Z483" i="1"/>
  <c r="Z461" i="1"/>
  <c r="Z316" i="1"/>
  <c r="Z310" i="1"/>
  <c r="Z101" i="1"/>
  <c r="Z32" i="1"/>
  <c r="Z510" i="1" s="1"/>
  <c r="Y509" i="1"/>
  <c r="Y506" i="1"/>
  <c r="Z244" i="1"/>
  <c r="Z199" i="1"/>
  <c r="Z173" i="1"/>
  <c r="Y508" i="1" l="1"/>
</calcChain>
</file>

<file path=xl/sharedStrings.xml><?xml version="1.0" encoding="utf-8"?>
<sst xmlns="http://schemas.openxmlformats.org/spreadsheetml/2006/main" count="2261" uniqueCount="811">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</sst>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45858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Воскресенье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0.375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50</v>
      </c>
      <c r="Y41" s="564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80</v>
      </c>
      <c r="Y42" s="564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24.62962962962963</v>
      </c>
      <c r="Y44" s="565">
        <f>IFERROR(Y41/H41,"0")+IFERROR(Y42/H42,"0")+IFERROR(Y43/H43,"0")</f>
        <v>25</v>
      </c>
      <c r="Z44" s="565">
        <f>IFERROR(IF(Z41="",0,Z41),"0")+IFERROR(IF(Z42="",0,Z42),"0")+IFERROR(IF(Z43="",0,Z43),"0")</f>
        <v>0.27529999999999999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130</v>
      </c>
      <c r="Y45" s="565">
        <f>IFERROR(SUM(Y41:Y43),"0")</f>
        <v>134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135</v>
      </c>
      <c r="Y57" s="564">
        <f t="shared" si="6"/>
        <v>135</v>
      </c>
      <c r="Z57" s="36">
        <f>IFERROR(IF(Y57=0,"",ROUNDUP(Y57/H57,0)*0.00902),"")</f>
        <v>0.27060000000000001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141.30000000000001</v>
      </c>
      <c r="BN57" s="64">
        <f t="shared" si="8"/>
        <v>141.30000000000001</v>
      </c>
      <c r="BO57" s="64">
        <f t="shared" si="9"/>
        <v>0.22727272727272729</v>
      </c>
      <c r="BP57" s="64">
        <f t="shared" si="10"/>
        <v>0.22727272727272729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30</v>
      </c>
      <c r="Y58" s="565">
        <f>IFERROR(Y52/H52,"0")+IFERROR(Y53/H53,"0")+IFERROR(Y54/H54,"0")+IFERROR(Y55/H55,"0")+IFERROR(Y56/H56,"0")+IFERROR(Y57/H57,"0")</f>
        <v>30</v>
      </c>
      <c r="Z58" s="565">
        <f>IFERROR(IF(Z52="",0,Z52),"0")+IFERROR(IF(Z53="",0,Z53),"0")+IFERROR(IF(Z54="",0,Z54),"0")+IFERROR(IF(Z55="",0,Z55),"0")+IFERROR(IF(Z56="",0,Z56),"0")+IFERROR(IF(Z57="",0,Z57),"0")</f>
        <v>0.27060000000000001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135</v>
      </c>
      <c r="Y59" s="565">
        <f>IFERROR(SUM(Y52:Y57),"0")</f>
        <v>135</v>
      </c>
      <c r="Z59" s="37"/>
      <c r="AA59" s="566"/>
      <c r="AB59" s="566"/>
      <c r="AC59" s="566"/>
    </row>
    <row r="60" spans="1:68" ht="14.25" customHeight="1" x14ac:dyDescent="0.25">
      <c r="A60" s="575" t="s">
        <v>137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50</v>
      </c>
      <c r="Y61" s="56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225</v>
      </c>
      <c r="Y64" s="564">
        <f>IFERROR(IF(X64="",0,CEILING((X64/$H64),1)*$H64),"")</f>
        <v>226.8</v>
      </c>
      <c r="Z64" s="36">
        <f>IFERROR(IF(Y64=0,"",ROUNDUP(Y64/H64,0)*0.00651),"")</f>
        <v>0.54683999999999999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239.99999999999997</v>
      </c>
      <c r="BN64" s="64">
        <f>IFERROR(Y64*I64/H64,"0")</f>
        <v>241.91999999999996</v>
      </c>
      <c r="BO64" s="64">
        <f>IFERROR(1/J64*(X64/H64),"0")</f>
        <v>0.45787545787545786</v>
      </c>
      <c r="BP64" s="64">
        <f>IFERROR(1/J64*(Y64/H64),"0")</f>
        <v>0.46153846153846156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87.962962962962962</v>
      </c>
      <c r="Y65" s="565">
        <f>IFERROR(Y61/H61,"0")+IFERROR(Y62/H62,"0")+IFERROR(Y63/H63,"0")+IFERROR(Y64/H64,"0")</f>
        <v>89</v>
      </c>
      <c r="Z65" s="565">
        <f>IFERROR(IF(Z61="",0,Z61),"0")+IFERROR(IF(Z62="",0,Z62),"0")+IFERROR(IF(Z63="",0,Z63),"0")+IFERROR(IF(Z64="",0,Z64),"0")</f>
        <v>0.64173999999999998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275</v>
      </c>
      <c r="Y66" s="565">
        <f>IFERROR(SUM(Y61:Y64),"0")</f>
        <v>280.8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179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630</v>
      </c>
      <c r="Y91" s="564">
        <f>IFERROR(IF(X91="",0,CEILING((X91/$H91),1)*$H91),"")</f>
        <v>630</v>
      </c>
      <c r="Z91" s="36">
        <f>IFERROR(IF(Y91=0,"",ROUNDUP(Y91/H91,0)*0.00902),"")</f>
        <v>1.2627999999999999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659.40000000000009</v>
      </c>
      <c r="BN91" s="64">
        <f>IFERROR(Y91*I91/H91,"0")</f>
        <v>659.40000000000009</v>
      </c>
      <c r="BO91" s="64">
        <f>IFERROR(1/J91*(X91/H91),"0")</f>
        <v>1.0606060606060606</v>
      </c>
      <c r="BP91" s="64">
        <f>IFERROR(1/J91*(Y91/H91),"0")</f>
        <v>1.0606060606060606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140</v>
      </c>
      <c r="Y92" s="565">
        <f>IFERROR(Y89/H89,"0")+IFERROR(Y90/H90,"0")+IFERROR(Y91/H91,"0")</f>
        <v>140</v>
      </c>
      <c r="Z92" s="565">
        <f>IFERROR(IF(Z89="",0,Z89),"0")+IFERROR(IF(Z90="",0,Z90),"0")+IFERROR(IF(Z91="",0,Z91),"0")</f>
        <v>1.2627999999999999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630</v>
      </c>
      <c r="Y93" s="565">
        <f>IFERROR(SUM(Y89:Y91),"0")</f>
        <v>630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8"/>
      <c r="R95" s="568"/>
      <c r="S95" s="568"/>
      <c r="T95" s="569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90</v>
      </c>
      <c r="Y99" s="564">
        <f t="shared" si="16"/>
        <v>91.800000000000011</v>
      </c>
      <c r="Z99" s="36">
        <f>IFERROR(IF(Y99=0,"",ROUNDUP(Y99/H99,0)*0.00651),"")</f>
        <v>0.22134000000000001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98.399999999999991</v>
      </c>
      <c r="BN99" s="64">
        <f t="shared" si="18"/>
        <v>100.36799999999999</v>
      </c>
      <c r="BO99" s="64">
        <f t="shared" si="19"/>
        <v>0.18315018315018314</v>
      </c>
      <c r="BP99" s="64">
        <f t="shared" si="20"/>
        <v>0.18681318681318682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33.333333333333329</v>
      </c>
      <c r="Y101" s="565">
        <f>IFERROR(Y95/H95,"0")+IFERROR(Y96/H96,"0")+IFERROR(Y97/H97,"0")+IFERROR(Y98/H98,"0")+IFERROR(Y99/H99,"0")+IFERROR(Y100/H100,"0")</f>
        <v>34</v>
      </c>
      <c r="Z101" s="565">
        <f>IFERROR(IF(Z95="",0,Z95),"0")+IFERROR(IF(Z96="",0,Z96),"0")+IFERROR(IF(Z97="",0,Z97),"0")+IFERROR(IF(Z98="",0,Z98),"0")+IFERROR(IF(Z99="",0,Z99),"0")+IFERROR(IF(Z100="",0,Z100),"0")</f>
        <v>0.22134000000000001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90</v>
      </c>
      <c r="Y102" s="565">
        <f>IFERROR(SUM(Y95:Y100),"0")</f>
        <v>91.800000000000011</v>
      </c>
      <c r="Z102" s="37"/>
      <c r="AA102" s="566"/>
      <c r="AB102" s="566"/>
      <c r="AC102" s="566"/>
    </row>
    <row r="103" spans="1:68" ht="16.5" customHeight="1" x14ac:dyDescent="0.25">
      <c r="A103" s="580" t="s">
        <v>202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200</v>
      </c>
      <c r="Y105" s="564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18.518518518518519</v>
      </c>
      <c r="Y109" s="565">
        <f>IFERROR(Y105/H105,"0")+IFERROR(Y106/H106,"0")+IFERROR(Y107/H107,"0")+IFERROR(Y108/H108,"0")</f>
        <v>19</v>
      </c>
      <c r="Z109" s="565">
        <f>IFERROR(IF(Z105="",0,Z105),"0")+IFERROR(IF(Z106="",0,Z106),"0")+IFERROR(IF(Z107="",0,Z107),"0")+IFERROR(IF(Z108="",0,Z108),"0")</f>
        <v>0.36062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200</v>
      </c>
      <c r="Y110" s="565">
        <f>IFERROR(SUM(Y105:Y108),"0")</f>
        <v>205.20000000000002</v>
      </c>
      <c r="Z110" s="37"/>
      <c r="AA110" s="566"/>
      <c r="AB110" s="566"/>
      <c r="AC110" s="566"/>
    </row>
    <row r="111" spans="1:68" ht="14.25" customHeight="1" x14ac:dyDescent="0.25">
      <c r="A111" s="575" t="s">
        <v>137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700</v>
      </c>
      <c r="Y118" s="564">
        <f>IFERROR(IF(X118="",0,CEILING((X118/$H118),1)*$H118),"")</f>
        <v>704.69999999999993</v>
      </c>
      <c r="Z118" s="36">
        <f>IFERROR(IF(Y118=0,"",ROUNDUP(Y118/H118,0)*0.01898),"")</f>
        <v>1.65126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744.33333333333326</v>
      </c>
      <c r="BN118" s="64">
        <f>IFERROR(Y118*I118/H118,"0")</f>
        <v>749.33100000000002</v>
      </c>
      <c r="BO118" s="64">
        <f>IFERROR(1/J118*(X118/H118),"0")</f>
        <v>1.3503086419753088</v>
      </c>
      <c r="BP118" s="64">
        <f>IFERROR(1/J118*(Y118/H118),"0")</f>
        <v>1.359375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450</v>
      </c>
      <c r="Y120" s="564">
        <f>IFERROR(IF(X120="",0,CEILING((X120/$H120),1)*$H120),"")</f>
        <v>450.90000000000003</v>
      </c>
      <c r="Z120" s="36">
        <f>IFERROR(IF(Y120=0,"",ROUNDUP(Y120/H120,0)*0.00651),"")</f>
        <v>1.08717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492</v>
      </c>
      <c r="BN120" s="64">
        <f>IFERROR(Y120*I120/H120,"0")</f>
        <v>492.98399999999998</v>
      </c>
      <c r="BO120" s="64">
        <f>IFERROR(1/J120*(X120/H120),"0")</f>
        <v>0.91575091575091572</v>
      </c>
      <c r="BP120" s="64">
        <f>IFERROR(1/J120*(Y120/H120),"0")</f>
        <v>0.91758241758241765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253.08641975308643</v>
      </c>
      <c r="Y122" s="565">
        <f>IFERROR(Y118/H118,"0")+IFERROR(Y119/H119,"0")+IFERROR(Y120/H120,"0")+IFERROR(Y121/H121,"0")</f>
        <v>254</v>
      </c>
      <c r="Z122" s="565">
        <f>IFERROR(IF(Z118="",0,Z118),"0")+IFERROR(IF(Z119="",0,Z119),"0")+IFERROR(IF(Z120="",0,Z120),"0")+IFERROR(IF(Z121="",0,Z121),"0")</f>
        <v>2.7384300000000001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1150</v>
      </c>
      <c r="Y123" s="565">
        <f>IFERROR(SUM(Y118:Y121),"0")</f>
        <v>1155.5999999999999</v>
      </c>
      <c r="Z123" s="37"/>
      <c r="AA123" s="566"/>
      <c r="AB123" s="566"/>
      <c r="AC123" s="566"/>
    </row>
    <row r="124" spans="1:68" ht="14.25" customHeight="1" x14ac:dyDescent="0.25">
      <c r="A124" s="575" t="s">
        <v>172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235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236</v>
      </c>
      <c r="B131" s="54" t="s">
        <v>237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17.5</v>
      </c>
      <c r="Y132" s="564">
        <f>IFERROR(IF(X132="",0,CEILING((X132/$H132),1)*$H132),"")</f>
        <v>19.599999999999998</v>
      </c>
      <c r="Z132" s="36">
        <f>IFERROR(IF(Y132=0,"",ROUNDUP(Y132/H132,0)*0.00651),"")</f>
        <v>4.5569999999999999E-2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19.175000000000001</v>
      </c>
      <c r="BN132" s="64">
        <f>IFERROR(Y132*I132/H132,"0")</f>
        <v>21.475999999999999</v>
      </c>
      <c r="BO132" s="64">
        <f>IFERROR(1/J132*(X132/H132),"0")</f>
        <v>3.4340659340659344E-2</v>
      </c>
      <c r="BP132" s="64">
        <f>IFERROR(1/J132*(Y132/H132),"0")</f>
        <v>3.8461538461538464E-2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6.25</v>
      </c>
      <c r="Y133" s="565">
        <f>IFERROR(Y131/H131,"0")+IFERROR(Y132/H132,"0")</f>
        <v>7</v>
      </c>
      <c r="Z133" s="565">
        <f>IFERROR(IF(Z131="",0,Z131),"0")+IFERROR(IF(Z132="",0,Z132),"0")</f>
        <v>4.5569999999999999E-2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17.5</v>
      </c>
      <c r="Y134" s="565">
        <f>IFERROR(SUM(Y131:Y132),"0")</f>
        <v>19.599999999999998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240</v>
      </c>
      <c r="B136" s="54" t="s">
        <v>241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244</v>
      </c>
      <c r="B142" s="54" t="s">
        <v>245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247</v>
      </c>
      <c r="B146" s="54" t="s">
        <v>248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250</v>
      </c>
      <c r="B147" s="54" t="s">
        <v>251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253</v>
      </c>
      <c r="B148" s="54" t="s">
        <v>254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256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257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137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258</v>
      </c>
      <c r="B154" s="54" t="s">
        <v>259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50</v>
      </c>
      <c r="Y160" s="564">
        <f t="shared" si="21"/>
        <v>50.400000000000006</v>
      </c>
      <c r="Z160" s="36">
        <f>IFERROR(IF(Y160=0,"",ROUNDUP(Y160/H160,0)*0.00902),"")</f>
        <v>0.10824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52.5</v>
      </c>
      <c r="BN160" s="64">
        <f t="shared" si="23"/>
        <v>52.920000000000009</v>
      </c>
      <c r="BO160" s="64">
        <f t="shared" si="24"/>
        <v>9.0187590187590191E-2</v>
      </c>
      <c r="BP160" s="64">
        <f t="shared" si="25"/>
        <v>9.0909090909090912E-2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140</v>
      </c>
      <c r="Y164" s="564">
        <f t="shared" si="21"/>
        <v>140.70000000000002</v>
      </c>
      <c r="Z164" s="36">
        <f>IFERROR(IF(Y164=0,"",ROUNDUP(Y164/H164,0)*0.00502),"")</f>
        <v>0.33634000000000003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146.66666666666666</v>
      </c>
      <c r="BN164" s="64">
        <f t="shared" si="23"/>
        <v>147.40000000000003</v>
      </c>
      <c r="BO164" s="64">
        <f t="shared" si="24"/>
        <v>0.28490028490028491</v>
      </c>
      <c r="BP164" s="64">
        <f t="shared" si="25"/>
        <v>0.28632478632478636</v>
      </c>
    </row>
    <row r="165" spans="1:68" ht="27" customHeight="1" x14ac:dyDescent="0.25">
      <c r="A165" s="54" t="s">
        <v>279</v>
      </c>
      <c r="B165" s="54" t="s">
        <v>280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281</v>
      </c>
      <c r="B166" s="54" t="s">
        <v>282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78.571428571428555</v>
      </c>
      <c r="Y167" s="565">
        <f>IFERROR(Y158/H158,"0")+IFERROR(Y159/H159,"0")+IFERROR(Y160/H160,"0")+IFERROR(Y161/H161,"0")+IFERROR(Y162/H162,"0")+IFERROR(Y163/H163,"0")+IFERROR(Y164/H164,"0")+IFERROR(Y165/H165,"0")+IFERROR(Y166/H166,"0")</f>
        <v>79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0.44458000000000003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190</v>
      </c>
      <c r="Y168" s="565">
        <f>IFERROR(SUM(Y158:Y166),"0")</f>
        <v>191.10000000000002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3.5</v>
      </c>
      <c r="Y171" s="564">
        <f>IFERROR(IF(X171="",0,CEILING((X171/$H171),1)*$H171),"")</f>
        <v>3.7800000000000002</v>
      </c>
      <c r="Z171" s="36">
        <f>IFERROR(IF(Y171=0,"",ROUNDUP(Y171/H171,0)*0.0059),"")</f>
        <v>1.77E-2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4.0277777777777777</v>
      </c>
      <c r="BN171" s="64">
        <f>IFERROR(Y171*I171/H171,"0")</f>
        <v>4.3499999999999996</v>
      </c>
      <c r="BO171" s="64">
        <f>IFERROR(1/J171*(X171/H171),"0")</f>
        <v>1.2860082304526748E-2</v>
      </c>
      <c r="BP171" s="64">
        <f>IFERROR(1/J171*(Y171/H171),"0")</f>
        <v>1.3888888888888888E-2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2.7777777777777777</v>
      </c>
      <c r="Y173" s="565">
        <f>IFERROR(Y170/H170,"0")+IFERROR(Y171/H171,"0")+IFERROR(Y172/H172,"0")</f>
        <v>3</v>
      </c>
      <c r="Z173" s="565">
        <f>IFERROR(IF(Z170="",0,Z170),"0")+IFERROR(IF(Z171="",0,Z171),"0")+IFERROR(IF(Z172="",0,Z172),"0")</f>
        <v>1.77E-2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3.5</v>
      </c>
      <c r="Y174" s="565">
        <f>IFERROR(SUM(Y170:Y172),"0")</f>
        <v>3.7800000000000002</v>
      </c>
      <c r="Z174" s="37"/>
      <c r="AA174" s="566"/>
      <c r="AB174" s="566"/>
      <c r="AC174" s="566"/>
    </row>
    <row r="175" spans="1:68" ht="14.25" customHeight="1" x14ac:dyDescent="0.25">
      <c r="A175" s="575" t="s">
        <v>294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3.5</v>
      </c>
      <c r="Y176" s="564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2.7777777777777777</v>
      </c>
      <c r="Y177" s="565">
        <f>IFERROR(Y176/H176,"0")</f>
        <v>3</v>
      </c>
      <c r="Z177" s="565">
        <f>IFERROR(IF(Z176="",0,Z176),"0")</f>
        <v>1.77E-2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3.5</v>
      </c>
      <c r="Y178" s="565">
        <f>IFERROR(SUM(Y176:Y176),"0")</f>
        <v>3.7800000000000002</v>
      </c>
      <c r="Z178" s="37"/>
      <c r="AA178" s="566"/>
      <c r="AB178" s="566"/>
      <c r="AC178" s="566"/>
    </row>
    <row r="179" spans="1:68" ht="16.5" customHeight="1" x14ac:dyDescent="0.25">
      <c r="A179" s="580" t="s">
        <v>297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298</v>
      </c>
      <c r="B181" s="54" t="s">
        <v>299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301</v>
      </c>
      <c r="B182" s="54" t="s">
        <v>302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137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303</v>
      </c>
      <c r="B186" s="54" t="s">
        <v>304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306</v>
      </c>
      <c r="B187" s="54" t="s">
        <v>307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39</v>
      </c>
      <c r="Y196" s="564">
        <f t="shared" si="26"/>
        <v>39.6</v>
      </c>
      <c r="Z196" s="36">
        <f>IFERROR(IF(Y196=0,"",ROUNDUP(Y196/H196,0)*0.00502),"")</f>
        <v>0.11044000000000001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41.166666666666664</v>
      </c>
      <c r="BN196" s="64">
        <f t="shared" si="28"/>
        <v>41.8</v>
      </c>
      <c r="BO196" s="64">
        <f t="shared" si="29"/>
        <v>9.2592592592592601E-2</v>
      </c>
      <c r="BP196" s="64">
        <f t="shared" si="30"/>
        <v>9.401709401709403E-2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30</v>
      </c>
      <c r="Y197" s="564">
        <f t="shared" si="26"/>
        <v>30.6</v>
      </c>
      <c r="Z197" s="36">
        <f>IFERROR(IF(Y197=0,"",ROUNDUP(Y197/H197,0)*0.00502),"")</f>
        <v>8.5339999999999999E-2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31.666666666666664</v>
      </c>
      <c r="BN197" s="64">
        <f t="shared" si="28"/>
        <v>32.299999999999997</v>
      </c>
      <c r="BO197" s="64">
        <f t="shared" si="29"/>
        <v>7.122507122507124E-2</v>
      </c>
      <c r="BP197" s="64">
        <f t="shared" si="30"/>
        <v>7.2649572649572655E-2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15</v>
      </c>
      <c r="Y198" s="564">
        <f t="shared" si="26"/>
        <v>16.2</v>
      </c>
      <c r="Z198" s="36">
        <f>IFERROR(IF(Y198=0,"",ROUNDUP(Y198/H198,0)*0.00502),"")</f>
        <v>4.5179999999999998E-2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15.833333333333332</v>
      </c>
      <c r="BN198" s="64">
        <f t="shared" si="28"/>
        <v>17.099999999999998</v>
      </c>
      <c r="BO198" s="64">
        <f t="shared" si="29"/>
        <v>3.561253561253562E-2</v>
      </c>
      <c r="BP198" s="64">
        <f t="shared" si="30"/>
        <v>3.8461538461538464E-2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46.666666666666671</v>
      </c>
      <c r="Y199" s="565">
        <f>IFERROR(Y191/H191,"0")+IFERROR(Y192/H192,"0")+IFERROR(Y193/H193,"0")+IFERROR(Y194/H194,"0")+IFERROR(Y195/H195,"0")+IFERROR(Y196/H196,"0")+IFERROR(Y197/H197,"0")+IFERROR(Y198/H198,"0")</f>
        <v>48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0.24096000000000001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84</v>
      </c>
      <c r="Y200" s="565">
        <f>IFERROR(SUM(Y191:Y198),"0")</f>
        <v>86.4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328</v>
      </c>
      <c r="B202" s="54" t="s">
        <v>329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100</v>
      </c>
      <c r="Y204" s="564">
        <f t="shared" si="31"/>
        <v>104.39999999999999</v>
      </c>
      <c r="Z204" s="36">
        <f>IFERROR(IF(Y204=0,"",ROUNDUP(Y204/H204,0)*0.01898),"")</f>
        <v>0.22776000000000002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105.96551724137932</v>
      </c>
      <c r="BN204" s="64">
        <f t="shared" si="33"/>
        <v>110.62799999999999</v>
      </c>
      <c r="BO204" s="64">
        <f t="shared" si="34"/>
        <v>0.1795977011494253</v>
      </c>
      <c r="BP204" s="64">
        <f t="shared" si="35"/>
        <v>0.1875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200</v>
      </c>
      <c r="Y207" s="564">
        <f t="shared" si="31"/>
        <v>201.6</v>
      </c>
      <c r="Z207" s="36">
        <f t="shared" si="36"/>
        <v>0.54683999999999999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221</v>
      </c>
      <c r="BN207" s="64">
        <f t="shared" si="33"/>
        <v>222.768</v>
      </c>
      <c r="BO207" s="64">
        <f t="shared" si="34"/>
        <v>0.45787545787545797</v>
      </c>
      <c r="BP207" s="64">
        <f t="shared" si="35"/>
        <v>0.46153846153846156</v>
      </c>
    </row>
    <row r="208" spans="1:68" ht="27" customHeight="1" x14ac:dyDescent="0.25">
      <c r="A208" s="54" t="s">
        <v>344</v>
      </c>
      <c r="B208" s="54" t="s">
        <v>345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60</v>
      </c>
      <c r="Y210" s="564">
        <f t="shared" si="31"/>
        <v>60</v>
      </c>
      <c r="Z210" s="36">
        <f t="shared" si="36"/>
        <v>0.16275000000000001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66.45</v>
      </c>
      <c r="BN210" s="64">
        <f t="shared" si="33"/>
        <v>66.45</v>
      </c>
      <c r="BO210" s="64">
        <f t="shared" si="34"/>
        <v>0.13736263736263737</v>
      </c>
      <c r="BP210" s="64">
        <f t="shared" si="35"/>
        <v>0.13736263736263737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119.82758620689657</v>
      </c>
      <c r="Y211" s="565">
        <f>IFERROR(Y202/H202,"0")+IFERROR(Y203/H203,"0")+IFERROR(Y204/H204,"0")+IFERROR(Y205/H205,"0")+IFERROR(Y206/H206,"0")+IFERROR(Y207/H207,"0")+IFERROR(Y208/H208,"0")+IFERROR(Y209/H209,"0")+IFERROR(Y210/H210,"0")</f>
        <v>121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0.93734999999999991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360</v>
      </c>
      <c r="Y212" s="565">
        <f>IFERROR(SUM(Y202:Y210),"0")</f>
        <v>366</v>
      </c>
      <c r="Z212" s="37"/>
      <c r="AA212" s="566"/>
      <c r="AB212" s="566"/>
      <c r="AC212" s="566"/>
    </row>
    <row r="213" spans="1:68" ht="14.25" customHeight="1" x14ac:dyDescent="0.25">
      <c r="A213" s="575" t="s">
        <v>172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28</v>
      </c>
      <c r="Y215" s="564">
        <f>IFERROR(IF(X215="",0,CEILING((X215/$H215),1)*$H215),"")</f>
        <v>28.799999999999997</v>
      </c>
      <c r="Z215" s="36">
        <f>IFERROR(IF(Y215=0,"",ROUNDUP(Y215/H215,0)*0.00651),"")</f>
        <v>7.8119999999999995E-2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30.94</v>
      </c>
      <c r="BN215" s="64">
        <f>IFERROR(Y215*I215/H215,"0")</f>
        <v>31.824000000000002</v>
      </c>
      <c r="BO215" s="64">
        <f>IFERROR(1/J215*(X215/H215),"0")</f>
        <v>6.4102564102564111E-2</v>
      </c>
      <c r="BP215" s="64">
        <f>IFERROR(1/J215*(Y215/H215),"0")</f>
        <v>6.5934065934065936E-2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11.666666666666668</v>
      </c>
      <c r="Y216" s="565">
        <f>IFERROR(Y214/H214,"0")+IFERROR(Y215/H215,"0")</f>
        <v>12</v>
      </c>
      <c r="Z216" s="565">
        <f>IFERROR(IF(Z214="",0,Z214),"0")+IFERROR(IF(Z215="",0,Z215),"0")</f>
        <v>7.8119999999999995E-2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28</v>
      </c>
      <c r="Y217" s="565">
        <f>IFERROR(SUM(Y214:Y215),"0")</f>
        <v>28.799999999999997</v>
      </c>
      <c r="Z217" s="37"/>
      <c r="AA217" s="566"/>
      <c r="AB217" s="566"/>
      <c r="AC217" s="566"/>
    </row>
    <row r="218" spans="1:68" ht="16.5" customHeight="1" x14ac:dyDescent="0.25">
      <c r="A218" s="580" t="s">
        <v>358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20</v>
      </c>
      <c r="Y220" s="564">
        <f t="shared" ref="Y220:Y226" si="37">IFERROR(IF(X220="",0,CEILING((X220/$H220),1)*$H220),"")</f>
        <v>23.2</v>
      </c>
      <c r="Z220" s="36">
        <f>IFERROR(IF(Y220=0,"",ROUNDUP(Y220/H220,0)*0.01898),"")</f>
        <v>3.7960000000000001E-2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20.75</v>
      </c>
      <c r="BN220" s="64">
        <f t="shared" ref="BN220:BN226" si="39">IFERROR(Y220*I220/H220,"0")</f>
        <v>24.07</v>
      </c>
      <c r="BO220" s="64">
        <f t="shared" ref="BO220:BO226" si="40">IFERROR(1/J220*(X220/H220),"0")</f>
        <v>2.6939655172413795E-2</v>
      </c>
      <c r="BP220" s="64">
        <f t="shared" ref="BP220:BP226" si="41">IFERROR(1/J220*(Y220/H220),"0")</f>
        <v>3.125E-2</v>
      </c>
    </row>
    <row r="221" spans="1:68" ht="27" customHeight="1" x14ac:dyDescent="0.25">
      <c r="A221" s="54" t="s">
        <v>362</v>
      </c>
      <c r="B221" s="54" t="s">
        <v>363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250</v>
      </c>
      <c r="Y222" s="564">
        <f t="shared" si="37"/>
        <v>255.2</v>
      </c>
      <c r="Z222" s="36">
        <f>IFERROR(IF(Y222=0,"",ROUNDUP(Y222/H222,0)*0.01898),"")</f>
        <v>0.41755999999999999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259.375</v>
      </c>
      <c r="BN222" s="64">
        <f t="shared" si="39"/>
        <v>264.77</v>
      </c>
      <c r="BO222" s="64">
        <f t="shared" si="40"/>
        <v>0.33674568965517243</v>
      </c>
      <c r="BP222" s="64">
        <f t="shared" si="41"/>
        <v>0.34375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373</v>
      </c>
      <c r="B225" s="54" t="s">
        <v>374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23.27586206896552</v>
      </c>
      <c r="Y227" s="565">
        <f>IFERROR(Y220/H220,"0")+IFERROR(Y221/H221,"0")+IFERROR(Y222/H222,"0")+IFERROR(Y223/H223,"0")+IFERROR(Y224/H224,"0")+IFERROR(Y225/H225,"0")+IFERROR(Y226/H226,"0")</f>
        <v>24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0.45551999999999998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270</v>
      </c>
      <c r="Y228" s="565">
        <f>IFERROR(SUM(Y220:Y226),"0")</f>
        <v>278.39999999999998</v>
      </c>
      <c r="Z228" s="37"/>
      <c r="AA228" s="566"/>
      <c r="AB228" s="566"/>
      <c r="AC228" s="566"/>
    </row>
    <row r="229" spans="1:68" ht="14.25" customHeight="1" x14ac:dyDescent="0.25">
      <c r="A229" s="575" t="s">
        <v>137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377</v>
      </c>
      <c r="B230" s="54" t="s">
        <v>378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377</v>
      </c>
      <c r="B231" s="54" t="s">
        <v>380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381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72" t="s">
        <v>384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12</v>
      </c>
      <c r="Y235" s="564">
        <f>IFERROR(IF(X235="",0,CEILING((X235/$H235),1)*$H235),"")</f>
        <v>12.6</v>
      </c>
      <c r="Z235" s="36">
        <f>IFERROR(IF(Y235=0,"",ROUNDUP(Y235/H235,0)*0.0059),"")</f>
        <v>4.1299999999999996E-2</v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13.166666666666668</v>
      </c>
      <c r="BN235" s="64">
        <f>IFERROR(Y235*I235/H235,"0")</f>
        <v>13.825000000000001</v>
      </c>
      <c r="BO235" s="64">
        <f>IFERROR(1/J235*(X235/H235),"0")</f>
        <v>3.0864197530864192E-2</v>
      </c>
      <c r="BP235" s="64">
        <f>IFERROR(1/J235*(Y235/H235),"0")</f>
        <v>3.2407407407407406E-2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6.6666666666666661</v>
      </c>
      <c r="Y236" s="565">
        <f>IFERROR(Y235/H235,"0")</f>
        <v>7</v>
      </c>
      <c r="Z236" s="565">
        <f>IFERROR(IF(Z235="",0,Z235),"0")</f>
        <v>4.1299999999999996E-2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12</v>
      </c>
      <c r="Y237" s="565">
        <f>IFERROR(SUM(Y235:Y235),"0")</f>
        <v>12.6</v>
      </c>
      <c r="Z237" s="37"/>
      <c r="AA237" s="566"/>
      <c r="AB237" s="566"/>
      <c r="AC237" s="566"/>
    </row>
    <row r="238" spans="1:68" ht="14.25" customHeight="1" x14ac:dyDescent="0.25">
      <c r="A238" s="575" t="s">
        <v>386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387</v>
      </c>
      <c r="B239" s="54" t="s">
        <v>388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0" t="s">
        <v>392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7.0000000000000009</v>
      </c>
      <c r="Y240" s="56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7.6805555555555571</v>
      </c>
      <c r="BN240" s="64">
        <f>IFERROR(Y240*I240/H240,"0")</f>
        <v>7.9</v>
      </c>
      <c r="BO240" s="64">
        <f>IFERROR(1/J240*(X240/H240),"0")</f>
        <v>1.800411522633745E-2</v>
      </c>
      <c r="BP240" s="64">
        <f>IFERROR(1/J240*(Y240/H240),"0")</f>
        <v>1.8518518518518517E-2</v>
      </c>
    </row>
    <row r="241" spans="1:68" ht="27" customHeight="1" x14ac:dyDescent="0.25">
      <c r="A241" s="54" t="s">
        <v>393</v>
      </c>
      <c r="B241" s="54" t="s">
        <v>394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2.75</v>
      </c>
      <c r="Y241" s="564">
        <f>IFERROR(IF(X241="",0,CEILING((X241/$H241),1)*$H241),"")</f>
        <v>3.6</v>
      </c>
      <c r="Z241" s="36">
        <f>IFERROR(IF(Y241=0,"",ROUNDUP(Y241/H241,0)*0.0059),"")</f>
        <v>2.3599999999999999E-2</v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3.3305555555555557</v>
      </c>
      <c r="BN241" s="64">
        <f>IFERROR(Y241*I241/H241,"0")</f>
        <v>4.3600000000000003</v>
      </c>
      <c r="BO241" s="64">
        <f>IFERROR(1/J241*(X241/H241),"0")</f>
        <v>1.4146090534979422E-2</v>
      </c>
      <c r="BP241" s="64">
        <f>IFERROR(1/J241*(Y241/H241),"0")</f>
        <v>1.8518518518518517E-2</v>
      </c>
    </row>
    <row r="242" spans="1:68" ht="27" customHeight="1" x14ac:dyDescent="0.25">
      <c r="A242" s="54" t="s">
        <v>395</v>
      </c>
      <c r="B242" s="54" t="s">
        <v>396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8.25</v>
      </c>
      <c r="Y242" s="564">
        <f>IFERROR(IF(X242="",0,CEILING((X242/$H242),1)*$H242),"")</f>
        <v>8.91</v>
      </c>
      <c r="Z242" s="36">
        <f>IFERROR(IF(Y242=0,"",ROUNDUP(Y242/H242,0)*0.0059),"")</f>
        <v>5.3100000000000001E-2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9.8333333333333321</v>
      </c>
      <c r="BN242" s="64">
        <f>IFERROR(Y242*I242/H242,"0")</f>
        <v>10.62</v>
      </c>
      <c r="BO242" s="64">
        <f>IFERROR(1/J242*(X242/H242),"0")</f>
        <v>3.8580246913580245E-2</v>
      </c>
      <c r="BP242" s="64">
        <f>IFERROR(1/J242*(Y242/H242),"0")</f>
        <v>4.1666666666666664E-2</v>
      </c>
    </row>
    <row r="243" spans="1:68" ht="27" customHeight="1" x14ac:dyDescent="0.25">
      <c r="A243" s="54" t="s">
        <v>397</v>
      </c>
      <c r="B243" s="54" t="s">
        <v>398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15.277777777777779</v>
      </c>
      <c r="Y244" s="565">
        <f>IFERROR(Y239/H239,"0")+IFERROR(Y240/H240,"0")+IFERROR(Y241/H241,"0")+IFERROR(Y242/H242,"0")+IFERROR(Y243/H243,"0")</f>
        <v>17</v>
      </c>
      <c r="Z244" s="565">
        <f>IFERROR(IF(Z239="",0,Z239),"0")+IFERROR(IF(Z240="",0,Z240),"0")+IFERROR(IF(Z241="",0,Z241),"0")+IFERROR(IF(Z242="",0,Z242),"0")+IFERROR(IF(Z243="",0,Z243),"0")</f>
        <v>0.1003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18</v>
      </c>
      <c r="Y245" s="565">
        <f>IFERROR(SUM(Y239:Y243),"0")</f>
        <v>19.71</v>
      </c>
      <c r="Z245" s="37"/>
      <c r="AA245" s="566"/>
      <c r="AB245" s="566"/>
      <c r="AC245" s="566"/>
    </row>
    <row r="246" spans="1:68" ht="16.5" customHeight="1" x14ac:dyDescent="0.25">
      <c r="A246" s="580" t="s">
        <v>399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400</v>
      </c>
      <c r="B248" s="54" t="s">
        <v>401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406</v>
      </c>
      <c r="B250" s="54" t="s">
        <v>407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409</v>
      </c>
      <c r="B251" s="54" t="s">
        <v>410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415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416</v>
      </c>
      <c r="B257" s="54" t="s">
        <v>417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418</v>
      </c>
      <c r="B258" s="54" t="s">
        <v>419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421</v>
      </c>
      <c r="B259" s="54" t="s">
        <v>422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424</v>
      </c>
      <c r="B260" s="54" t="s">
        <v>425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426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428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429</v>
      </c>
      <c r="B265" s="54" t="s">
        <v>430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432</v>
      </c>
      <c r="B266" s="54" t="s">
        <v>433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40</v>
      </c>
      <c r="Y267" s="564">
        <f>IFERROR(IF(X267="",0,CEILING((X267/$H267),1)*$H267),"")</f>
        <v>40.799999999999997</v>
      </c>
      <c r="Z267" s="36">
        <f>IFERROR(IF(Y267=0,"",ROUNDUP(Y267/H267,0)*0.00651),"")</f>
        <v>0.11067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43</v>
      </c>
      <c r="BN267" s="64">
        <f>IFERROR(Y267*I267/H267,"0")</f>
        <v>43.86</v>
      </c>
      <c r="BO267" s="64">
        <f>IFERROR(1/J267*(X267/H267),"0")</f>
        <v>9.1575091575091583E-2</v>
      </c>
      <c r="BP267" s="64">
        <f>IFERROR(1/J267*(Y267/H267),"0")</f>
        <v>9.3406593406593408E-2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16.666666666666668</v>
      </c>
      <c r="Y268" s="565">
        <f>IFERROR(Y265/H265,"0")+IFERROR(Y266/H266,"0")+IFERROR(Y267/H267,"0")</f>
        <v>17</v>
      </c>
      <c r="Z268" s="565">
        <f>IFERROR(IF(Z265="",0,Z265),"0")+IFERROR(IF(Z266="",0,Z266),"0")+IFERROR(IF(Z267="",0,Z267),"0")</f>
        <v>0.11067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40</v>
      </c>
      <c r="Y269" s="565">
        <f>IFERROR(SUM(Y265:Y267),"0")</f>
        <v>40.799999999999997</v>
      </c>
      <c r="Z269" s="37"/>
      <c r="AA269" s="566"/>
      <c r="AB269" s="566"/>
      <c r="AC269" s="566"/>
    </row>
    <row r="270" spans="1:68" ht="16.5" customHeight="1" x14ac:dyDescent="0.25">
      <c r="A270" s="580" t="s">
        <v>438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439</v>
      </c>
      <c r="B272" s="54" t="s">
        <v>440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442</v>
      </c>
      <c r="B276" s="54" t="s">
        <v>443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445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446</v>
      </c>
      <c r="B281" s="54" t="s">
        <v>447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450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451</v>
      </c>
      <c r="B286" s="54" t="s">
        <v>452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454</v>
      </c>
      <c r="B287" s="54" t="s">
        <v>455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454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140</v>
      </c>
      <c r="Y299" s="564">
        <f t="shared" si="47"/>
        <v>140.70000000000002</v>
      </c>
      <c r="Z299" s="36">
        <f>IFERROR(IF(Y299=0,"",ROUNDUP(Y299/H299,0)*0.00502),"")</f>
        <v>0.33634000000000003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146.66666666666666</v>
      </c>
      <c r="BN299" s="64">
        <f t="shared" si="49"/>
        <v>147.40000000000003</v>
      </c>
      <c r="BO299" s="64">
        <f t="shared" si="50"/>
        <v>0.28490028490028491</v>
      </c>
      <c r="BP299" s="64">
        <f t="shared" si="51"/>
        <v>0.28632478632478636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15</v>
      </c>
      <c r="Y301" s="564">
        <f t="shared" si="47"/>
        <v>16.2</v>
      </c>
      <c r="Z301" s="36">
        <f>IFERROR(IF(Y301=0,"",ROUNDUP(Y301/H301,0)*0.00651),"")</f>
        <v>5.8590000000000003E-2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16.900000000000002</v>
      </c>
      <c r="BN301" s="64">
        <f t="shared" si="49"/>
        <v>18.251999999999999</v>
      </c>
      <c r="BO301" s="64">
        <f t="shared" si="50"/>
        <v>4.5787545787545791E-2</v>
      </c>
      <c r="BP301" s="64">
        <f t="shared" si="51"/>
        <v>4.9450549450549455E-2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74.999999999999986</v>
      </c>
      <c r="Y302" s="565">
        <f>IFERROR(Y295/H295,"0")+IFERROR(Y296/H296,"0")+IFERROR(Y297/H297,"0")+IFERROR(Y298/H298,"0")+IFERROR(Y299/H299,"0")+IFERROR(Y300/H300,"0")+IFERROR(Y301/H301,"0")</f>
        <v>76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0.39493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155</v>
      </c>
      <c r="Y303" s="565">
        <f>IFERROR(SUM(Y295:Y301),"0")</f>
        <v>156.9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172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450</v>
      </c>
      <c r="Y314" s="564">
        <f>IFERROR(IF(X314="",0,CEILING((X314/$H314),1)*$H314),"")</f>
        <v>452.4</v>
      </c>
      <c r="Z314" s="36">
        <f>IFERROR(IF(Y314=0,"",ROUNDUP(Y314/H314,0)*0.01898),"")</f>
        <v>1.10084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479.94230769230774</v>
      </c>
      <c r="BN314" s="64">
        <f>IFERROR(Y314*I314/H314,"0")</f>
        <v>482.50200000000001</v>
      </c>
      <c r="BO314" s="64">
        <f>IFERROR(1/J314*(X314/H314),"0")</f>
        <v>0.90144230769230771</v>
      </c>
      <c r="BP314" s="64">
        <f>IFERROR(1/J314*(Y314/H314),"0")</f>
        <v>0.90625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57.692307692307693</v>
      </c>
      <c r="Y316" s="565">
        <f>IFERROR(Y313/H313,"0")+IFERROR(Y314/H314,"0")+IFERROR(Y315/H315,"0")</f>
        <v>58</v>
      </c>
      <c r="Z316" s="565">
        <f>IFERROR(IF(Z313="",0,Z313),"0")+IFERROR(IF(Z314="",0,Z314),"0")+IFERROR(IF(Z315="",0,Z315),"0")</f>
        <v>1.10084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450</v>
      </c>
      <c r="Y317" s="565">
        <f>IFERROR(SUM(Y313:Y315),"0")</f>
        <v>452.4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245</v>
      </c>
      <c r="Y334" s="564">
        <f>IFERROR(IF(X334="",0,CEILING((X334/$H334),1)*$H334),"")</f>
        <v>245.70000000000002</v>
      </c>
      <c r="Z334" s="36">
        <f>IFERROR(IF(Y334=0,"",ROUNDUP(Y334/H334,0)*0.00651),"")</f>
        <v>0.76167000000000007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274.39999999999998</v>
      </c>
      <c r="BN334" s="64">
        <f>IFERROR(Y334*I334/H334,"0")</f>
        <v>275.18399999999997</v>
      </c>
      <c r="BO334" s="64">
        <f>IFERROR(1/J334*(X334/H334),"0")</f>
        <v>0.64102564102564097</v>
      </c>
      <c r="BP334" s="64">
        <f>IFERROR(1/J334*(Y334/H334),"0")</f>
        <v>0.6428571428571429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116.66666666666666</v>
      </c>
      <c r="Y336" s="565">
        <f>IFERROR(Y333/H333,"0")+IFERROR(Y334/H334,"0")+IFERROR(Y335/H335,"0")</f>
        <v>117</v>
      </c>
      <c r="Z336" s="565">
        <f>IFERROR(IF(Z333="",0,Z333),"0")+IFERROR(IF(Z334="",0,Z334),"0")+IFERROR(IF(Z335="",0,Z335),"0")</f>
        <v>0.76167000000000007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245</v>
      </c>
      <c r="Y337" s="565">
        <f>IFERROR(SUM(Y333:Y335),"0")</f>
        <v>245.70000000000002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200</v>
      </c>
      <c r="Y341" s="564">
        <f t="shared" ref="Y341:Y347" si="52">IFERROR(IF(X341="",0,CEILING((X341/$H341),1)*$H341),"")</f>
        <v>210</v>
      </c>
      <c r="Z341" s="36">
        <f>IFERROR(IF(Y341=0,"",ROUNDUP(Y341/H341,0)*0.02175),"")</f>
        <v>0.30449999999999999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206.4</v>
      </c>
      <c r="BN341" s="64">
        <f t="shared" ref="BN341:BN347" si="54">IFERROR(Y341*I341/H341,"0")</f>
        <v>216.72</v>
      </c>
      <c r="BO341" s="64">
        <f t="shared" ref="BO341:BO347" si="55">IFERROR(1/J341*(X341/H341),"0")</f>
        <v>0.27777777777777779</v>
      </c>
      <c r="BP341" s="64">
        <f t="shared" ref="BP341:BP347" si="56">IFERROR(1/J341*(Y341/H341),"0")</f>
        <v>0.29166666666666663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350</v>
      </c>
      <c r="Y343" s="564">
        <f t="shared" si="52"/>
        <v>360</v>
      </c>
      <c r="Z343" s="36">
        <f>IFERROR(IF(Y343=0,"",ROUNDUP(Y343/H343,0)*0.02175),"")</f>
        <v>0.52200000000000002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361.2</v>
      </c>
      <c r="BN343" s="64">
        <f t="shared" si="54"/>
        <v>371.52000000000004</v>
      </c>
      <c r="BO343" s="64">
        <f t="shared" si="55"/>
        <v>0.48611111111111105</v>
      </c>
      <c r="BP343" s="64">
        <f t="shared" si="56"/>
        <v>0.5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600</v>
      </c>
      <c r="Y344" s="564">
        <f t="shared" si="52"/>
        <v>600</v>
      </c>
      <c r="Z344" s="36">
        <f>IFERROR(IF(Y344=0,"",ROUNDUP(Y344/H344,0)*0.02175),"")</f>
        <v>0.86999999999999988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619.20000000000005</v>
      </c>
      <c r="BN344" s="64">
        <f t="shared" si="54"/>
        <v>619.20000000000005</v>
      </c>
      <c r="BO344" s="64">
        <f t="shared" si="55"/>
        <v>0.83333333333333326</v>
      </c>
      <c r="BP344" s="64">
        <f t="shared" si="56"/>
        <v>0.83333333333333326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35</v>
      </c>
      <c r="Y347" s="564">
        <f t="shared" si="52"/>
        <v>35</v>
      </c>
      <c r="Z347" s="36">
        <f>IFERROR(IF(Y347=0,"",ROUNDUP(Y347/H347,0)*0.00902),"")</f>
        <v>6.3140000000000002E-2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36.47</v>
      </c>
      <c r="BN347" s="64">
        <f t="shared" si="54"/>
        <v>36.47</v>
      </c>
      <c r="BO347" s="64">
        <f t="shared" si="55"/>
        <v>5.3030303030303032E-2</v>
      </c>
      <c r="BP347" s="64">
        <f t="shared" si="56"/>
        <v>5.3030303030303032E-2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83.666666666666657</v>
      </c>
      <c r="Y348" s="565">
        <f>IFERROR(Y341/H341,"0")+IFERROR(Y342/H342,"0")+IFERROR(Y343/H343,"0")+IFERROR(Y344/H344,"0")+IFERROR(Y345/H345,"0")+IFERROR(Y346/H346,"0")+IFERROR(Y347/H347,"0")</f>
        <v>85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1.7596399999999999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1185</v>
      </c>
      <c r="Y349" s="565">
        <f>IFERROR(SUM(Y341:Y347),"0")</f>
        <v>1205</v>
      </c>
      <c r="Z349" s="37"/>
      <c r="AA349" s="566"/>
      <c r="AB349" s="566"/>
      <c r="AC349" s="566"/>
    </row>
    <row r="350" spans="1:68" ht="14.25" customHeight="1" x14ac:dyDescent="0.25">
      <c r="A350" s="575" t="s">
        <v>137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500</v>
      </c>
      <c r="Y351" s="564">
        <f>IFERROR(IF(X351="",0,CEILING((X351/$H351),1)*$H351),"")</f>
        <v>510</v>
      </c>
      <c r="Z351" s="36">
        <f>IFERROR(IF(Y351=0,"",ROUNDUP(Y351/H351,0)*0.02175),"")</f>
        <v>0.73949999999999994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516</v>
      </c>
      <c r="BN351" s="64">
        <f>IFERROR(Y351*I351/H351,"0")</f>
        <v>526.32000000000005</v>
      </c>
      <c r="BO351" s="64">
        <f>IFERROR(1/J351*(X351/H351),"0")</f>
        <v>0.69444444444444442</v>
      </c>
      <c r="BP351" s="64">
        <f>IFERROR(1/J351*(Y351/H351),"0")</f>
        <v>0.70833333333333326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33.333333333333336</v>
      </c>
      <c r="Y353" s="565">
        <f>IFERROR(Y351/H351,"0")+IFERROR(Y352/H352,"0")</f>
        <v>34</v>
      </c>
      <c r="Z353" s="565">
        <f>IFERROR(IF(Z351="",0,Z351),"0")+IFERROR(IF(Z352="",0,Z352),"0")</f>
        <v>0.73949999999999994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500</v>
      </c>
      <c r="Y354" s="565">
        <f>IFERROR(SUM(Y351:Y352),"0")</f>
        <v>510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250</v>
      </c>
      <c r="Y357" s="564">
        <f>IFERROR(IF(X357="",0,CEILING((X357/$H357),1)*$H357),"")</f>
        <v>252</v>
      </c>
      <c r="Z357" s="36">
        <f>IFERROR(IF(Y357=0,"",ROUNDUP(Y357/H357,0)*0.01898),"")</f>
        <v>0.53144000000000002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264.41666666666669</v>
      </c>
      <c r="BN357" s="64">
        <f>IFERROR(Y357*I357/H357,"0")</f>
        <v>266.53199999999998</v>
      </c>
      <c r="BO357" s="64">
        <f>IFERROR(1/J357*(X357/H357),"0")</f>
        <v>0.43402777777777779</v>
      </c>
      <c r="BP357" s="64">
        <f>IFERROR(1/J357*(Y357/H357),"0")</f>
        <v>0.4375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27.777777777777779</v>
      </c>
      <c r="Y358" s="565">
        <f>IFERROR(Y356/H356,"0")+IFERROR(Y357/H357,"0")</f>
        <v>28</v>
      </c>
      <c r="Z358" s="565">
        <f>IFERROR(IF(Z356="",0,Z356),"0")+IFERROR(IF(Z357="",0,Z357),"0")</f>
        <v>0.53144000000000002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250</v>
      </c>
      <c r="Y359" s="565">
        <f>IFERROR(SUM(Y356:Y357),"0")</f>
        <v>252</v>
      </c>
      <c r="Z359" s="37"/>
      <c r="AA359" s="566"/>
      <c r="AB359" s="566"/>
      <c r="AC359" s="566"/>
    </row>
    <row r="360" spans="1:68" ht="14.25" customHeight="1" x14ac:dyDescent="0.25">
      <c r="A360" s="575" t="s">
        <v>172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30</v>
      </c>
      <c r="Y377" s="56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3.3333333333333335</v>
      </c>
      <c r="Y379" s="565">
        <f>IFERROR(Y377/H377,"0")+IFERROR(Y378/H378,"0")</f>
        <v>4</v>
      </c>
      <c r="Z379" s="565">
        <f>IFERROR(IF(Z377="",0,Z377),"0")+IFERROR(IF(Z378="",0,Z378),"0")</f>
        <v>7.5920000000000001E-2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30</v>
      </c>
      <c r="Y380" s="565">
        <f>IFERROR(SUM(Y377:Y378),"0")</f>
        <v>36</v>
      </c>
      <c r="Z380" s="37"/>
      <c r="AA380" s="566"/>
      <c r="AB380" s="566"/>
      <c r="AC380" s="566"/>
    </row>
    <row r="381" spans="1:68" ht="14.25" customHeight="1" x14ac:dyDescent="0.25">
      <c r="A381" s="575" t="s">
        <v>172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17.5</v>
      </c>
      <c r="Y393" s="564">
        <f t="shared" si="57"/>
        <v>18.900000000000002</v>
      </c>
      <c r="Z393" s="36">
        <f t="shared" si="62"/>
        <v>4.5179999999999998E-2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18.583333333333332</v>
      </c>
      <c r="BN393" s="64">
        <f t="shared" si="59"/>
        <v>20.07</v>
      </c>
      <c r="BO393" s="64">
        <f t="shared" si="60"/>
        <v>3.5612535612535613E-2</v>
      </c>
      <c r="BP393" s="64">
        <f t="shared" si="61"/>
        <v>3.8461538461538464E-2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8.3333333333333321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9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4.5179999999999998E-2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17.5</v>
      </c>
      <c r="Y399" s="565">
        <f>IFERROR(SUM(Y388:Y397),"0")</f>
        <v>18.900000000000002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137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20</v>
      </c>
      <c r="Y419" s="564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16.666666666666668</v>
      </c>
      <c r="Y420" s="565">
        <f>IFERROR(Y419/H419,"0")</f>
        <v>17</v>
      </c>
      <c r="Z420" s="565">
        <f>IFERROR(IF(Z419="",0,Z419),"0")</f>
        <v>0.11067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20</v>
      </c>
      <c r="Y421" s="565">
        <f>IFERROR(SUM(Y419:Y419),"0")</f>
        <v>20.399999999999999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0</v>
      </c>
      <c r="Y446" s="565">
        <f>IFERROR(SUM(Y430:Y444),"0")</f>
        <v>0</v>
      </c>
      <c r="Z446" s="37"/>
      <c r="AA446" s="566"/>
      <c r="AB446" s="566"/>
      <c r="AC446" s="566"/>
    </row>
    <row r="447" spans="1:68" ht="14.25" customHeight="1" x14ac:dyDescent="0.25">
      <c r="A447" s="575" t="s">
        <v>137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30</v>
      </c>
      <c r="Y454" s="564">
        <f t="shared" ref="Y454:Y460" si="69">IFERROR(IF(X454="",0,CEILING((X454/$H454),1)*$H454),"")</f>
        <v>31.68</v>
      </c>
      <c r="Z454" s="36">
        <f>IFERROR(IF(Y454=0,"",ROUNDUP(Y454/H454,0)*0.01196),"")</f>
        <v>7.1760000000000004E-2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32.04545454545454</v>
      </c>
      <c r="BN454" s="64">
        <f t="shared" ref="BN454:BN460" si="71">IFERROR(Y454*I454/H454,"0")</f>
        <v>33.839999999999996</v>
      </c>
      <c r="BO454" s="64">
        <f t="shared" ref="BO454:BO460" si="72">IFERROR(1/J454*(X454/H454),"0")</f>
        <v>5.4632867132867136E-2</v>
      </c>
      <c r="BP454" s="64">
        <f t="shared" ref="BP454:BP460" si="73">IFERROR(1/J454*(Y454/H454),"0")</f>
        <v>5.7692307692307696E-2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190</v>
      </c>
      <c r="Y456" s="564">
        <f t="shared" si="69"/>
        <v>190.08</v>
      </c>
      <c r="Z456" s="36">
        <f>IFERROR(IF(Y456=0,"",ROUNDUP(Y456/H456,0)*0.01196),"")</f>
        <v>0.43056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202.95454545454544</v>
      </c>
      <c r="BN456" s="64">
        <f t="shared" si="71"/>
        <v>203.04000000000002</v>
      </c>
      <c r="BO456" s="64">
        <f t="shared" si="72"/>
        <v>0.34600815850815853</v>
      </c>
      <c r="BP456" s="64">
        <f t="shared" si="73"/>
        <v>0.34615384615384615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36</v>
      </c>
      <c r="Y458" s="564">
        <f t="shared" si="69"/>
        <v>38.4</v>
      </c>
      <c r="Z458" s="36">
        <f>IFERROR(IF(Y458=0,"",ROUNDUP(Y458/H458,0)*0.00902),"")</f>
        <v>7.2160000000000002E-2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51.975000000000001</v>
      </c>
      <c r="BN458" s="64">
        <f t="shared" si="71"/>
        <v>55.44</v>
      </c>
      <c r="BO458" s="64">
        <f t="shared" si="72"/>
        <v>5.6818181818181823E-2</v>
      </c>
      <c r="BP458" s="64">
        <f t="shared" si="73"/>
        <v>6.0606060606060608E-2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49.166666666666664</v>
      </c>
      <c r="Y461" s="565">
        <f>IFERROR(Y454/H454,"0")+IFERROR(Y455/H455,"0")+IFERROR(Y456/H456,"0")+IFERROR(Y457/H457,"0")+IFERROR(Y458/H458,"0")+IFERROR(Y459/H459,"0")+IFERROR(Y460/H460,"0")</f>
        <v>50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0.57447999999999999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256</v>
      </c>
      <c r="Y462" s="565">
        <f>IFERROR(SUM(Y454:Y460),"0")</f>
        <v>260.16000000000003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137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172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137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6745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6840.829999999999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7162.1561582670201</v>
      </c>
      <c r="Y506" s="565">
        <f>IFERROR(SUM(BN22:BN502),"0")</f>
        <v>7264.3550000000005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13</v>
      </c>
      <c r="Y507" s="38">
        <f>ROUNDUP(SUM(BP22:BP502),0)</f>
        <v>13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7487.1561582670201</v>
      </c>
      <c r="Y508" s="565">
        <f>GrossWeightTotalR+PalletQtyTotalR*25</f>
        <v>7589.3550000000005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1389.5924931815737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1407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14.35487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256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179</v>
      </c>
      <c r="F513" s="583" t="s">
        <v>202</v>
      </c>
      <c r="G513" s="583" t="s">
        <v>235</v>
      </c>
      <c r="H513" s="583" t="s">
        <v>101</v>
      </c>
      <c r="I513" s="583" t="s">
        <v>257</v>
      </c>
      <c r="J513" s="583" t="s">
        <v>297</v>
      </c>
      <c r="K513" s="583" t="s">
        <v>358</v>
      </c>
      <c r="L513" s="583" t="s">
        <v>399</v>
      </c>
      <c r="M513" s="583" t="s">
        <v>415</v>
      </c>
      <c r="N513" s="561"/>
      <c r="O513" s="583" t="s">
        <v>428</v>
      </c>
      <c r="P513" s="583" t="s">
        <v>438</v>
      </c>
      <c r="Q513" s="583" t="s">
        <v>445</v>
      </c>
      <c r="R513" s="583" t="s">
        <v>450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134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415.8</v>
      </c>
      <c r="E515" s="46">
        <f>IFERROR(Y89*1,"0")+IFERROR(Y90*1,"0")+IFERROR(Y91*1,"0")+IFERROR(Y95*1,"0")+IFERROR(Y96*1,"0")+IFERROR(Y97*1,"0")+IFERROR(Y98*1,"0")+IFERROR(Y99*1,"0")+IFERROR(Y100*1,"0")</f>
        <v>721.8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1360.8</v>
      </c>
      <c r="G515" s="46">
        <f>IFERROR(Y131*1,"0")+IFERROR(Y132*1,"0")+IFERROR(Y136*1,"0")+IFERROR(Y137*1,"0")</f>
        <v>19.599999999999998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198.66000000000003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481.2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310.71000000000004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40.799999999999997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609.29999999999995</v>
      </c>
      <c r="S515" s="46">
        <f>IFERROR(Y333*1,"0")+IFERROR(Y334*1,"0")+IFERROR(Y335*1,"0")</f>
        <v>245.70000000000002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1967</v>
      </c>
      <c r="U515" s="46">
        <f>IFERROR(Y366*1,"0")+IFERROR(Y367*1,"0")+IFERROR(Y368*1,"0")+IFERROR(Y369*1,"0")+IFERROR(Y373*1,"0")+IFERROR(Y377*1,"0")+IFERROR(Y378*1,"0")+IFERROR(Y382*1,"0")</f>
        <v>36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18.900000000000002</v>
      </c>
      <c r="W515" s="46">
        <f>IFERROR(Y407*1,"0")+IFERROR(Y411*1,"0")+IFERROR(Y412*1,"0")+IFERROR(Y413*1,"0")+IFERROR(Y414*1,"0")</f>
        <v>0</v>
      </c>
      <c r="X515" s="46">
        <f>IFERROR(Y419*1,"0")</f>
        <v>20.399999999999999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260.16000000000003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2025-07-23T08:03:04Z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