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заказа'!$B$214:$B$214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заказа'!$B$220:$B$220</definedName>
    <definedName name="ProductId73">'Бланк заказа'!$B$225:$B$225</definedName>
    <definedName name="ProductId74">'Бланк заказа'!$B$226:$B$226</definedName>
    <definedName name="ProductId75">'Бланк заказа'!$B$232:$B$232</definedName>
    <definedName name="ProductId76">'Бланк заказа'!$B$238:$B$238</definedName>
    <definedName name="ProductId77">'Бланк заказа'!$B$244:$B$244</definedName>
    <definedName name="ProductId78">'Бланк заказа'!$B$248:$B$248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заказа'!$B$260:$B$260</definedName>
    <definedName name="ProductId83">'Бланк заказа'!$B$261:$B$261</definedName>
    <definedName name="ProductId84">'Бланк заказа'!$B$265:$B$265</definedName>
    <definedName name="ProductId85">'Бланк заказа'!$B$266:$B$266</definedName>
    <definedName name="ProductId86">'Бланк заказа'!$B$267:$B$267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заказа'!$X$214:$X$214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заказа'!$X$220:$X$220</definedName>
    <definedName name="SalesQty73">'Бланк заказа'!$X$225:$X$225</definedName>
    <definedName name="SalesQty74">'Бланк заказа'!$X$226:$X$226</definedName>
    <definedName name="SalesQty75">'Бланк заказа'!$X$232:$X$232</definedName>
    <definedName name="SalesQty76">'Бланк заказа'!$X$238:$X$238</definedName>
    <definedName name="SalesQty77">'Бланк заказа'!$X$244:$X$244</definedName>
    <definedName name="SalesQty78">'Бланк заказа'!$X$248:$X$248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заказа'!$X$260:$X$260</definedName>
    <definedName name="SalesQty83">'Бланк заказа'!$X$261:$X$261</definedName>
    <definedName name="SalesQty84">'Бланк заказа'!$X$265:$X$265</definedName>
    <definedName name="SalesQty85">'Бланк заказа'!$X$266:$X$266</definedName>
    <definedName name="SalesQty86">'Бланк заказа'!$X$267:$X$267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заказа'!$Y$214:$Y$214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заказа'!$Y$220:$Y$220</definedName>
    <definedName name="SalesRoundBox73">'Бланк заказа'!$Y$225:$Y$225</definedName>
    <definedName name="SalesRoundBox74">'Бланк заказа'!$Y$226:$Y$226</definedName>
    <definedName name="SalesRoundBox75">'Бланк заказа'!$Y$232:$Y$232</definedName>
    <definedName name="SalesRoundBox76">'Бланк заказа'!$Y$238:$Y$238</definedName>
    <definedName name="SalesRoundBox77">'Бланк заказа'!$Y$244:$Y$244</definedName>
    <definedName name="SalesRoundBox78">'Бланк заказа'!$Y$248:$Y$248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заказа'!$Y$260:$Y$260</definedName>
    <definedName name="SalesRoundBox83">'Бланк заказа'!$Y$261:$Y$261</definedName>
    <definedName name="SalesRoundBox84">'Бланк заказа'!$Y$265:$Y$265</definedName>
    <definedName name="SalesRoundBox85">'Бланк заказа'!$Y$266:$Y$266</definedName>
    <definedName name="SalesRoundBox86">'Бланк заказа'!$Y$267:$Y$267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заказа'!$W$214:$W$214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заказа'!$W$220:$W$220</definedName>
    <definedName name="UnitOfMeasure73">'Бланк заказа'!$W$225:$W$225</definedName>
    <definedName name="UnitOfMeasure74">'Бланк заказа'!$W$226:$W$226</definedName>
    <definedName name="UnitOfMeasure75">'Бланк заказа'!$W$232:$W$232</definedName>
    <definedName name="UnitOfMeasure76">'Бланк заказа'!$W$238:$W$238</definedName>
    <definedName name="UnitOfMeasure77">'Бланк заказа'!$W$244:$W$244</definedName>
    <definedName name="UnitOfMeasure78">'Бланк заказа'!$W$248:$W$248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заказа'!$W$260:$W$260</definedName>
    <definedName name="UnitOfMeasure83">'Бланк заказа'!$W$261:$W$261</definedName>
    <definedName name="UnitOfMeasure84">'Бланк заказа'!$W$265:$W$265</definedName>
    <definedName name="UnitOfMeasure85">'Бланк заказа'!$W$266:$W$266</definedName>
    <definedName name="UnitOfMeasure86">'Бланк заказа'!$W$267:$W$267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60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2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2" fillId="0" borderId="0" applyProtection="1" pivotButton="0" quotePrefix="0" xfId="0"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0" fontId="62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4" fillId="0" borderId="11" applyAlignment="1" applyProtection="1" pivotButton="0" quotePrefix="0" xfId="0">
      <alignment wrapText="1"/>
      <protection locked="1" hidden="1"/>
    </xf>
    <xf numFmtId="0" fontId="65" fillId="0" borderId="0" pivotButton="0" quotePrefix="0" xfId="0"/>
    <xf numFmtId="0" fontId="67" fillId="0" borderId="11" applyAlignment="1" applyProtection="1" pivotButton="0" quotePrefix="0" xfId="0">
      <alignment wrapText="1"/>
      <protection locked="1" hidden="1"/>
    </xf>
    <xf numFmtId="0" fontId="68" fillId="0" borderId="0" pivotButton="0" quotePrefix="0" xfId="0"/>
    <xf numFmtId="0" fontId="70" fillId="0" borderId="11" applyAlignment="1" applyProtection="1" pivotButton="0" quotePrefix="0" xfId="0">
      <alignment wrapText="1"/>
      <protection locked="1" hidden="1"/>
    </xf>
    <xf numFmtId="0" fontId="71" fillId="0" borderId="0" pivotButton="0" quotePrefix="0" xfId="0"/>
    <xf numFmtId="0" fontId="73" fillId="0" borderId="11" applyAlignment="1" applyProtection="1" pivotButton="0" quotePrefix="0" xfId="0">
      <alignment wrapText="1"/>
      <protection locked="1" hidden="1"/>
    </xf>
    <xf numFmtId="0" fontId="74" fillId="0" borderId="0" pivotButton="0" quotePrefix="0" xfId="0"/>
    <xf numFmtId="0" fontId="76" fillId="0" borderId="11" applyAlignment="1" applyProtection="1" pivotButton="0" quotePrefix="0" xfId="0">
      <alignment wrapText="1"/>
      <protection locked="1" hidden="1"/>
    </xf>
    <xf numFmtId="0" fontId="77" fillId="0" borderId="0" pivotButton="0" quotePrefix="0" xfId="0"/>
    <xf numFmtId="0" fontId="79" fillId="0" borderId="11" applyAlignment="1" applyProtection="1" pivotButton="0" quotePrefix="0" xfId="0">
      <alignment wrapText="1"/>
      <protection locked="1" hidden="1"/>
    </xf>
    <xf numFmtId="0" fontId="80" fillId="0" borderId="0" pivotButton="0" quotePrefix="0" xfId="0"/>
    <xf numFmtId="0" fontId="82" fillId="0" borderId="11" applyAlignment="1" applyProtection="1" pivotButton="0" quotePrefix="0" xfId="0">
      <alignment wrapText="1"/>
      <protection locked="1" hidden="1"/>
    </xf>
    <xf numFmtId="0" fontId="83" fillId="0" borderId="0" pivotButton="0" quotePrefix="0" xfId="0"/>
    <xf numFmtId="0" fontId="85" fillId="0" borderId="11" applyAlignment="1" applyProtection="1" pivotButton="0" quotePrefix="0" xfId="0">
      <alignment wrapText="1"/>
      <protection locked="1" hidden="1"/>
    </xf>
    <xf numFmtId="0" fontId="86" fillId="0" borderId="0" pivotButton="0" quotePrefix="0" xfId="0"/>
    <xf numFmtId="0" fontId="88" fillId="0" borderId="11" applyAlignment="1" applyProtection="1" pivotButton="0" quotePrefix="0" xfId="0">
      <alignment wrapText="1"/>
      <protection locked="1" hidden="1"/>
    </xf>
    <xf numFmtId="0" fontId="89" fillId="0" borderId="0" pivotButton="0" quotePrefix="0" xfId="0"/>
    <xf numFmtId="0" fontId="91" fillId="0" borderId="11" applyAlignment="1" applyProtection="1" pivotButton="0" quotePrefix="0" xfId="0">
      <alignment wrapText="1"/>
      <protection locked="1" hidden="1"/>
    </xf>
    <xf numFmtId="0" fontId="92" fillId="0" borderId="0" pivotButton="0" quotePrefix="0" xfId="0"/>
    <xf numFmtId="0" fontId="94" fillId="0" borderId="11" applyAlignment="1" applyProtection="1" pivotButton="0" quotePrefix="0" xfId="0">
      <alignment wrapText="1"/>
      <protection locked="1" hidden="1"/>
    </xf>
    <xf numFmtId="0" fontId="95" fillId="0" borderId="0" pivotButton="0" quotePrefix="0" xfId="0"/>
    <xf numFmtId="0" fontId="97" fillId="0" borderId="11" applyAlignment="1" applyProtection="1" pivotButton="0" quotePrefix="0" xfId="0">
      <alignment wrapText="1"/>
      <protection locked="1" hidden="1"/>
    </xf>
    <xf numFmtId="0" fontId="98" fillId="0" borderId="0" pivotButton="0" quotePrefix="0" xfId="0"/>
    <xf numFmtId="0" fontId="100" fillId="0" borderId="11" applyAlignment="1" applyProtection="1" pivotButton="0" quotePrefix="0" xfId="0">
      <alignment wrapText="1"/>
      <protection locked="1" hidden="1"/>
    </xf>
    <xf numFmtId="0" fontId="101" fillId="0" borderId="0" pivotButton="0" quotePrefix="0" xfId="0"/>
    <xf numFmtId="0" fontId="103" fillId="0" borderId="11" applyAlignment="1" applyProtection="1" pivotButton="0" quotePrefix="0" xfId="0">
      <alignment wrapText="1"/>
      <protection locked="1" hidden="1"/>
    </xf>
    <xf numFmtId="0" fontId="104" fillId="0" borderId="0" pivotButton="0" quotePrefix="0" xfId="0"/>
    <xf numFmtId="0" fontId="106" fillId="0" borderId="11" applyAlignment="1" applyProtection="1" pivotButton="0" quotePrefix="0" xfId="0">
      <alignment wrapText="1"/>
      <protection locked="1" hidden="1"/>
    </xf>
    <xf numFmtId="0" fontId="107" fillId="0" borderId="0" pivotButton="0" quotePrefix="0" xfId="0"/>
    <xf numFmtId="0" fontId="109" fillId="0" borderId="11" applyAlignment="1" applyProtection="1" pivotButton="0" quotePrefix="0" xfId="0">
      <alignment wrapText="1"/>
      <protection locked="1" hidden="1"/>
    </xf>
    <xf numFmtId="0" fontId="110" fillId="0" borderId="0" pivotButton="0" quotePrefix="0" xfId="0"/>
    <xf numFmtId="0" fontId="112" fillId="0" borderId="11" applyAlignment="1" applyProtection="1" pivotButton="0" quotePrefix="0" xfId="0">
      <alignment wrapText="1"/>
      <protection locked="1" hidden="1"/>
    </xf>
    <xf numFmtId="0" fontId="113" fillId="0" borderId="0" pivotButton="0" quotePrefix="0" xfId="0"/>
    <xf numFmtId="0" fontId="115" fillId="0" borderId="11" applyAlignment="1" applyProtection="1" pivotButton="0" quotePrefix="0" xfId="0">
      <alignment wrapText="1"/>
      <protection locked="1" hidden="1"/>
    </xf>
    <xf numFmtId="0" fontId="116" fillId="0" borderId="0" pivotButton="0" quotePrefix="0" xfId="0"/>
    <xf numFmtId="0" fontId="118" fillId="0" borderId="11" applyAlignment="1" applyProtection="1" pivotButton="0" quotePrefix="0" xfId="0">
      <alignment wrapText="1"/>
      <protection locked="1" hidden="1"/>
    </xf>
    <xf numFmtId="0" fontId="119" fillId="0" borderId="0" pivotButton="0" quotePrefix="0" xfId="0"/>
    <xf numFmtId="0" fontId="121" fillId="0" borderId="11" applyAlignment="1" applyProtection="1" pivotButton="0" quotePrefix="0" xfId="0">
      <alignment wrapText="1"/>
      <protection locked="1" hidden="1"/>
    </xf>
    <xf numFmtId="0" fontId="122" fillId="0" borderId="0" pivotButton="0" quotePrefix="0" xfId="0"/>
    <xf numFmtId="0" fontId="124" fillId="0" borderId="11" applyAlignment="1" applyProtection="1" pivotButton="0" quotePrefix="0" xfId="0">
      <alignment wrapText="1"/>
      <protection locked="1" hidden="1"/>
    </xf>
    <xf numFmtId="0" fontId="125" fillId="0" borderId="0" pivotButton="0" quotePrefix="0" xfId="0"/>
    <xf numFmtId="0" fontId="127" fillId="0" borderId="11" applyAlignment="1" applyProtection="1" pivotButton="0" quotePrefix="0" xfId="0">
      <alignment wrapText="1"/>
      <protection locked="1" hidden="1"/>
    </xf>
    <xf numFmtId="0" fontId="128" fillId="0" borderId="0" pivotButton="0" quotePrefix="0" xfId="0"/>
    <xf numFmtId="0" fontId="130" fillId="0" borderId="11" applyAlignment="1" applyProtection="1" pivotButton="0" quotePrefix="0" xfId="0">
      <alignment wrapText="1"/>
      <protection locked="1" hidden="1"/>
    </xf>
    <xf numFmtId="0" fontId="131" fillId="0" borderId="0" pivotButton="0" quotePrefix="0" xfId="0"/>
    <xf numFmtId="0" fontId="133" fillId="0" borderId="11" applyAlignment="1" applyProtection="1" pivotButton="0" quotePrefix="0" xfId="0">
      <alignment wrapText="1"/>
      <protection locked="1" hidden="1"/>
    </xf>
    <xf numFmtId="0" fontId="134" fillId="0" borderId="0" pivotButton="0" quotePrefix="0" xfId="0"/>
    <xf numFmtId="0" fontId="136" fillId="0" borderId="11" applyAlignment="1" applyProtection="1" pivotButton="0" quotePrefix="0" xfId="0">
      <alignment wrapText="1"/>
      <protection locked="1" hidden="1"/>
    </xf>
    <xf numFmtId="0" fontId="137" fillId="0" borderId="0" pivotButton="0" quotePrefix="0" xfId="0"/>
    <xf numFmtId="0" fontId="139" fillId="0" borderId="11" applyAlignment="1" applyProtection="1" pivotButton="0" quotePrefix="0" xfId="0">
      <alignment wrapText="1"/>
      <protection locked="1" hidden="1"/>
    </xf>
    <xf numFmtId="0" fontId="140" fillId="0" borderId="0" pivotButton="0" quotePrefix="0" xfId="0"/>
    <xf numFmtId="0" fontId="142" fillId="0" borderId="11" applyAlignment="1" applyProtection="1" pivotButton="0" quotePrefix="0" xfId="0">
      <alignment wrapText="1"/>
      <protection locked="1" hidden="1"/>
    </xf>
    <xf numFmtId="0" fontId="143" fillId="0" borderId="0" pivotButton="0" quotePrefix="0" xfId="0"/>
    <xf numFmtId="0" fontId="145" fillId="0" borderId="11" applyAlignment="1" applyProtection="1" pivotButton="0" quotePrefix="0" xfId="0">
      <alignment wrapText="1"/>
      <protection locked="1" hidden="1"/>
    </xf>
    <xf numFmtId="0" fontId="146" fillId="0" borderId="0" pivotButton="0" quotePrefix="0" xfId="0"/>
    <xf numFmtId="0" fontId="148" fillId="0" borderId="11" applyAlignment="1" applyProtection="1" pivotButton="0" quotePrefix="0" xfId="0">
      <alignment wrapText="1"/>
      <protection locked="1" hidden="1"/>
    </xf>
    <xf numFmtId="0" fontId="149" fillId="0" borderId="0" pivotButton="0" quotePrefix="0" xfId="0"/>
    <xf numFmtId="0" fontId="151" fillId="0" borderId="11" applyAlignment="1" applyProtection="1" pivotButton="0" quotePrefix="0" xfId="0">
      <alignment wrapText="1"/>
      <protection locked="1" hidden="1"/>
    </xf>
    <xf numFmtId="0" fontId="152" fillId="0" borderId="0" pivotButton="0" quotePrefix="0" xfId="0"/>
    <xf numFmtId="0" fontId="154" fillId="0" borderId="11" applyAlignment="1" applyProtection="1" pivotButton="0" quotePrefix="0" xfId="0">
      <alignment wrapText="1"/>
      <protection locked="1" hidden="1"/>
    </xf>
    <xf numFmtId="0" fontId="155" fillId="0" borderId="0" pivotButton="0" quotePrefix="0" xfId="0"/>
    <xf numFmtId="0" fontId="157" fillId="0" borderId="11" applyAlignment="1" applyProtection="1" pivotButton="0" quotePrefix="0" xfId="0">
      <alignment wrapText="1"/>
      <protection locked="1" hidden="1"/>
    </xf>
    <xf numFmtId="0" fontId="158" fillId="0" borderId="0" pivotButton="0" quotePrefix="0" xfId="0"/>
    <xf numFmtId="0" fontId="160" fillId="0" borderId="11" applyAlignment="1" applyProtection="1" pivotButton="0" quotePrefix="0" xfId="0">
      <alignment wrapText="1"/>
      <protection locked="1" hidden="1"/>
    </xf>
    <xf numFmtId="0" fontId="161" fillId="0" borderId="0" pivotButton="0" quotePrefix="0" xfId="0"/>
    <xf numFmtId="0" fontId="163" fillId="0" borderId="11" applyAlignment="1" applyProtection="1" pivotButton="0" quotePrefix="0" xfId="0">
      <alignment wrapText="1"/>
      <protection locked="1" hidden="1"/>
    </xf>
    <xf numFmtId="0" fontId="164" fillId="0" borderId="0" pivotButton="0" quotePrefix="0" xfId="0"/>
    <xf numFmtId="0" fontId="166" fillId="0" borderId="11" applyAlignment="1" applyProtection="1" pivotButton="0" quotePrefix="0" xfId="0">
      <alignment wrapText="1"/>
      <protection locked="1" hidden="1"/>
    </xf>
    <xf numFmtId="0" fontId="167" fillId="0" borderId="0" pivotButton="0" quotePrefix="0" xfId="0"/>
    <xf numFmtId="0" fontId="169" fillId="0" borderId="11" applyAlignment="1" applyProtection="1" pivotButton="0" quotePrefix="0" xfId="0">
      <alignment wrapText="1"/>
      <protection locked="1" hidden="1"/>
    </xf>
    <xf numFmtId="0" fontId="170" fillId="0" borderId="0" pivotButton="0" quotePrefix="0" xfId="0"/>
    <xf numFmtId="0" fontId="172" fillId="0" borderId="11" applyAlignment="1" applyProtection="1" pivotButton="0" quotePrefix="0" xfId="0">
      <alignment wrapText="1"/>
      <protection locked="1" hidden="1"/>
    </xf>
    <xf numFmtId="0" fontId="173" fillId="0" borderId="0" pivotButton="0" quotePrefix="0" xfId="0"/>
    <xf numFmtId="0" fontId="175" fillId="0" borderId="11" applyAlignment="1" applyProtection="1" pivotButton="0" quotePrefix="0" xfId="0">
      <alignment wrapText="1"/>
      <protection locked="1" hidden="1"/>
    </xf>
    <xf numFmtId="0" fontId="176" fillId="0" borderId="0" pivotButton="0" quotePrefix="0" xfId="0"/>
    <xf numFmtId="0" fontId="178" fillId="0" borderId="11" applyAlignment="1" applyProtection="1" pivotButton="0" quotePrefix="0" xfId="0">
      <alignment wrapText="1"/>
      <protection locked="1" hidden="1"/>
    </xf>
    <xf numFmtId="0" fontId="179" fillId="0" borderId="0" pivotButton="0" quotePrefix="0" xfId="0"/>
    <xf numFmtId="0" fontId="181" fillId="0" borderId="11" applyAlignment="1" applyProtection="1" pivotButton="0" quotePrefix="0" xfId="0">
      <alignment wrapText="1"/>
      <protection locked="1" hidden="1"/>
    </xf>
    <xf numFmtId="0" fontId="182" fillId="0" borderId="0" pivotButton="0" quotePrefix="0" xfId="0"/>
    <xf numFmtId="0" fontId="184" fillId="0" borderId="11" applyAlignment="1" applyProtection="1" pivotButton="0" quotePrefix="0" xfId="0">
      <alignment wrapText="1"/>
      <protection locked="1" hidden="1"/>
    </xf>
    <xf numFmtId="0" fontId="185" fillId="0" borderId="0" pivotButton="0" quotePrefix="0" xfId="0"/>
    <xf numFmtId="0" fontId="187" fillId="0" borderId="11" applyAlignment="1" applyProtection="1" pivotButton="0" quotePrefix="0" xfId="0">
      <alignment wrapText="1"/>
      <protection locked="1" hidden="1"/>
    </xf>
    <xf numFmtId="0" fontId="188" fillId="0" borderId="0" pivotButton="0" quotePrefix="0" xfId="0"/>
    <xf numFmtId="0" fontId="190" fillId="0" borderId="11" applyAlignment="1" applyProtection="1" pivotButton="0" quotePrefix="0" xfId="0">
      <alignment wrapText="1"/>
      <protection locked="1" hidden="1"/>
    </xf>
    <xf numFmtId="0" fontId="191" fillId="0" borderId="0" pivotButton="0" quotePrefix="0" xfId="0"/>
    <xf numFmtId="0" fontId="193" fillId="0" borderId="11" applyAlignment="1" applyProtection="1" pivotButton="0" quotePrefix="0" xfId="0">
      <alignment wrapText="1"/>
      <protection locked="1" hidden="1"/>
    </xf>
    <xf numFmtId="0" fontId="194" fillId="0" borderId="0" pivotButton="0" quotePrefix="0" xfId="0"/>
    <xf numFmtId="0" fontId="196" fillId="0" borderId="11" applyAlignment="1" applyProtection="1" pivotButton="0" quotePrefix="0" xfId="0">
      <alignment wrapText="1"/>
      <protection locked="1" hidden="1"/>
    </xf>
    <xf numFmtId="0" fontId="197" fillId="0" borderId="0" pivotButton="0" quotePrefix="0" xfId="0"/>
    <xf numFmtId="0" fontId="199" fillId="0" borderId="11" applyAlignment="1" applyProtection="1" pivotButton="0" quotePrefix="0" xfId="0">
      <alignment wrapText="1"/>
      <protection locked="1" hidden="1"/>
    </xf>
    <xf numFmtId="0" fontId="200" fillId="0" borderId="0" pivotButton="0" quotePrefix="0" xfId="0"/>
    <xf numFmtId="0" fontId="202" fillId="0" borderId="11" applyAlignment="1" applyProtection="1" pivotButton="0" quotePrefix="0" xfId="0">
      <alignment wrapText="1"/>
      <protection locked="1" hidden="1"/>
    </xf>
    <xf numFmtId="0" fontId="203" fillId="0" borderId="0" pivotButton="0" quotePrefix="0" xfId="0"/>
    <xf numFmtId="0" fontId="205" fillId="0" borderId="11" applyAlignment="1" applyProtection="1" pivotButton="0" quotePrefix="0" xfId="0">
      <alignment wrapText="1"/>
      <protection locked="1" hidden="1"/>
    </xf>
    <xf numFmtId="0" fontId="206" fillId="0" borderId="0" pivotButton="0" quotePrefix="0" xfId="0"/>
    <xf numFmtId="0" fontId="208" fillId="0" borderId="11" applyAlignment="1" applyProtection="1" pivotButton="0" quotePrefix="0" xfId="0">
      <alignment wrapText="1"/>
      <protection locked="1" hidden="1"/>
    </xf>
    <xf numFmtId="0" fontId="209" fillId="0" borderId="0" pivotButton="0" quotePrefix="0" xfId="0"/>
    <xf numFmtId="0" fontId="211" fillId="0" borderId="11" applyAlignment="1" applyProtection="1" pivotButton="0" quotePrefix="0" xfId="0">
      <alignment wrapText="1"/>
      <protection locked="1" hidden="1"/>
    </xf>
    <xf numFmtId="0" fontId="212" fillId="0" borderId="0" pivotButton="0" quotePrefix="0" xfId="0"/>
    <xf numFmtId="0" fontId="214" fillId="0" borderId="11" applyAlignment="1" applyProtection="1" pivotButton="0" quotePrefix="0" xfId="0">
      <alignment wrapText="1"/>
      <protection locked="1" hidden="1"/>
    </xf>
    <xf numFmtId="0" fontId="215" fillId="0" borderId="0" pivotButton="0" quotePrefix="0" xfId="0"/>
    <xf numFmtId="0" fontId="217" fillId="0" borderId="11" applyAlignment="1" applyProtection="1" pivotButton="0" quotePrefix="0" xfId="0">
      <alignment wrapText="1"/>
      <protection locked="1" hidden="1"/>
    </xf>
    <xf numFmtId="0" fontId="218" fillId="0" borderId="0" pivotButton="0" quotePrefix="0" xfId="0"/>
    <xf numFmtId="0" fontId="220" fillId="0" borderId="11" applyAlignment="1" applyProtection="1" pivotButton="0" quotePrefix="0" xfId="0">
      <alignment wrapText="1"/>
      <protection locked="1" hidden="1"/>
    </xf>
    <xf numFmtId="0" fontId="221" fillId="0" borderId="0" pivotButton="0" quotePrefix="0" xfId="0"/>
    <xf numFmtId="0" fontId="223" fillId="0" borderId="11" applyAlignment="1" applyProtection="1" pivotButton="0" quotePrefix="0" xfId="0">
      <alignment wrapText="1"/>
      <protection locked="1" hidden="1"/>
    </xf>
    <xf numFmtId="0" fontId="224" fillId="0" borderId="0" pivotButton="0" quotePrefix="0" xfId="0"/>
    <xf numFmtId="0" fontId="226" fillId="0" borderId="11" applyAlignment="1" applyProtection="1" pivotButton="0" quotePrefix="0" xfId="0">
      <alignment wrapText="1"/>
      <protection locked="1" hidden="1"/>
    </xf>
    <xf numFmtId="0" fontId="227" fillId="0" borderId="0" pivotButton="0" quotePrefix="0" xfId="0"/>
    <xf numFmtId="0" fontId="229" fillId="0" borderId="11" applyAlignment="1" applyProtection="1" pivotButton="0" quotePrefix="0" xfId="0">
      <alignment wrapText="1"/>
      <protection locked="1" hidden="1"/>
    </xf>
    <xf numFmtId="0" fontId="230" fillId="0" borderId="0" pivotButton="0" quotePrefix="0" xfId="0"/>
    <xf numFmtId="0" fontId="232" fillId="0" borderId="11" applyAlignment="1" applyProtection="1" pivotButton="0" quotePrefix="0" xfId="0">
      <alignment wrapText="1"/>
      <protection locked="1" hidden="1"/>
    </xf>
    <xf numFmtId="0" fontId="233" fillId="0" borderId="0" pivotButton="0" quotePrefix="0" xfId="0"/>
    <xf numFmtId="0" fontId="235" fillId="0" borderId="11" applyAlignment="1" applyProtection="1" pivotButton="0" quotePrefix="0" xfId="0">
      <alignment wrapText="1"/>
      <protection locked="1" hidden="1"/>
    </xf>
    <xf numFmtId="0" fontId="236" fillId="0" borderId="0" pivotButton="0" quotePrefix="0" xfId="0"/>
    <xf numFmtId="0" fontId="238" fillId="0" borderId="11" applyAlignment="1" applyProtection="1" pivotButton="0" quotePrefix="0" xfId="0">
      <alignment wrapText="1"/>
      <protection locked="1" hidden="1"/>
    </xf>
    <xf numFmtId="0" fontId="239" fillId="0" borderId="0" pivotButton="0" quotePrefix="0" xfId="0"/>
    <xf numFmtId="0" fontId="241" fillId="0" borderId="11" applyAlignment="1" applyProtection="1" pivotButton="0" quotePrefix="0" xfId="0">
      <alignment wrapText="1"/>
      <protection locked="1" hidden="1"/>
    </xf>
    <xf numFmtId="0" fontId="242" fillId="0" borderId="0" pivotButton="0" quotePrefix="0" xfId="0"/>
    <xf numFmtId="0" fontId="244" fillId="0" borderId="11" applyAlignment="1" applyProtection="1" pivotButton="0" quotePrefix="0" xfId="0">
      <alignment wrapText="1"/>
      <protection locked="1" hidden="1"/>
    </xf>
    <xf numFmtId="0" fontId="245" fillId="0" borderId="0" pivotButton="0" quotePrefix="0" xfId="0"/>
    <xf numFmtId="0" fontId="247" fillId="0" borderId="11" applyAlignment="1" applyProtection="1" pivotButton="0" quotePrefix="0" xfId="0">
      <alignment wrapText="1"/>
      <protection locked="1" hidden="1"/>
    </xf>
    <xf numFmtId="0" fontId="248" fillId="0" borderId="0" pivotButton="0" quotePrefix="0" xfId="0"/>
    <xf numFmtId="0" fontId="250" fillId="0" borderId="11" applyAlignment="1" applyProtection="1" pivotButton="0" quotePrefix="0" xfId="0">
      <alignment wrapText="1"/>
      <protection locked="1" hidden="1"/>
    </xf>
    <xf numFmtId="0" fontId="251" fillId="0" borderId="0" pivotButton="0" quotePrefix="0" xfId="0"/>
    <xf numFmtId="0" fontId="253" fillId="0" borderId="11" applyAlignment="1" applyProtection="1" pivotButton="0" quotePrefix="0" xfId="0">
      <alignment wrapText="1"/>
      <protection locked="1" hidden="1"/>
    </xf>
    <xf numFmtId="0" fontId="254" fillId="0" borderId="0" pivotButton="0" quotePrefix="0" xfId="0"/>
    <xf numFmtId="0" fontId="256" fillId="0" borderId="11" applyAlignment="1" applyProtection="1" pivotButton="0" quotePrefix="0" xfId="0">
      <alignment wrapText="1"/>
      <protection locked="1" hidden="1"/>
    </xf>
    <xf numFmtId="0" fontId="257" fillId="0" borderId="0" pivotButton="0" quotePrefix="0" xfId="0"/>
    <xf numFmtId="0" fontId="259" fillId="0" borderId="11" applyAlignment="1" applyProtection="1" pivotButton="0" quotePrefix="0" xfId="0">
      <alignment wrapText="1"/>
      <protection locked="1" hidden="1"/>
    </xf>
    <xf numFmtId="0" fontId="260" fillId="0" borderId="0" pivotButton="0" quotePrefix="0" xfId="0"/>
    <xf numFmtId="0" fontId="262" fillId="0" borderId="11" applyAlignment="1" applyProtection="1" pivotButton="0" quotePrefix="0" xfId="0">
      <alignment wrapText="1"/>
      <protection locked="1" hidden="1"/>
    </xf>
    <xf numFmtId="0" fontId="263" fillId="0" borderId="0" pivotButton="0" quotePrefix="0" xfId="0"/>
    <xf numFmtId="0" fontId="265" fillId="0" borderId="11" applyAlignment="1" applyProtection="1" pivotButton="0" quotePrefix="0" xfId="0">
      <alignment wrapText="1"/>
      <protection locked="1" hidden="1"/>
    </xf>
    <xf numFmtId="0" fontId="266" fillId="0" borderId="0" pivotButton="0" quotePrefix="0" xfId="0"/>
    <xf numFmtId="0" fontId="268" fillId="0" borderId="11" applyAlignment="1" applyProtection="1" pivotButton="0" quotePrefix="0" xfId="0">
      <alignment wrapText="1"/>
      <protection locked="1" hidden="1"/>
    </xf>
    <xf numFmtId="0" fontId="269" fillId="0" borderId="0" pivotButton="0" quotePrefix="0" xfId="0"/>
    <xf numFmtId="0" fontId="271" fillId="0" borderId="11" applyAlignment="1" applyProtection="1" pivotButton="0" quotePrefix="0" xfId="0">
      <alignment wrapText="1"/>
      <protection locked="1" hidden="1"/>
    </xf>
    <xf numFmtId="0" fontId="272" fillId="0" borderId="0" pivotButton="0" quotePrefix="0" xfId="0"/>
    <xf numFmtId="0" fontId="274" fillId="0" borderId="11" applyAlignment="1" applyProtection="1" pivotButton="0" quotePrefix="0" xfId="0">
      <alignment wrapText="1"/>
      <protection locked="1" hidden="1"/>
    </xf>
    <xf numFmtId="0" fontId="275" fillId="0" borderId="0" pivotButton="0" quotePrefix="0" xfId="0"/>
    <xf numFmtId="0" fontId="277" fillId="0" borderId="11" applyAlignment="1" applyProtection="1" pivotButton="0" quotePrefix="0" xfId="0">
      <alignment wrapText="1"/>
      <protection locked="1" hidden="1"/>
    </xf>
    <xf numFmtId="0" fontId="278" fillId="0" borderId="0" pivotButton="0" quotePrefix="0" xfId="0"/>
    <xf numFmtId="0" fontId="280" fillId="0" borderId="11" applyAlignment="1" applyProtection="1" pivotButton="0" quotePrefix="0" xfId="0">
      <alignment wrapText="1"/>
      <protection locked="1" hidden="1"/>
    </xf>
    <xf numFmtId="0" fontId="281" fillId="0" borderId="0" pivotButton="0" quotePrefix="0" xfId="0"/>
    <xf numFmtId="0" fontId="283" fillId="0" borderId="11" applyAlignment="1" applyProtection="1" pivotButton="0" quotePrefix="0" xfId="0">
      <alignment wrapText="1"/>
      <protection locked="1" hidden="1"/>
    </xf>
    <xf numFmtId="0" fontId="284" fillId="0" borderId="0" pivotButton="0" quotePrefix="0" xfId="0"/>
    <xf numFmtId="0" fontId="286" fillId="0" borderId="11" applyAlignment="1" applyProtection="1" pivotButton="0" quotePrefix="0" xfId="0">
      <alignment wrapText="1"/>
      <protection locked="1" hidden="1"/>
    </xf>
    <xf numFmtId="0" fontId="287" fillId="0" borderId="0" pivotButton="0" quotePrefix="0" xfId="0"/>
    <xf numFmtId="0" fontId="289" fillId="0" borderId="11" applyAlignment="1" applyProtection="1" pivotButton="0" quotePrefix="0" xfId="0">
      <alignment wrapText="1"/>
      <protection locked="1" hidden="1"/>
    </xf>
    <xf numFmtId="0" fontId="290" fillId="0" borderId="0" pivotButton="0" quotePrefix="0" xfId="0"/>
    <xf numFmtId="0" fontId="292" fillId="0" borderId="11" applyAlignment="1" applyProtection="1" pivotButton="0" quotePrefix="0" xfId="0">
      <alignment wrapText="1"/>
      <protection locked="1" hidden="1"/>
    </xf>
    <xf numFmtId="0" fontId="293" fillId="0" borderId="0" pivotButton="0" quotePrefix="0" xfId="0"/>
    <xf numFmtId="0" fontId="295" fillId="0" borderId="11" applyAlignment="1" applyProtection="1" pivotButton="0" quotePrefix="0" xfId="0">
      <alignment wrapText="1"/>
      <protection locked="1" hidden="1"/>
    </xf>
    <xf numFmtId="0" fontId="296" fillId="0" borderId="0" pivotButton="0" quotePrefix="0" xfId="0"/>
    <xf numFmtId="0" fontId="298" fillId="0" borderId="11" applyAlignment="1" applyProtection="1" pivotButton="0" quotePrefix="0" xfId="0">
      <alignment wrapText="1"/>
      <protection locked="1" hidden="1"/>
    </xf>
    <xf numFmtId="0" fontId="299" fillId="0" borderId="0" pivotButton="0" quotePrefix="0" xfId="0"/>
    <xf numFmtId="0" fontId="301" fillId="0" borderId="11" applyAlignment="1" applyProtection="1" pivotButton="0" quotePrefix="0" xfId="0">
      <alignment wrapText="1"/>
      <protection locked="1" hidden="1"/>
    </xf>
    <xf numFmtId="0" fontId="302" fillId="0" borderId="0" pivotButton="0" quotePrefix="0" xfId="0"/>
    <xf numFmtId="0" fontId="304" fillId="0" borderId="11" applyAlignment="1" applyProtection="1" pivotButton="0" quotePrefix="0" xfId="0">
      <alignment wrapText="1"/>
      <protection locked="1" hidden="1"/>
    </xf>
    <xf numFmtId="0" fontId="305" fillId="0" borderId="0" pivotButton="0" quotePrefix="0" xfId="0"/>
    <xf numFmtId="0" fontId="307" fillId="0" borderId="11" applyAlignment="1" applyProtection="1" pivotButton="0" quotePrefix="0" xfId="0">
      <alignment wrapText="1"/>
      <protection locked="1" hidden="1"/>
    </xf>
    <xf numFmtId="0" fontId="308" fillId="0" borderId="0" pivotButton="0" quotePrefix="0" xfId="0"/>
    <xf numFmtId="0" fontId="310" fillId="0" borderId="11" applyAlignment="1" applyProtection="1" pivotButton="0" quotePrefix="0" xfId="0">
      <alignment wrapText="1"/>
      <protection locked="1" hidden="1"/>
    </xf>
    <xf numFmtId="0" fontId="311" fillId="0" borderId="0" pivotButton="0" quotePrefix="0" xfId="0"/>
    <xf numFmtId="0" fontId="313" fillId="0" borderId="11" applyAlignment="1" applyProtection="1" pivotButton="0" quotePrefix="0" xfId="0">
      <alignment wrapText="1"/>
      <protection locked="1" hidden="1"/>
    </xf>
    <xf numFmtId="0" fontId="314" fillId="0" borderId="0" pivotButton="0" quotePrefix="0" xfId="0"/>
    <xf numFmtId="0" fontId="316" fillId="0" borderId="11" applyAlignment="1" applyProtection="1" pivotButton="0" quotePrefix="0" xfId="0">
      <alignment wrapText="1"/>
      <protection locked="1" hidden="1"/>
    </xf>
    <xf numFmtId="0" fontId="317" fillId="0" borderId="0" pivotButton="0" quotePrefix="0" xfId="0"/>
    <xf numFmtId="0" fontId="319" fillId="0" borderId="11" applyAlignment="1" applyProtection="1" pivotButton="0" quotePrefix="0" xfId="0">
      <alignment wrapText="1"/>
      <protection locked="1" hidden="1"/>
    </xf>
    <xf numFmtId="0" fontId="320" fillId="0" borderId="0" pivotButton="0" quotePrefix="0" xfId="0"/>
    <xf numFmtId="0" fontId="322" fillId="0" borderId="11" applyAlignment="1" applyProtection="1" pivotButton="0" quotePrefix="0" xfId="0">
      <alignment wrapText="1"/>
      <protection locked="1" hidden="1"/>
    </xf>
    <xf numFmtId="0" fontId="323" fillId="0" borderId="0" pivotButton="0" quotePrefix="0" xfId="0"/>
    <xf numFmtId="0" fontId="325" fillId="0" borderId="11" applyAlignment="1" applyProtection="1" pivotButton="0" quotePrefix="0" xfId="0">
      <alignment wrapText="1"/>
      <protection locked="1" hidden="1"/>
    </xf>
    <xf numFmtId="0" fontId="326" fillId="0" borderId="0" pivotButton="0" quotePrefix="0" xfId="0"/>
    <xf numFmtId="0" fontId="328" fillId="0" borderId="11" applyAlignment="1" applyProtection="1" pivotButton="0" quotePrefix="0" xfId="0">
      <alignment wrapText="1"/>
      <protection locked="1" hidden="1"/>
    </xf>
    <xf numFmtId="0" fontId="329" fillId="0" borderId="0" pivotButton="0" quotePrefix="0" xfId="0"/>
    <xf numFmtId="0" fontId="331" fillId="0" borderId="11" applyAlignment="1" applyProtection="1" pivotButton="0" quotePrefix="0" xfId="0">
      <alignment wrapText="1"/>
      <protection locked="1" hidden="1"/>
    </xf>
    <xf numFmtId="0" fontId="332" fillId="0" borderId="0" pivotButton="0" quotePrefix="0" xfId="0"/>
    <xf numFmtId="0" fontId="334" fillId="0" borderId="11" applyAlignment="1" applyProtection="1" pivotButton="0" quotePrefix="0" xfId="0">
      <alignment wrapText="1"/>
      <protection locked="1" hidden="1"/>
    </xf>
    <xf numFmtId="0" fontId="335" fillId="0" borderId="0" pivotButton="0" quotePrefix="0" xfId="0"/>
    <xf numFmtId="0" fontId="337" fillId="0" borderId="11" applyAlignment="1" applyProtection="1" pivotButton="0" quotePrefix="0" xfId="0">
      <alignment wrapText="1"/>
      <protection locked="1" hidden="1"/>
    </xf>
    <xf numFmtId="0" fontId="338" fillId="0" borderId="0" pivotButton="0" quotePrefix="0" xfId="0"/>
    <xf numFmtId="0" fontId="340" fillId="0" borderId="11" applyAlignment="1" applyProtection="1" pivotButton="0" quotePrefix="0" xfId="0">
      <alignment wrapText="1"/>
      <protection locked="1" hidden="1"/>
    </xf>
    <xf numFmtId="0" fontId="341" fillId="0" borderId="0" pivotButton="0" quotePrefix="0" xfId="0"/>
    <xf numFmtId="0" fontId="343" fillId="0" borderId="11" applyAlignment="1" applyProtection="1" pivotButton="0" quotePrefix="0" xfId="0">
      <alignment wrapText="1"/>
      <protection locked="1" hidden="1"/>
    </xf>
    <xf numFmtId="0" fontId="344" fillId="0" borderId="0" pivotButton="0" quotePrefix="0" xfId="0"/>
    <xf numFmtId="0" fontId="346" fillId="0" borderId="11" applyAlignment="1" applyProtection="1" pivotButton="0" quotePrefix="0" xfId="0">
      <alignment wrapText="1"/>
      <protection locked="1" hidden="1"/>
    </xf>
    <xf numFmtId="0" fontId="347" fillId="0" borderId="0" pivotButton="0" quotePrefix="0" xfId="0"/>
    <xf numFmtId="0" fontId="349" fillId="0" borderId="11" applyAlignment="1" applyProtection="1" pivotButton="0" quotePrefix="0" xfId="0">
      <alignment wrapText="1"/>
      <protection locked="1" hidden="1"/>
    </xf>
    <xf numFmtId="0" fontId="350" fillId="0" borderId="0" pivotButton="0" quotePrefix="0" xfId="0"/>
    <xf numFmtId="0" fontId="352" fillId="0" borderId="11" applyAlignment="1" applyProtection="1" pivotButton="0" quotePrefix="0" xfId="0">
      <alignment wrapText="1"/>
      <protection locked="1" hidden="1"/>
    </xf>
    <xf numFmtId="0" fontId="353" fillId="0" borderId="0" pivotButton="0" quotePrefix="0" xfId="0"/>
    <xf numFmtId="0" fontId="355" fillId="0" borderId="11" applyAlignment="1" applyProtection="1" pivotButton="0" quotePrefix="0" xfId="0">
      <alignment wrapText="1"/>
      <protection locked="1" hidden="1"/>
    </xf>
    <xf numFmtId="0" fontId="356" fillId="0" borderId="0" pivotButton="0" quotePrefix="0" xfId="0"/>
    <xf numFmtId="0" fontId="358" fillId="0" borderId="11" applyAlignment="1" applyProtection="1" pivotButton="0" quotePrefix="0" xfId="0">
      <alignment wrapText="1"/>
      <protection locked="1" hidden="1"/>
    </xf>
    <xf numFmtId="0" fontId="359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2" fillId="0" borderId="28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3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66" fillId="0" borderId="45" applyAlignment="1" pivotButton="0" quotePrefix="0" xfId="0">
      <alignment horizontal="left" vertical="center" wrapText="1"/>
    </xf>
    <xf numFmtId="0" fontId="69" fillId="0" borderId="45" applyAlignment="1" pivotButton="0" quotePrefix="0" xfId="0">
      <alignment horizontal="left" vertical="center" wrapText="1"/>
    </xf>
    <xf numFmtId="0" fontId="72" fillId="0" borderId="45" applyAlignment="1" pivotButton="0" quotePrefix="0" xfId="0">
      <alignment horizontal="left" vertical="center" wrapText="1"/>
    </xf>
    <xf numFmtId="0" fontId="75" fillId="0" borderId="45" applyAlignment="1" pivotButton="0" quotePrefix="0" xfId="0">
      <alignment horizontal="left" vertical="center" wrapText="1"/>
    </xf>
    <xf numFmtId="0" fontId="78" fillId="0" borderId="45" applyAlignment="1" pivotButton="0" quotePrefix="0" xfId="0">
      <alignment horizontal="left" vertical="center" wrapText="1"/>
    </xf>
    <xf numFmtId="0" fontId="81" fillId="0" borderId="45" applyAlignment="1" pivotButton="0" quotePrefix="0" xfId="0">
      <alignment horizontal="left" vertical="center" wrapText="1"/>
    </xf>
    <xf numFmtId="0" fontId="84" fillId="0" borderId="45" applyAlignment="1" pivotButton="0" quotePrefix="0" xfId="0">
      <alignment horizontal="left" vertical="center" wrapText="1"/>
    </xf>
    <xf numFmtId="0" fontId="87" fillId="0" borderId="45" applyAlignment="1" pivotButton="0" quotePrefix="0" xfId="0">
      <alignment horizontal="left" vertical="center" wrapText="1"/>
    </xf>
    <xf numFmtId="0" fontId="90" fillId="0" borderId="45" applyAlignment="1" pivotButton="0" quotePrefix="0" xfId="0">
      <alignment horizontal="left" vertical="center" wrapText="1"/>
    </xf>
    <xf numFmtId="0" fontId="93" fillId="0" borderId="45" applyAlignment="1" pivotButton="0" quotePrefix="0" xfId="0">
      <alignment horizontal="left" vertical="center" wrapText="1"/>
    </xf>
    <xf numFmtId="0" fontId="96" fillId="0" borderId="45" applyAlignment="1" pivotButton="0" quotePrefix="0" xfId="0">
      <alignment horizontal="left" vertical="center" wrapText="1"/>
    </xf>
    <xf numFmtId="0" fontId="99" fillId="0" borderId="45" applyAlignment="1" pivotButton="0" quotePrefix="0" xfId="0">
      <alignment horizontal="left" vertical="center" wrapText="1"/>
    </xf>
    <xf numFmtId="0" fontId="102" fillId="0" borderId="45" applyAlignment="1" pivotButton="0" quotePrefix="0" xfId="0">
      <alignment horizontal="left" vertical="center" wrapText="1"/>
    </xf>
    <xf numFmtId="0" fontId="105" fillId="0" borderId="45" applyAlignment="1" pivotButton="0" quotePrefix="0" xfId="0">
      <alignment horizontal="left" vertical="center" wrapText="1"/>
    </xf>
    <xf numFmtId="0" fontId="108" fillId="0" borderId="45" applyAlignment="1" pivotButton="0" quotePrefix="0" xfId="0">
      <alignment horizontal="left" vertical="center" wrapText="1"/>
    </xf>
    <xf numFmtId="0" fontId="111" fillId="0" borderId="45" applyAlignment="1" pivotButton="0" quotePrefix="0" xfId="0">
      <alignment horizontal="left" vertical="center" wrapText="1"/>
    </xf>
    <xf numFmtId="0" fontId="114" fillId="0" borderId="45" applyAlignment="1" pivotButton="0" quotePrefix="0" xfId="0">
      <alignment horizontal="left" vertical="center" wrapText="1"/>
    </xf>
    <xf numFmtId="0" fontId="117" fillId="0" borderId="45" applyAlignment="1" pivotButton="0" quotePrefix="0" xfId="0">
      <alignment horizontal="left" vertical="center" wrapText="1"/>
    </xf>
    <xf numFmtId="0" fontId="120" fillId="0" borderId="45" applyAlignment="1" pivotButton="0" quotePrefix="0" xfId="0">
      <alignment horizontal="left" vertical="center" wrapText="1"/>
    </xf>
    <xf numFmtId="0" fontId="123" fillId="0" borderId="45" applyAlignment="1" pivotButton="0" quotePrefix="0" xfId="0">
      <alignment horizontal="left" vertical="center" wrapText="1"/>
    </xf>
    <xf numFmtId="0" fontId="126" fillId="0" borderId="45" applyAlignment="1" pivotButton="0" quotePrefix="0" xfId="0">
      <alignment horizontal="left" vertical="center" wrapText="1"/>
    </xf>
    <xf numFmtId="0" fontId="129" fillId="0" borderId="45" applyAlignment="1" pivotButton="0" quotePrefix="0" xfId="0">
      <alignment horizontal="left" vertical="center" wrapText="1"/>
    </xf>
    <xf numFmtId="0" fontId="132" fillId="0" borderId="45" applyAlignment="1" pivotButton="0" quotePrefix="0" xfId="0">
      <alignment horizontal="left" vertical="center" wrapText="1"/>
    </xf>
    <xf numFmtId="0" fontId="135" fillId="0" borderId="45" applyAlignment="1" pivotButton="0" quotePrefix="0" xfId="0">
      <alignment horizontal="left" vertical="center" wrapText="1"/>
    </xf>
    <xf numFmtId="0" fontId="138" fillId="0" borderId="45" applyAlignment="1" pivotButton="0" quotePrefix="0" xfId="0">
      <alignment horizontal="left" vertical="center" wrapText="1"/>
    </xf>
    <xf numFmtId="0" fontId="141" fillId="0" borderId="45" applyAlignment="1" pivotButton="0" quotePrefix="0" xfId="0">
      <alignment horizontal="left" vertical="center" wrapText="1"/>
    </xf>
    <xf numFmtId="0" fontId="144" fillId="0" borderId="45" applyAlignment="1" pivotButton="0" quotePrefix="0" xfId="0">
      <alignment horizontal="left" vertical="center" wrapText="1"/>
    </xf>
    <xf numFmtId="0" fontId="147" fillId="0" borderId="45" applyAlignment="1" pivotButton="0" quotePrefix="0" xfId="0">
      <alignment horizontal="left" vertical="center" wrapText="1"/>
    </xf>
    <xf numFmtId="0" fontId="150" fillId="0" borderId="45" applyAlignment="1" pivotButton="0" quotePrefix="0" xfId="0">
      <alignment horizontal="left" vertical="center" wrapText="1"/>
    </xf>
    <xf numFmtId="0" fontId="153" fillId="0" borderId="45" applyAlignment="1" pivotButton="0" quotePrefix="0" xfId="0">
      <alignment horizontal="left" vertical="center" wrapText="1"/>
    </xf>
    <xf numFmtId="0" fontId="156" fillId="0" borderId="45" applyAlignment="1" pivotButton="0" quotePrefix="0" xfId="0">
      <alignment horizontal="left" vertical="center" wrapText="1"/>
    </xf>
    <xf numFmtId="0" fontId="159" fillId="0" borderId="45" applyAlignment="1" pivotButton="0" quotePrefix="0" xfId="0">
      <alignment horizontal="left" vertical="center" wrapText="1"/>
    </xf>
    <xf numFmtId="0" fontId="162" fillId="0" borderId="45" applyAlignment="1" pivotButton="0" quotePrefix="0" xfId="0">
      <alignment horizontal="left" vertical="center" wrapText="1"/>
    </xf>
    <xf numFmtId="0" fontId="165" fillId="0" borderId="45" applyAlignment="1" pivotButton="0" quotePrefix="0" xfId="0">
      <alignment horizontal="left" vertical="center" wrapText="1"/>
    </xf>
    <xf numFmtId="0" fontId="168" fillId="0" borderId="45" applyAlignment="1" pivotButton="0" quotePrefix="0" xfId="0">
      <alignment horizontal="left" vertical="center" wrapText="1"/>
    </xf>
    <xf numFmtId="0" fontId="171" fillId="0" borderId="45" applyAlignment="1" pivotButton="0" quotePrefix="0" xfId="0">
      <alignment horizontal="left" vertical="center" wrapText="1"/>
    </xf>
    <xf numFmtId="0" fontId="174" fillId="0" borderId="45" applyAlignment="1" pivotButton="0" quotePrefix="0" xfId="0">
      <alignment horizontal="left" vertical="center" wrapText="1"/>
    </xf>
    <xf numFmtId="0" fontId="177" fillId="0" borderId="45" applyAlignment="1" pivotButton="0" quotePrefix="0" xfId="0">
      <alignment horizontal="left" vertical="center" wrapText="1"/>
    </xf>
    <xf numFmtId="0" fontId="180" fillId="0" borderId="45" applyAlignment="1" pivotButton="0" quotePrefix="0" xfId="0">
      <alignment horizontal="left" vertical="center" wrapText="1"/>
    </xf>
    <xf numFmtId="0" fontId="183" fillId="0" borderId="45" applyAlignment="1" pivotButton="0" quotePrefix="0" xfId="0">
      <alignment horizontal="left" vertical="center" wrapText="1"/>
    </xf>
    <xf numFmtId="0" fontId="186" fillId="0" borderId="45" applyAlignment="1" pivotButton="0" quotePrefix="0" xfId="0">
      <alignment horizontal="left" vertical="center" wrapText="1"/>
    </xf>
    <xf numFmtId="0" fontId="189" fillId="0" borderId="45" applyAlignment="1" pivotButton="0" quotePrefix="0" xfId="0">
      <alignment horizontal="left" vertical="center" wrapText="1"/>
    </xf>
    <xf numFmtId="0" fontId="192" fillId="0" borderId="45" applyAlignment="1" pivotButton="0" quotePrefix="0" xfId="0">
      <alignment horizontal="left" vertical="center" wrapText="1"/>
    </xf>
    <xf numFmtId="0" fontId="195" fillId="0" borderId="45" applyAlignment="1" pivotButton="0" quotePrefix="0" xfId="0">
      <alignment horizontal="left" vertical="center" wrapText="1"/>
    </xf>
    <xf numFmtId="0" fontId="198" fillId="0" borderId="45" applyAlignment="1" pivotButton="0" quotePrefix="0" xfId="0">
      <alignment horizontal="left" vertical="center" wrapText="1"/>
    </xf>
    <xf numFmtId="0" fontId="201" fillId="0" borderId="45" applyAlignment="1" pivotButton="0" quotePrefix="0" xfId="0">
      <alignment horizontal="left" vertical="center" wrapText="1"/>
    </xf>
    <xf numFmtId="0" fontId="204" fillId="0" borderId="45" applyAlignment="1" pivotButton="0" quotePrefix="0" xfId="0">
      <alignment horizontal="left" vertical="center" wrapText="1"/>
    </xf>
    <xf numFmtId="0" fontId="207" fillId="0" borderId="45" applyAlignment="1" pivotButton="0" quotePrefix="0" xfId="0">
      <alignment horizontal="left" vertical="center" wrapText="1"/>
    </xf>
    <xf numFmtId="0" fontId="210" fillId="0" borderId="45" applyAlignment="1" pivotButton="0" quotePrefix="0" xfId="0">
      <alignment horizontal="left" vertical="center" wrapText="1"/>
    </xf>
    <xf numFmtId="0" fontId="213" fillId="0" borderId="45" applyAlignment="1" pivotButton="0" quotePrefix="0" xfId="0">
      <alignment horizontal="left" vertical="center" wrapText="1"/>
    </xf>
    <xf numFmtId="0" fontId="216" fillId="0" borderId="45" applyAlignment="1" pivotButton="0" quotePrefix="0" xfId="0">
      <alignment horizontal="left" vertical="center" wrapText="1"/>
    </xf>
    <xf numFmtId="0" fontId="219" fillId="0" borderId="45" applyAlignment="1" pivotButton="0" quotePrefix="0" xfId="0">
      <alignment horizontal="left" vertical="center" wrapText="1"/>
    </xf>
    <xf numFmtId="0" fontId="222" fillId="0" borderId="45" applyAlignment="1" pivotButton="0" quotePrefix="0" xfId="0">
      <alignment horizontal="left" vertical="center" wrapText="1"/>
    </xf>
    <xf numFmtId="0" fontId="225" fillId="0" borderId="45" applyAlignment="1" pivotButton="0" quotePrefix="0" xfId="0">
      <alignment horizontal="left" vertical="center" wrapText="1"/>
    </xf>
    <xf numFmtId="0" fontId="228" fillId="0" borderId="45" applyAlignment="1" pivotButton="0" quotePrefix="0" xfId="0">
      <alignment horizontal="left" vertical="center" wrapText="1"/>
    </xf>
    <xf numFmtId="0" fontId="231" fillId="0" borderId="45" applyAlignment="1" pivotButton="0" quotePrefix="0" xfId="0">
      <alignment horizontal="left" vertical="center" wrapText="1"/>
    </xf>
    <xf numFmtId="0" fontId="234" fillId="0" borderId="45" applyAlignment="1" pivotButton="0" quotePrefix="0" xfId="0">
      <alignment horizontal="left" vertical="center" wrapText="1"/>
    </xf>
    <xf numFmtId="0" fontId="237" fillId="0" borderId="45" applyAlignment="1" pivotButton="0" quotePrefix="0" xfId="0">
      <alignment horizontal="left" vertical="center" wrapText="1"/>
    </xf>
    <xf numFmtId="0" fontId="240" fillId="0" borderId="45" applyAlignment="1" pivotButton="0" quotePrefix="0" xfId="0">
      <alignment horizontal="left" vertical="center" wrapText="1"/>
    </xf>
    <xf numFmtId="0" fontId="243" fillId="0" borderId="45" applyAlignment="1" pivotButton="0" quotePrefix="0" xfId="0">
      <alignment horizontal="left" vertical="center" wrapText="1"/>
    </xf>
    <xf numFmtId="0" fontId="246" fillId="0" borderId="45" applyAlignment="1" pivotButton="0" quotePrefix="0" xfId="0">
      <alignment horizontal="left" vertical="center" wrapText="1"/>
    </xf>
    <xf numFmtId="0" fontId="249" fillId="0" borderId="45" applyAlignment="1" pivotButton="0" quotePrefix="0" xfId="0">
      <alignment horizontal="left" vertical="center" wrapText="1"/>
    </xf>
    <xf numFmtId="0" fontId="252" fillId="0" borderId="45" applyAlignment="1" pivotButton="0" quotePrefix="0" xfId="0">
      <alignment horizontal="left" vertical="center" wrapText="1"/>
    </xf>
    <xf numFmtId="0" fontId="255" fillId="0" borderId="45" applyAlignment="1" pivotButton="0" quotePrefix="0" xfId="0">
      <alignment horizontal="left" vertical="center" wrapText="1"/>
    </xf>
    <xf numFmtId="0" fontId="258" fillId="0" borderId="45" applyAlignment="1" pivotButton="0" quotePrefix="0" xfId="0">
      <alignment horizontal="left" vertical="center" wrapText="1"/>
    </xf>
    <xf numFmtId="0" fontId="261" fillId="0" borderId="45" applyAlignment="1" pivotButton="0" quotePrefix="0" xfId="0">
      <alignment horizontal="left" vertical="center" wrapText="1"/>
    </xf>
    <xf numFmtId="0" fontId="264" fillId="0" borderId="45" applyAlignment="1" pivotButton="0" quotePrefix="0" xfId="0">
      <alignment horizontal="left" vertical="center" wrapText="1"/>
    </xf>
    <xf numFmtId="0" fontId="267" fillId="0" borderId="45" applyAlignment="1" pivotButton="0" quotePrefix="0" xfId="0">
      <alignment horizontal="left" vertical="center" wrapText="1"/>
    </xf>
    <xf numFmtId="0" fontId="270" fillId="0" borderId="45" applyAlignment="1" pivotButton="0" quotePrefix="0" xfId="0">
      <alignment horizontal="left" vertical="center" wrapText="1"/>
    </xf>
    <xf numFmtId="0" fontId="273" fillId="0" borderId="45" applyAlignment="1" pivotButton="0" quotePrefix="0" xfId="0">
      <alignment horizontal="left" vertical="center" wrapText="1"/>
    </xf>
    <xf numFmtId="0" fontId="276" fillId="0" borderId="45" applyAlignment="1" pivotButton="0" quotePrefix="0" xfId="0">
      <alignment horizontal="left" vertical="center" wrapText="1"/>
    </xf>
    <xf numFmtId="0" fontId="279" fillId="0" borderId="45" applyAlignment="1" pivotButton="0" quotePrefix="0" xfId="0">
      <alignment horizontal="left" vertical="center" wrapText="1"/>
    </xf>
    <xf numFmtId="0" fontId="282" fillId="0" borderId="45" applyAlignment="1" pivotButton="0" quotePrefix="0" xfId="0">
      <alignment horizontal="left" vertical="center" wrapText="1"/>
    </xf>
    <xf numFmtId="0" fontId="285" fillId="0" borderId="45" applyAlignment="1" pivotButton="0" quotePrefix="0" xfId="0">
      <alignment horizontal="left" vertical="center" wrapText="1"/>
    </xf>
    <xf numFmtId="0" fontId="288" fillId="0" borderId="45" applyAlignment="1" pivotButton="0" quotePrefix="0" xfId="0">
      <alignment horizontal="left" vertical="center" wrapText="1"/>
    </xf>
    <xf numFmtId="0" fontId="291" fillId="0" borderId="45" applyAlignment="1" pivotButton="0" quotePrefix="0" xfId="0">
      <alignment horizontal="left" vertical="center" wrapText="1"/>
    </xf>
    <xf numFmtId="0" fontId="294" fillId="0" borderId="45" applyAlignment="1" pivotButton="0" quotePrefix="0" xfId="0">
      <alignment horizontal="left" vertical="center" wrapText="1"/>
    </xf>
    <xf numFmtId="0" fontId="297" fillId="0" borderId="45" applyAlignment="1" pivotButton="0" quotePrefix="0" xfId="0">
      <alignment horizontal="left" vertical="center" wrapText="1"/>
    </xf>
    <xf numFmtId="0" fontId="300" fillId="0" borderId="45" applyAlignment="1" pivotButton="0" quotePrefix="0" xfId="0">
      <alignment horizontal="left" vertical="center" wrapText="1"/>
    </xf>
    <xf numFmtId="0" fontId="303" fillId="0" borderId="45" applyAlignment="1" pivotButton="0" quotePrefix="0" xfId="0">
      <alignment horizontal="left" vertical="center" wrapText="1"/>
    </xf>
    <xf numFmtId="0" fontId="306" fillId="0" borderId="45" applyAlignment="1" pivotButton="0" quotePrefix="0" xfId="0">
      <alignment horizontal="left" vertical="center" wrapText="1"/>
    </xf>
    <xf numFmtId="0" fontId="309" fillId="0" borderId="45" applyAlignment="1" pivotButton="0" quotePrefix="0" xfId="0">
      <alignment horizontal="left" vertical="center" wrapText="1"/>
    </xf>
    <xf numFmtId="0" fontId="312" fillId="0" borderId="45" applyAlignment="1" pivotButton="0" quotePrefix="0" xfId="0">
      <alignment horizontal="left" vertical="center" wrapText="1"/>
    </xf>
    <xf numFmtId="0" fontId="315" fillId="0" borderId="45" applyAlignment="1" pivotButton="0" quotePrefix="0" xfId="0">
      <alignment horizontal="left" vertical="center" wrapText="1"/>
    </xf>
    <xf numFmtId="0" fontId="318" fillId="0" borderId="45" applyAlignment="1" pivotButton="0" quotePrefix="0" xfId="0">
      <alignment horizontal="left" vertical="center" wrapText="1"/>
    </xf>
    <xf numFmtId="0" fontId="321" fillId="0" borderId="45" applyAlignment="1" pivotButton="0" quotePrefix="0" xfId="0">
      <alignment horizontal="left" vertical="center" wrapText="1"/>
    </xf>
    <xf numFmtId="0" fontId="324" fillId="0" borderId="45" applyAlignment="1" pivotButton="0" quotePrefix="0" xfId="0">
      <alignment horizontal="left" vertical="center" wrapText="1"/>
    </xf>
    <xf numFmtId="0" fontId="327" fillId="0" borderId="45" applyAlignment="1" pivotButton="0" quotePrefix="0" xfId="0">
      <alignment horizontal="left" vertical="center" wrapText="1"/>
    </xf>
    <xf numFmtId="0" fontId="330" fillId="0" borderId="45" applyAlignment="1" pivotButton="0" quotePrefix="0" xfId="0">
      <alignment horizontal="left" vertical="center" wrapText="1"/>
    </xf>
    <xf numFmtId="0" fontId="333" fillId="0" borderId="45" applyAlignment="1" pivotButton="0" quotePrefix="0" xfId="0">
      <alignment horizontal="left" vertical="center" wrapText="1"/>
    </xf>
    <xf numFmtId="0" fontId="336" fillId="0" borderId="45" applyAlignment="1" pivotButton="0" quotePrefix="0" xfId="0">
      <alignment horizontal="left" vertical="center" wrapText="1"/>
    </xf>
    <xf numFmtId="0" fontId="339" fillId="0" borderId="45" applyAlignment="1" pivotButton="0" quotePrefix="0" xfId="0">
      <alignment horizontal="left" vertical="center" wrapText="1"/>
    </xf>
    <xf numFmtId="0" fontId="342" fillId="0" borderId="45" applyAlignment="1" pivotButton="0" quotePrefix="0" xfId="0">
      <alignment horizontal="left" vertical="center" wrapText="1"/>
    </xf>
    <xf numFmtId="0" fontId="345" fillId="0" borderId="45" applyAlignment="1" pivotButton="0" quotePrefix="0" xfId="0">
      <alignment horizontal="left" vertical="center" wrapText="1"/>
    </xf>
    <xf numFmtId="0" fontId="348" fillId="0" borderId="45" applyAlignment="1" pivotButton="0" quotePrefix="0" xfId="0">
      <alignment horizontal="left" vertical="center" wrapText="1"/>
    </xf>
    <xf numFmtId="0" fontId="351" fillId="0" borderId="45" applyAlignment="1" pivotButton="0" quotePrefix="0" xfId="0">
      <alignment horizontal="left" vertical="center" wrapText="1"/>
    </xf>
    <xf numFmtId="0" fontId="354" fillId="0" borderId="45" applyAlignment="1" pivotButton="0" quotePrefix="0" xfId="0">
      <alignment horizontal="left" vertical="center" wrapText="1"/>
    </xf>
    <xf numFmtId="0" fontId="357" fillId="0" borderId="45" applyAlignment="1" pivotButton="0" quotePrefix="0" xfId="0">
      <alignment horizontal="left" vertical="center" wrapText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5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6" fillId="0" borderId="53" applyAlignment="1" pivotButton="0" quotePrefix="0" xfId="0">
      <alignment horizontal="left" vertical="center" wrapText="1"/>
    </xf>
    <xf numFmtId="0" fontId="69" fillId="0" borderId="53" applyAlignment="1" pivotButton="0" quotePrefix="0" xfId="0">
      <alignment horizontal="left" vertical="center" wrapText="1"/>
    </xf>
    <xf numFmtId="0" fontId="72" fillId="0" borderId="53" applyAlignment="1" pivotButton="0" quotePrefix="0" xfId="0">
      <alignment horizontal="left" vertical="center" wrapText="1"/>
    </xf>
    <xf numFmtId="0" fontId="75" fillId="0" borderId="53" applyAlignment="1" pivotButton="0" quotePrefix="0" xfId="0">
      <alignment horizontal="left" vertical="center" wrapText="1"/>
    </xf>
    <xf numFmtId="0" fontId="78" fillId="0" borderId="53" applyAlignment="1" pivotButton="0" quotePrefix="0" xfId="0">
      <alignment horizontal="left" vertical="center" wrapText="1"/>
    </xf>
    <xf numFmtId="0" fontId="81" fillId="0" borderId="53" applyAlignment="1" pivotButton="0" quotePrefix="0" xfId="0">
      <alignment horizontal="left" vertical="center" wrapText="1"/>
    </xf>
    <xf numFmtId="0" fontId="84" fillId="0" borderId="53" applyAlignment="1" pivotButton="0" quotePrefix="0" xfId="0">
      <alignment horizontal="left" vertical="center" wrapText="1"/>
    </xf>
    <xf numFmtId="0" fontId="87" fillId="0" borderId="53" applyAlignment="1" pivotButton="0" quotePrefix="0" xfId="0">
      <alignment horizontal="left" vertical="center" wrapText="1"/>
    </xf>
    <xf numFmtId="0" fontId="90" fillId="0" borderId="53" applyAlignment="1" pivotButton="0" quotePrefix="0" xfId="0">
      <alignment horizontal="left" vertical="center" wrapText="1"/>
    </xf>
    <xf numFmtId="0" fontId="93" fillId="0" borderId="53" applyAlignment="1" pivotButton="0" quotePrefix="0" xfId="0">
      <alignment horizontal="left" vertical="center" wrapText="1"/>
    </xf>
    <xf numFmtId="0" fontId="96" fillId="0" borderId="53" applyAlignment="1" pivotButton="0" quotePrefix="0" xfId="0">
      <alignment horizontal="left" vertical="center" wrapText="1"/>
    </xf>
    <xf numFmtId="0" fontId="99" fillId="0" borderId="53" applyAlignment="1" pivotButton="0" quotePrefix="0" xfId="0">
      <alignment horizontal="left" vertical="center" wrapText="1"/>
    </xf>
    <xf numFmtId="0" fontId="102" fillId="0" borderId="53" applyAlignment="1" pivotButton="0" quotePrefix="0" xfId="0">
      <alignment horizontal="left" vertical="center" wrapText="1"/>
    </xf>
    <xf numFmtId="0" fontId="105" fillId="0" borderId="53" applyAlignment="1" pivotButton="0" quotePrefix="0" xfId="0">
      <alignment horizontal="left" vertical="center" wrapText="1"/>
    </xf>
    <xf numFmtId="0" fontId="108" fillId="0" borderId="53" applyAlignment="1" pivotButton="0" quotePrefix="0" xfId="0">
      <alignment horizontal="left" vertical="center" wrapText="1"/>
    </xf>
    <xf numFmtId="0" fontId="111" fillId="0" borderId="53" applyAlignment="1" pivotButton="0" quotePrefix="0" xfId="0">
      <alignment horizontal="left" vertical="center" wrapText="1"/>
    </xf>
    <xf numFmtId="0" fontId="114" fillId="0" borderId="53" applyAlignment="1" pivotButton="0" quotePrefix="0" xfId="0">
      <alignment horizontal="left" vertical="center" wrapText="1"/>
    </xf>
    <xf numFmtId="0" fontId="117" fillId="0" borderId="53" applyAlignment="1" pivotButton="0" quotePrefix="0" xfId="0">
      <alignment horizontal="left" vertical="center" wrapText="1"/>
    </xf>
    <xf numFmtId="0" fontId="120" fillId="0" borderId="53" applyAlignment="1" pivotButton="0" quotePrefix="0" xfId="0">
      <alignment horizontal="left" vertical="center" wrapText="1"/>
    </xf>
    <xf numFmtId="0" fontId="123" fillId="0" borderId="53" applyAlignment="1" pivotButton="0" quotePrefix="0" xfId="0">
      <alignment horizontal="left" vertical="center" wrapText="1"/>
    </xf>
    <xf numFmtId="0" fontId="126" fillId="0" borderId="53" applyAlignment="1" pivotButton="0" quotePrefix="0" xfId="0">
      <alignment horizontal="left" vertical="center" wrapText="1"/>
    </xf>
    <xf numFmtId="0" fontId="129" fillId="0" borderId="53" applyAlignment="1" pivotButton="0" quotePrefix="0" xfId="0">
      <alignment horizontal="left" vertical="center" wrapText="1"/>
    </xf>
    <xf numFmtId="0" fontId="132" fillId="0" borderId="53" applyAlignment="1" pivotButton="0" quotePrefix="0" xfId="0">
      <alignment horizontal="left" vertical="center" wrapText="1"/>
    </xf>
    <xf numFmtId="0" fontId="135" fillId="0" borderId="53" applyAlignment="1" pivotButton="0" quotePrefix="0" xfId="0">
      <alignment horizontal="left" vertical="center" wrapText="1"/>
    </xf>
    <xf numFmtId="0" fontId="138" fillId="0" borderId="53" applyAlignment="1" pivotButton="0" quotePrefix="0" xfId="0">
      <alignment horizontal="left" vertical="center" wrapText="1"/>
    </xf>
    <xf numFmtId="0" fontId="141" fillId="0" borderId="53" applyAlignment="1" pivotButton="0" quotePrefix="0" xfId="0">
      <alignment horizontal="left" vertical="center" wrapText="1"/>
    </xf>
    <xf numFmtId="0" fontId="144" fillId="0" borderId="53" applyAlignment="1" pivotButton="0" quotePrefix="0" xfId="0">
      <alignment horizontal="left" vertical="center" wrapText="1"/>
    </xf>
    <xf numFmtId="0" fontId="147" fillId="0" borderId="53" applyAlignment="1" pivotButton="0" quotePrefix="0" xfId="0">
      <alignment horizontal="left" vertical="center" wrapText="1"/>
    </xf>
    <xf numFmtId="0" fontId="150" fillId="0" borderId="53" applyAlignment="1" pivotButton="0" quotePrefix="0" xfId="0">
      <alignment horizontal="left" vertical="center" wrapText="1"/>
    </xf>
    <xf numFmtId="0" fontId="153" fillId="0" borderId="53" applyAlignment="1" pivotButton="0" quotePrefix="0" xfId="0">
      <alignment horizontal="left" vertical="center" wrapText="1"/>
    </xf>
    <xf numFmtId="0" fontId="156" fillId="0" borderId="53" applyAlignment="1" pivotButton="0" quotePrefix="0" xfId="0">
      <alignment horizontal="left" vertical="center" wrapText="1"/>
    </xf>
    <xf numFmtId="0" fontId="159" fillId="0" borderId="53" applyAlignment="1" pivotButton="0" quotePrefix="0" xfId="0">
      <alignment horizontal="left" vertical="center" wrapText="1"/>
    </xf>
    <xf numFmtId="0" fontId="162" fillId="0" borderId="53" applyAlignment="1" pivotButton="0" quotePrefix="0" xfId="0">
      <alignment horizontal="left" vertical="center" wrapText="1"/>
    </xf>
    <xf numFmtId="0" fontId="165" fillId="0" borderId="53" applyAlignment="1" pivotButton="0" quotePrefix="0" xfId="0">
      <alignment horizontal="left" vertical="center" wrapText="1"/>
    </xf>
    <xf numFmtId="0" fontId="168" fillId="0" borderId="53" applyAlignment="1" pivotButton="0" quotePrefix="0" xfId="0">
      <alignment horizontal="left" vertical="center" wrapText="1"/>
    </xf>
    <xf numFmtId="0" fontId="171" fillId="0" borderId="53" applyAlignment="1" pivotButton="0" quotePrefix="0" xfId="0">
      <alignment horizontal="left" vertical="center" wrapText="1"/>
    </xf>
    <xf numFmtId="0" fontId="174" fillId="0" borderId="53" applyAlignment="1" pivotButton="0" quotePrefix="0" xfId="0">
      <alignment horizontal="left" vertical="center" wrapText="1"/>
    </xf>
    <xf numFmtId="0" fontId="177" fillId="0" borderId="53" applyAlignment="1" pivotButton="0" quotePrefix="0" xfId="0">
      <alignment horizontal="left" vertical="center" wrapText="1"/>
    </xf>
    <xf numFmtId="0" fontId="180" fillId="0" borderId="53" applyAlignment="1" pivotButton="0" quotePrefix="0" xfId="0">
      <alignment horizontal="left" vertical="center" wrapText="1"/>
    </xf>
    <xf numFmtId="0" fontId="183" fillId="0" borderId="53" applyAlignment="1" pivotButton="0" quotePrefix="0" xfId="0">
      <alignment horizontal="left" vertical="center" wrapText="1"/>
    </xf>
    <xf numFmtId="0" fontId="186" fillId="0" borderId="53" applyAlignment="1" pivotButton="0" quotePrefix="0" xfId="0">
      <alignment horizontal="left" vertical="center" wrapText="1"/>
    </xf>
    <xf numFmtId="0" fontId="189" fillId="0" borderId="53" applyAlignment="1" pivotButton="0" quotePrefix="0" xfId="0">
      <alignment horizontal="left" vertical="center" wrapText="1"/>
    </xf>
    <xf numFmtId="0" fontId="192" fillId="0" borderId="53" applyAlignment="1" pivotButton="0" quotePrefix="0" xfId="0">
      <alignment horizontal="left" vertical="center" wrapText="1"/>
    </xf>
    <xf numFmtId="0" fontId="195" fillId="0" borderId="53" applyAlignment="1" pivotButton="0" quotePrefix="0" xfId="0">
      <alignment horizontal="left" vertical="center" wrapText="1"/>
    </xf>
    <xf numFmtId="0" fontId="198" fillId="0" borderId="53" applyAlignment="1" pivotButton="0" quotePrefix="0" xfId="0">
      <alignment horizontal="left" vertical="center" wrapText="1"/>
    </xf>
    <xf numFmtId="0" fontId="201" fillId="0" borderId="53" applyAlignment="1" pivotButton="0" quotePrefix="0" xfId="0">
      <alignment horizontal="left" vertical="center" wrapText="1"/>
    </xf>
    <xf numFmtId="0" fontId="204" fillId="0" borderId="53" applyAlignment="1" pivotButton="0" quotePrefix="0" xfId="0">
      <alignment horizontal="left" vertical="center" wrapText="1"/>
    </xf>
    <xf numFmtId="0" fontId="207" fillId="0" borderId="53" applyAlignment="1" pivotButton="0" quotePrefix="0" xfId="0">
      <alignment horizontal="left" vertical="center" wrapText="1"/>
    </xf>
    <xf numFmtId="0" fontId="210" fillId="0" borderId="53" applyAlignment="1" pivotButton="0" quotePrefix="0" xfId="0">
      <alignment horizontal="left" vertical="center" wrapText="1"/>
    </xf>
    <xf numFmtId="0" fontId="213" fillId="0" borderId="53" applyAlignment="1" pivotButton="0" quotePrefix="0" xfId="0">
      <alignment horizontal="left" vertical="center" wrapText="1"/>
    </xf>
    <xf numFmtId="0" fontId="216" fillId="0" borderId="53" applyAlignment="1" pivotButton="0" quotePrefix="0" xfId="0">
      <alignment horizontal="left" vertical="center" wrapText="1"/>
    </xf>
    <xf numFmtId="0" fontId="219" fillId="0" borderId="53" applyAlignment="1" pivotButton="0" quotePrefix="0" xfId="0">
      <alignment horizontal="left" vertical="center" wrapText="1"/>
    </xf>
    <xf numFmtId="0" fontId="222" fillId="0" borderId="53" applyAlignment="1" pivotButton="0" quotePrefix="0" xfId="0">
      <alignment horizontal="left" vertical="center" wrapText="1"/>
    </xf>
    <xf numFmtId="0" fontId="225" fillId="0" borderId="53" applyAlignment="1" pivotButton="0" quotePrefix="0" xfId="0">
      <alignment horizontal="left" vertical="center" wrapText="1"/>
    </xf>
    <xf numFmtId="0" fontId="228" fillId="0" borderId="53" applyAlignment="1" pivotButton="0" quotePrefix="0" xfId="0">
      <alignment horizontal="left" vertical="center" wrapText="1"/>
    </xf>
    <xf numFmtId="0" fontId="231" fillId="0" borderId="53" applyAlignment="1" pivotButton="0" quotePrefix="0" xfId="0">
      <alignment horizontal="left" vertical="center" wrapText="1"/>
    </xf>
    <xf numFmtId="0" fontId="234" fillId="0" borderId="53" applyAlignment="1" pivotButton="0" quotePrefix="0" xfId="0">
      <alignment horizontal="left" vertical="center" wrapText="1"/>
    </xf>
    <xf numFmtId="0" fontId="237" fillId="0" borderId="53" applyAlignment="1" pivotButton="0" quotePrefix="0" xfId="0">
      <alignment horizontal="left" vertical="center" wrapText="1"/>
    </xf>
    <xf numFmtId="0" fontId="240" fillId="0" borderId="53" applyAlignment="1" pivotButton="0" quotePrefix="0" xfId="0">
      <alignment horizontal="left" vertical="center" wrapText="1"/>
    </xf>
    <xf numFmtId="0" fontId="243" fillId="0" borderId="53" applyAlignment="1" pivotButton="0" quotePrefix="0" xfId="0">
      <alignment horizontal="left" vertical="center" wrapText="1"/>
    </xf>
    <xf numFmtId="0" fontId="246" fillId="0" borderId="53" applyAlignment="1" pivotButton="0" quotePrefix="0" xfId="0">
      <alignment horizontal="left" vertical="center" wrapText="1"/>
    </xf>
    <xf numFmtId="0" fontId="249" fillId="0" borderId="53" applyAlignment="1" pivotButton="0" quotePrefix="0" xfId="0">
      <alignment horizontal="left" vertical="center" wrapText="1"/>
    </xf>
    <xf numFmtId="0" fontId="252" fillId="0" borderId="53" applyAlignment="1" pivotButton="0" quotePrefix="0" xfId="0">
      <alignment horizontal="left" vertical="center" wrapText="1"/>
    </xf>
    <xf numFmtId="0" fontId="255" fillId="0" borderId="53" applyAlignment="1" pivotButton="0" quotePrefix="0" xfId="0">
      <alignment horizontal="left" vertical="center" wrapText="1"/>
    </xf>
    <xf numFmtId="0" fontId="258" fillId="0" borderId="53" applyAlignment="1" pivotButton="0" quotePrefix="0" xfId="0">
      <alignment horizontal="left" vertical="center" wrapText="1"/>
    </xf>
    <xf numFmtId="0" fontId="261" fillId="0" borderId="53" applyAlignment="1" pivotButton="0" quotePrefix="0" xfId="0">
      <alignment horizontal="left" vertical="center" wrapText="1"/>
    </xf>
    <xf numFmtId="0" fontId="264" fillId="0" borderId="53" applyAlignment="1" pivotButton="0" quotePrefix="0" xfId="0">
      <alignment horizontal="left" vertical="center" wrapText="1"/>
    </xf>
    <xf numFmtId="0" fontId="267" fillId="0" borderId="53" applyAlignment="1" pivotButton="0" quotePrefix="0" xfId="0">
      <alignment horizontal="left" vertical="center" wrapText="1"/>
    </xf>
    <xf numFmtId="0" fontId="270" fillId="0" borderId="53" applyAlignment="1" pivotButton="0" quotePrefix="0" xfId="0">
      <alignment horizontal="left" vertical="center" wrapText="1"/>
    </xf>
    <xf numFmtId="0" fontId="273" fillId="0" borderId="53" applyAlignment="1" pivotButton="0" quotePrefix="0" xfId="0">
      <alignment horizontal="left" vertical="center" wrapText="1"/>
    </xf>
    <xf numFmtId="0" fontId="276" fillId="0" borderId="53" applyAlignment="1" pivotButton="0" quotePrefix="0" xfId="0">
      <alignment horizontal="left" vertical="center" wrapText="1"/>
    </xf>
    <xf numFmtId="0" fontId="279" fillId="0" borderId="53" applyAlignment="1" pivotButton="0" quotePrefix="0" xfId="0">
      <alignment horizontal="left" vertical="center" wrapText="1"/>
    </xf>
    <xf numFmtId="0" fontId="282" fillId="0" borderId="53" applyAlignment="1" pivotButton="0" quotePrefix="0" xfId="0">
      <alignment horizontal="left" vertical="center" wrapText="1"/>
    </xf>
    <xf numFmtId="0" fontId="285" fillId="0" borderId="53" applyAlignment="1" pivotButton="0" quotePrefix="0" xfId="0">
      <alignment horizontal="left" vertical="center" wrapText="1"/>
    </xf>
    <xf numFmtId="0" fontId="288" fillId="0" borderId="53" applyAlignment="1" pivotButton="0" quotePrefix="0" xfId="0">
      <alignment horizontal="left" vertical="center" wrapText="1"/>
    </xf>
    <xf numFmtId="0" fontId="291" fillId="0" borderId="53" applyAlignment="1" pivotButton="0" quotePrefix="0" xfId="0">
      <alignment horizontal="left" vertical="center" wrapText="1"/>
    </xf>
    <xf numFmtId="0" fontId="294" fillId="0" borderId="53" applyAlignment="1" pivotButton="0" quotePrefix="0" xfId="0">
      <alignment horizontal="left" vertical="center" wrapText="1"/>
    </xf>
    <xf numFmtId="0" fontId="297" fillId="0" borderId="53" applyAlignment="1" pivotButton="0" quotePrefix="0" xfId="0">
      <alignment horizontal="left" vertical="center" wrapText="1"/>
    </xf>
    <xf numFmtId="0" fontId="300" fillId="0" borderId="53" applyAlignment="1" pivotButton="0" quotePrefix="0" xfId="0">
      <alignment horizontal="left" vertical="center" wrapText="1"/>
    </xf>
    <xf numFmtId="0" fontId="303" fillId="0" borderId="53" applyAlignment="1" pivotButton="0" quotePrefix="0" xfId="0">
      <alignment horizontal="left" vertical="center" wrapText="1"/>
    </xf>
    <xf numFmtId="0" fontId="306" fillId="0" borderId="53" applyAlignment="1" pivotButton="0" quotePrefix="0" xfId="0">
      <alignment horizontal="left" vertical="center" wrapText="1"/>
    </xf>
    <xf numFmtId="0" fontId="309" fillId="0" borderId="53" applyAlignment="1" pivotButton="0" quotePrefix="0" xfId="0">
      <alignment horizontal="left" vertical="center" wrapText="1"/>
    </xf>
    <xf numFmtId="0" fontId="312" fillId="0" borderId="53" applyAlignment="1" pivotButton="0" quotePrefix="0" xfId="0">
      <alignment horizontal="left" vertical="center" wrapText="1"/>
    </xf>
    <xf numFmtId="0" fontId="315" fillId="0" borderId="53" applyAlignment="1" pivotButton="0" quotePrefix="0" xfId="0">
      <alignment horizontal="left" vertical="center" wrapText="1"/>
    </xf>
    <xf numFmtId="0" fontId="318" fillId="0" borderId="53" applyAlignment="1" pivotButton="0" quotePrefix="0" xfId="0">
      <alignment horizontal="left" vertical="center" wrapText="1"/>
    </xf>
    <xf numFmtId="0" fontId="321" fillId="0" borderId="53" applyAlignment="1" pivotButton="0" quotePrefix="0" xfId="0">
      <alignment horizontal="left" vertical="center" wrapText="1"/>
    </xf>
    <xf numFmtId="0" fontId="324" fillId="0" borderId="53" applyAlignment="1" pivotButton="0" quotePrefix="0" xfId="0">
      <alignment horizontal="left" vertical="center" wrapText="1"/>
    </xf>
    <xf numFmtId="0" fontId="327" fillId="0" borderId="53" applyAlignment="1" pivotButton="0" quotePrefix="0" xfId="0">
      <alignment horizontal="left" vertical="center" wrapText="1"/>
    </xf>
    <xf numFmtId="0" fontId="330" fillId="0" borderId="53" applyAlignment="1" pivotButton="0" quotePrefix="0" xfId="0">
      <alignment horizontal="left" vertical="center" wrapText="1"/>
    </xf>
    <xf numFmtId="0" fontId="333" fillId="0" borderId="53" applyAlignment="1" pivotButton="0" quotePrefix="0" xfId="0">
      <alignment horizontal="left" vertical="center" wrapText="1"/>
    </xf>
    <xf numFmtId="0" fontId="336" fillId="0" borderId="53" applyAlignment="1" pivotButton="0" quotePrefix="0" xfId="0">
      <alignment horizontal="left" vertical="center" wrapText="1"/>
    </xf>
    <xf numFmtId="0" fontId="339" fillId="0" borderId="53" applyAlignment="1" pivotButton="0" quotePrefix="0" xfId="0">
      <alignment horizontal="left" vertical="center" wrapText="1"/>
    </xf>
    <xf numFmtId="0" fontId="342" fillId="0" borderId="53" applyAlignment="1" pivotButton="0" quotePrefix="0" xfId="0">
      <alignment horizontal="left" vertical="center" wrapText="1"/>
    </xf>
    <xf numFmtId="0" fontId="345" fillId="0" borderId="53" applyAlignment="1" pivotButton="0" quotePrefix="0" xfId="0">
      <alignment horizontal="left" vertical="center" wrapText="1"/>
    </xf>
    <xf numFmtId="0" fontId="348" fillId="0" borderId="53" applyAlignment="1" pivotButton="0" quotePrefix="0" xfId="0">
      <alignment horizontal="left" vertical="center" wrapText="1"/>
    </xf>
    <xf numFmtId="0" fontId="351" fillId="0" borderId="53" applyAlignment="1" pivotButton="0" quotePrefix="0" xfId="0">
      <alignment horizontal="left" vertical="center" wrapText="1"/>
    </xf>
    <xf numFmtId="0" fontId="354" fillId="0" borderId="53" applyAlignment="1" pivotButton="0" quotePrefix="0" xfId="0">
      <alignment horizontal="left" vertical="center" wrapText="1"/>
    </xf>
    <xf numFmtId="0" fontId="357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1" applyProtection="1" pivotButton="0" quotePrefix="0" xfId="0">
      <protection locked="1" hidden="1"/>
    </xf>
    <xf numFmtId="0" fontId="0" fillId="0" borderId="52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0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300"/>
  <sheetViews>
    <sheetView showGridLines="0" tabSelected="1" topLeftCell="A276" zoomScaleNormal="100" zoomScaleSheetLayoutView="100" workbookViewId="0">
      <selection activeCell="AA292" sqref="AA292"/>
    </sheetView>
  </sheetViews>
  <sheetFormatPr baseColWidth="8" defaultColWidth="9.140625" defaultRowHeight="12.75"/>
  <cols>
    <col width="9.140625" customWidth="1" style="465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465" min="18" max="18"/>
    <col width="6.140625" customWidth="1" style="465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465" min="24" max="24"/>
    <col width="11" customWidth="1" style="465" min="25" max="25"/>
    <col width="10" customWidth="1" style="465" min="26" max="26"/>
    <col width="11.5703125" customWidth="1" style="465" min="27" max="27"/>
    <col width="10.42578125" customWidth="1" style="465" min="28" max="28"/>
    <col width="30" customWidth="1" style="465" min="29" max="29"/>
    <col width="11.42578125" bestFit="1" customWidth="1" style="9" min="30" max="30"/>
    <col width="9.140625" customWidth="1" style="9" min="31" max="31"/>
    <col width="8.85546875" customWidth="1" style="9" min="32" max="32"/>
    <col width="13.5703125" customWidth="1" style="465" min="33" max="33"/>
    <col width="9.140625" customWidth="1" style="465" min="34" max="16384"/>
  </cols>
  <sheetData>
    <row r="1" ht="45" customFormat="1" customHeight="1" s="322">
      <c r="A1" s="45" t="n"/>
      <c r="B1" s="45" t="n"/>
      <c r="C1" s="45" t="n"/>
      <c r="D1" s="282" t="inlineStr">
        <is>
          <t xml:space="preserve">  БЛАНК ЗАКАЗА </t>
        </is>
      </c>
      <c r="G1" s="14" t="inlineStr">
        <is>
          <t>ЗПФ</t>
        </is>
      </c>
      <c r="H1" s="282" t="inlineStr">
        <is>
          <t>на отгрузку продукции с ООО Трейд-Сервис с</t>
        </is>
      </c>
      <c r="R1" s="283" t="inlineStr">
        <is>
          <t>28.08.2025</t>
        </is>
      </c>
      <c r="U1" s="15" t="n"/>
      <c r="V1" s="15" t="n"/>
      <c r="W1" s="15" t="n"/>
      <c r="X1" s="15" t="n"/>
      <c r="Y1" s="15" t="n"/>
      <c r="Z1" s="15" t="n"/>
      <c r="AA1" s="15" t="n"/>
      <c r="AB1" s="58" t="n"/>
      <c r="AC1" s="58" t="n"/>
      <c r="AD1" s="58" t="n"/>
      <c r="AE1" s="58" t="n"/>
      <c r="AF1" s="58" t="n"/>
    </row>
    <row r="2" ht="16.5" customFormat="1" customHeight="1" s="322">
      <c r="A2" s="32" t="inlineStr">
        <is>
          <t>бланк создан</t>
        </is>
      </c>
      <c r="B2" s="33" t="inlineStr">
        <is>
          <t>26.08.2025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28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65" t="n"/>
      <c r="R2" s="465" t="n"/>
      <c r="S2" s="465" t="n"/>
      <c r="T2" s="465" t="n"/>
      <c r="U2" s="465" t="n"/>
      <c r="V2" s="465" t="n"/>
      <c r="W2" s="465" t="n"/>
      <c r="X2" s="19" t="n"/>
      <c r="Y2" s="19" t="n"/>
      <c r="Z2" s="19" t="n"/>
      <c r="AA2" s="19" t="n"/>
      <c r="AB2" s="57" t="n"/>
      <c r="AC2" s="57" t="n"/>
      <c r="AD2" s="57" t="n"/>
      <c r="AE2" s="57" t="n"/>
    </row>
    <row r="3" ht="11.25" customFormat="1" customHeight="1" s="322">
      <c r="A3" s="30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465" t="n"/>
      <c r="Q3" s="465" t="n"/>
      <c r="R3" s="465" t="n"/>
      <c r="S3" s="465" t="n"/>
      <c r="T3" s="465" t="n"/>
      <c r="U3" s="465" t="n"/>
      <c r="V3" s="465" t="n"/>
      <c r="W3" s="465" t="n"/>
      <c r="X3" s="19" t="n"/>
      <c r="Y3" s="19" t="n"/>
      <c r="Z3" s="19" t="n"/>
      <c r="AA3" s="19" t="n"/>
      <c r="AB3" s="57" t="n"/>
      <c r="AC3" s="57" t="n"/>
      <c r="AD3" s="57" t="n"/>
      <c r="AE3" s="57" t="n"/>
    </row>
    <row r="4" ht="9" customFormat="1" customHeight="1" s="32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7" t="n"/>
      <c r="AC4" s="57" t="n"/>
      <c r="AD4" s="57" t="n"/>
      <c r="AE4" s="57" t="n"/>
    </row>
    <row r="5" ht="23.45" customFormat="1" customHeight="1" s="322">
      <c r="A5" s="286" t="inlineStr">
        <is>
          <t xml:space="preserve">Ваш контактный телефон и имя: </t>
        </is>
      </c>
      <c r="B5" s="468" t="n"/>
      <c r="C5" s="469" t="n"/>
      <c r="D5" s="287" t="n"/>
      <c r="E5" s="470" t="n"/>
      <c r="F5" s="288" t="inlineStr">
        <is>
          <t>Комментарий к заказу:</t>
        </is>
      </c>
      <c r="G5" s="469" t="n"/>
      <c r="H5" s="287" t="n"/>
      <c r="I5" s="471" t="n"/>
      <c r="J5" s="471" t="n"/>
      <c r="K5" s="471" t="n"/>
      <c r="L5" s="471" t="n"/>
      <c r="M5" s="470" t="n"/>
      <c r="N5" s="72" t="n"/>
      <c r="P5" s="26" t="inlineStr">
        <is>
          <t>Дата загрузки</t>
        </is>
      </c>
      <c r="Q5" s="472" t="n"/>
      <c r="R5" s="473" t="n"/>
      <c r="T5" s="291" t="inlineStr">
        <is>
          <t>Способ доставки (доставка/самовывоз)</t>
        </is>
      </c>
      <c r="U5" s="474" t="n"/>
      <c r="V5" s="475" t="inlineStr">
        <is>
          <t>Доставка</t>
        </is>
      </c>
      <c r="W5" s="473" t="n"/>
      <c r="AB5" s="57" t="n"/>
      <c r="AC5" s="57" t="n"/>
      <c r="AD5" s="57" t="n"/>
      <c r="AE5" s="57" t="n"/>
    </row>
    <row r="6" ht="24" customFormat="1" customHeight="1" s="322">
      <c r="A6" s="286" t="inlineStr">
        <is>
          <t>Адрес доставки:</t>
        </is>
      </c>
      <c r="B6" s="468" t="n"/>
      <c r="C6" s="469" t="n"/>
      <c r="D6" s="294" t="inlineStr">
        <is>
          <t>ГОРНЯК, ТД, ООО, Луганская Народная Респ, Возрождения ул, д. 2А,</t>
        </is>
      </c>
      <c r="E6" s="476" t="n"/>
      <c r="F6" s="476" t="n"/>
      <c r="G6" s="476" t="n"/>
      <c r="H6" s="476" t="n"/>
      <c r="I6" s="476" t="n"/>
      <c r="J6" s="476" t="n"/>
      <c r="K6" s="476" t="n"/>
      <c r="L6" s="476" t="n"/>
      <c r="M6" s="473" t="n"/>
      <c r="N6" s="73" t="n"/>
      <c r="P6" s="26" t="inlineStr">
        <is>
          <t>День недели</t>
        </is>
      </c>
      <c r="Q6" s="295">
        <f>IF(Q5=0," ",CHOOSE(WEEKDAY(Q5,2),"Понедельник","Вторник","Среда","Четверг","Пятница","Суббота","Воскресенье"))</f>
        <v/>
      </c>
      <c r="R6" s="477" t="n"/>
      <c r="T6" s="297" t="inlineStr">
        <is>
          <t>Наименование клиента</t>
        </is>
      </c>
      <c r="U6" s="474" t="n"/>
      <c r="V6" s="478" t="inlineStr">
        <is>
          <t>ОБЩЕСТВО С ОГРАНИЧЕННОЙ ОТВЕТСТВЕННОСТЬЮ "ТОРГОВЫЙ ДОМ "ГОРНЯК"</t>
        </is>
      </c>
      <c r="W6" s="479" t="n"/>
      <c r="AB6" s="57" t="n"/>
      <c r="AC6" s="57" t="n"/>
      <c r="AD6" s="57" t="n"/>
      <c r="AE6" s="57" t="n"/>
    </row>
    <row r="7" hidden="1" ht="21.75" customFormat="1" customHeight="1" s="322">
      <c r="A7" s="61" t="n"/>
      <c r="B7" s="61" t="n"/>
      <c r="C7" s="61" t="n"/>
      <c r="D7" s="480">
        <f>IFERROR(VLOOKUP(DeliveryAddress,Table,3,0),1)</f>
        <v/>
      </c>
      <c r="E7" s="481" t="n"/>
      <c r="F7" s="481" t="n"/>
      <c r="G7" s="481" t="n"/>
      <c r="H7" s="481" t="n"/>
      <c r="I7" s="481" t="n"/>
      <c r="J7" s="481" t="n"/>
      <c r="K7" s="481" t="n"/>
      <c r="L7" s="481" t="n"/>
      <c r="M7" s="482" t="n"/>
      <c r="N7" s="74" t="n"/>
      <c r="P7" s="26" t="n"/>
      <c r="Q7" s="46" t="n"/>
      <c r="R7" s="46" t="n"/>
      <c r="T7" s="465" t="n"/>
      <c r="U7" s="474" t="n"/>
      <c r="V7" s="483" t="n"/>
      <c r="W7" s="484" t="n"/>
      <c r="AB7" s="57" t="n"/>
      <c r="AC7" s="57" t="n"/>
      <c r="AD7" s="57" t="n"/>
      <c r="AE7" s="57" t="n"/>
    </row>
    <row r="8" ht="25.5" customFormat="1" customHeight="1" s="322">
      <c r="A8" s="307" t="inlineStr">
        <is>
          <t>Адрес сдачи груза:</t>
        </is>
      </c>
      <c r="B8" s="485" t="n"/>
      <c r="C8" s="486" t="n"/>
      <c r="D8" s="308" t="n"/>
      <c r="E8" s="487" t="n"/>
      <c r="F8" s="487" t="n"/>
      <c r="G8" s="487" t="n"/>
      <c r="H8" s="487" t="n"/>
      <c r="I8" s="487" t="n"/>
      <c r="J8" s="487" t="n"/>
      <c r="K8" s="487" t="n"/>
      <c r="L8" s="487" t="n"/>
      <c r="M8" s="488" t="n"/>
      <c r="N8" s="75" t="n"/>
      <c r="P8" s="26" t="inlineStr">
        <is>
          <t>Время загрузки</t>
        </is>
      </c>
      <c r="Q8" s="309" t="n"/>
      <c r="R8" s="482" t="n"/>
      <c r="T8" s="465" t="n"/>
      <c r="U8" s="474" t="n"/>
      <c r="V8" s="483" t="n"/>
      <c r="W8" s="484" t="n"/>
      <c r="AB8" s="57" t="n"/>
      <c r="AC8" s="57" t="n"/>
      <c r="AD8" s="57" t="n"/>
      <c r="AE8" s="57" t="n"/>
    </row>
    <row r="9" ht="39.95" customFormat="1" customHeight="1" s="322">
      <c r="A9" s="31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65" t="n"/>
      <c r="C9" s="465" t="n"/>
      <c r="D9" s="311" t="inlineStr"/>
      <c r="E9" s="3" t="n"/>
      <c r="F9" s="31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65" t="n"/>
      <c r="H9" s="31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313" t="n"/>
      <c r="P9" s="29" t="inlineStr">
        <is>
          <t>Дата доставки</t>
        </is>
      </c>
      <c r="Q9" s="489" t="n">
        <v>45911</v>
      </c>
      <c r="R9" s="490" t="n"/>
      <c r="T9" s="465" t="n"/>
      <c r="U9" s="474" t="n"/>
      <c r="V9" s="491" t="n"/>
      <c r="W9" s="492" t="n"/>
      <c r="X9" s="47" t="n"/>
      <c r="Y9" s="47" t="n"/>
      <c r="Z9" s="47" t="n"/>
      <c r="AA9" s="47" t="n"/>
      <c r="AB9" s="57" t="n"/>
      <c r="AC9" s="57" t="n"/>
      <c r="AD9" s="57" t="n"/>
      <c r="AE9" s="57" t="n"/>
    </row>
    <row r="10" ht="26.45" customFormat="1" customHeight="1" s="322">
      <c r="A10" s="31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65" t="n"/>
      <c r="C10" s="465" t="n"/>
      <c r="D10" s="311" t="n"/>
      <c r="E10" s="3" t="n"/>
      <c r="F10" s="31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65" t="n"/>
      <c r="H10" s="315">
        <f>IFERROR(VLOOKUP($D$10,Proxy,2,FALSE),"")</f>
        <v/>
      </c>
      <c r="I10" s="465" t="n"/>
      <c r="J10" s="465" t="n"/>
      <c r="K10" s="465" t="n"/>
      <c r="L10" s="465" t="n"/>
      <c r="M10" s="465" t="n"/>
      <c r="N10" s="315" t="n"/>
      <c r="P10" s="29" t="inlineStr">
        <is>
          <t>Время доставки</t>
        </is>
      </c>
      <c r="Q10" s="316" t="n">
        <v>0.5416666666666666</v>
      </c>
      <c r="R10" s="493" t="n"/>
      <c r="U10" s="26" t="inlineStr">
        <is>
          <t>КОД Аксапты Клиента</t>
        </is>
      </c>
      <c r="V10" s="494" t="inlineStr">
        <is>
          <t>596516</t>
        </is>
      </c>
      <c r="W10" s="479" t="n"/>
      <c r="X10" s="48" t="n"/>
      <c r="Y10" s="48" t="n"/>
      <c r="Z10" s="48" t="n"/>
      <c r="AA10" s="48" t="n"/>
      <c r="AB10" s="57" t="n"/>
      <c r="AC10" s="57" t="n"/>
      <c r="AD10" s="57" t="n"/>
      <c r="AE10" s="57" t="n"/>
    </row>
    <row r="11" ht="15.95" customFormat="1" customHeight="1" s="322">
      <c r="A11" s="31" t="inlineStr">
        <is>
          <t>Справочная информация:</t>
        </is>
      </c>
      <c r="B11" s="28" t="n"/>
      <c r="C11" s="28" t="n"/>
      <c r="D11" s="28" t="n"/>
      <c r="E11" s="28" t="n"/>
      <c r="F11" s="28" t="n"/>
      <c r="G11" s="28" t="n"/>
      <c r="H11" s="28" t="n"/>
      <c r="I11" s="28" t="n"/>
      <c r="J11" s="28" t="n"/>
      <c r="K11" s="28" t="n"/>
      <c r="L11" s="28" t="n"/>
      <c r="M11" s="28" t="n"/>
      <c r="N11" s="28" t="n"/>
      <c r="P11" s="29" t="inlineStr">
        <is>
          <t>Время доставки 2 машины</t>
        </is>
      </c>
      <c r="Q11" s="319" t="n"/>
      <c r="R11" s="473" t="n"/>
      <c r="U11" s="26" t="inlineStr">
        <is>
          <t>Тип заказа</t>
        </is>
      </c>
      <c r="V11" s="320" t="inlineStr">
        <is>
          <t>Основной заказ</t>
        </is>
      </c>
      <c r="W11" s="490" t="n"/>
      <c r="X11" s="49" t="n"/>
      <c r="Y11" s="49" t="n"/>
      <c r="Z11" s="49" t="n"/>
      <c r="AA11" s="49" t="n"/>
      <c r="AB11" s="57" t="n"/>
      <c r="AC11" s="57" t="n"/>
      <c r="AD11" s="57" t="n"/>
      <c r="AE11" s="57" t="n"/>
    </row>
    <row r="12" ht="18.6" customFormat="1" customHeight="1" s="322">
      <c r="A12" s="321" t="inlineStr">
        <is>
          <t>Телефоны для заказов:8(919)022-63-02 E-mail: Zamorozka@abiproduct.ru, Телефон сотрудников склада: 8-980-75-76-203</t>
        </is>
      </c>
      <c r="B12" s="468" t="n"/>
      <c r="C12" s="468" t="n"/>
      <c r="D12" s="468" t="n"/>
      <c r="E12" s="468" t="n"/>
      <c r="F12" s="468" t="n"/>
      <c r="G12" s="468" t="n"/>
      <c r="H12" s="468" t="n"/>
      <c r="I12" s="468" t="n"/>
      <c r="J12" s="468" t="n"/>
      <c r="K12" s="468" t="n"/>
      <c r="L12" s="468" t="n"/>
      <c r="M12" s="469" t="n"/>
      <c r="N12" s="76" t="n"/>
      <c r="P12" s="26" t="inlineStr">
        <is>
          <t>Время доставки 3 машины</t>
        </is>
      </c>
      <c r="Q12" s="309" t="n"/>
      <c r="R12" s="482" t="n"/>
      <c r="S12" s="27" t="n"/>
      <c r="U12" s="26" t="inlineStr"/>
      <c r="V12" s="322" t="n"/>
      <c r="W12" s="465" t="n"/>
      <c r="AB12" s="57" t="n"/>
      <c r="AC12" s="57" t="n"/>
      <c r="AD12" s="57" t="n"/>
      <c r="AE12" s="57" t="n"/>
    </row>
    <row r="13" ht="23.25" customFormat="1" customHeight="1" s="322">
      <c r="A13" s="321" t="inlineStr">
        <is>
          <t>График приема заказов: Заказы принимаются за ДВА дня до отгрузки Пн-Пт: с 9:00 до 14:00, Суб. - Вс. выходной</t>
        </is>
      </c>
      <c r="B13" s="468" t="n"/>
      <c r="C13" s="468" t="n"/>
      <c r="D13" s="468" t="n"/>
      <c r="E13" s="468" t="n"/>
      <c r="F13" s="468" t="n"/>
      <c r="G13" s="468" t="n"/>
      <c r="H13" s="468" t="n"/>
      <c r="I13" s="468" t="n"/>
      <c r="J13" s="468" t="n"/>
      <c r="K13" s="468" t="n"/>
      <c r="L13" s="468" t="n"/>
      <c r="M13" s="469" t="n"/>
      <c r="N13" s="76" t="n"/>
      <c r="O13" s="29" t="n"/>
      <c r="P13" s="29" t="inlineStr">
        <is>
          <t>Время доставки 4 машины</t>
        </is>
      </c>
      <c r="Q13" s="320" t="n"/>
      <c r="R13" s="490" t="n"/>
      <c r="S13" s="27" t="n"/>
      <c r="X13" s="54" t="n"/>
      <c r="Y13" s="54" t="n"/>
      <c r="Z13" s="54" t="n"/>
      <c r="AA13" s="54" t="n"/>
      <c r="AB13" s="57" t="n"/>
      <c r="AC13" s="57" t="n"/>
      <c r="AD13" s="57" t="n"/>
      <c r="AE13" s="57" t="n"/>
    </row>
    <row r="14" ht="18.6" customFormat="1" customHeight="1" s="322">
      <c r="A14" s="321" t="inlineStr">
        <is>
          <t>Телефон менеджера по логистике: 8 (919) 012-30-55 - по вопросам доставки продукции</t>
        </is>
      </c>
      <c r="B14" s="468" t="n"/>
      <c r="C14" s="468" t="n"/>
      <c r="D14" s="468" t="n"/>
      <c r="E14" s="468" t="n"/>
      <c r="F14" s="468" t="n"/>
      <c r="G14" s="468" t="n"/>
      <c r="H14" s="468" t="n"/>
      <c r="I14" s="468" t="n"/>
      <c r="J14" s="468" t="n"/>
      <c r="K14" s="468" t="n"/>
      <c r="L14" s="468" t="n"/>
      <c r="M14" s="469" t="n"/>
      <c r="N14" s="76" t="n"/>
      <c r="X14" s="55" t="n"/>
      <c r="Y14" s="55" t="n"/>
      <c r="Z14" s="55" t="n"/>
      <c r="AA14" s="55" t="n"/>
      <c r="AB14" s="57" t="n"/>
      <c r="AC14" s="57" t="n"/>
      <c r="AD14" s="57" t="n"/>
      <c r="AE14" s="57" t="n"/>
    </row>
    <row r="15" ht="22.5" customFormat="1" customHeight="1" s="322">
      <c r="A15" s="323" t="inlineStr">
        <is>
          <t>Телефон по работе с претензиями/жалобами (WhatSapp): 8 (980) 757-69-93       E-mail: Claims@abiproduct.ru</t>
        </is>
      </c>
      <c r="B15" s="468" t="n"/>
      <c r="C15" s="468" t="n"/>
      <c r="D15" s="468" t="n"/>
      <c r="E15" s="468" t="n"/>
      <c r="F15" s="468" t="n"/>
      <c r="G15" s="468" t="n"/>
      <c r="H15" s="468" t="n"/>
      <c r="I15" s="468" t="n"/>
      <c r="J15" s="468" t="n"/>
      <c r="K15" s="468" t="n"/>
      <c r="L15" s="468" t="n"/>
      <c r="M15" s="469" t="n"/>
      <c r="N15" s="77" t="n"/>
      <c r="P15" s="325" t="inlineStr">
        <is>
          <t>Кликните на продукт, чтобы просмотреть изображение</t>
        </is>
      </c>
      <c r="AB15" s="57" t="n"/>
      <c r="AC15" s="57" t="n"/>
      <c r="AD15" s="57" t="n"/>
      <c r="AE15" s="57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495" t="n"/>
      <c r="Q16" s="495" t="n"/>
      <c r="R16" s="495" t="n"/>
      <c r="S16" s="495" t="n"/>
      <c r="T16" s="495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496" t="inlineStr">
        <is>
          <t>Код единицы продаж</t>
        </is>
      </c>
      <c r="B17" s="496" t="inlineStr">
        <is>
          <t>Код продукта</t>
        </is>
      </c>
      <c r="C17" s="497" t="inlineStr">
        <is>
          <t>Номер варианта</t>
        </is>
      </c>
      <c r="D17" s="496" t="inlineStr">
        <is>
          <t xml:space="preserve">Штрих-код </t>
        </is>
      </c>
      <c r="E17" s="498" t="n"/>
      <c r="F17" s="496" t="inlineStr">
        <is>
          <t>Вес нетто штуки, кг</t>
        </is>
      </c>
      <c r="G17" s="496" t="inlineStr">
        <is>
          <t>Кол-во штук в коробе, шт</t>
        </is>
      </c>
      <c r="H17" s="496" t="inlineStr">
        <is>
          <t>Вес нетто короба, кг</t>
        </is>
      </c>
      <c r="I17" s="496" t="inlineStr">
        <is>
          <t>Вес брутто короба, кг</t>
        </is>
      </c>
      <c r="J17" s="496" t="inlineStr">
        <is>
          <t>Кол-во кор. на паллте, шт</t>
        </is>
      </c>
      <c r="K17" s="496" t="inlineStr">
        <is>
          <t>Коробов в слое</t>
        </is>
      </c>
      <c r="L17" s="496" t="inlineStr">
        <is>
          <t>Квант заказа</t>
        </is>
      </c>
      <c r="M17" s="496" t="inlineStr">
        <is>
          <t>Завод</t>
        </is>
      </c>
      <c r="N17" s="496" t="inlineStr">
        <is>
          <t>Внешний код номенклатуры</t>
        </is>
      </c>
      <c r="O17" s="496" t="inlineStr">
        <is>
          <t>Срок годности, сут.</t>
        </is>
      </c>
      <c r="P17" s="496" t="inlineStr">
        <is>
          <t>Наименование</t>
        </is>
      </c>
      <c r="Q17" s="499" t="n"/>
      <c r="R17" s="499" t="n"/>
      <c r="S17" s="499" t="n"/>
      <c r="T17" s="498" t="n"/>
      <c r="U17" s="81" t="inlineStr">
        <is>
          <t>Доступно к отгрузке</t>
        </is>
      </c>
      <c r="V17" s="469" t="n"/>
      <c r="W17" s="496" t="inlineStr">
        <is>
          <t>Ед. изм.</t>
        </is>
      </c>
      <c r="X17" s="496" t="inlineStr">
        <is>
          <t>Заказ</t>
        </is>
      </c>
      <c r="Y17" s="500" t="inlineStr">
        <is>
          <t>Заказ с округлением до короба</t>
        </is>
      </c>
      <c r="Z17" s="501" t="inlineStr">
        <is>
          <t>Объём заказа, м3</t>
        </is>
      </c>
      <c r="AA17" s="502" t="inlineStr">
        <is>
          <t>Примечание по продуктку</t>
        </is>
      </c>
      <c r="AB17" s="502" t="inlineStr">
        <is>
          <t>Признак "НОВИНКА"</t>
        </is>
      </c>
      <c r="AC17" s="502" t="inlineStr">
        <is>
          <t>Декларация/Сертификат</t>
        </is>
      </c>
      <c r="AD17" s="502" t="inlineStr">
        <is>
          <t>Для формул</t>
        </is>
      </c>
      <c r="AE17" s="503" t="n"/>
      <c r="AF17" s="504" t="n"/>
      <c r="AG17" s="80" t="n"/>
      <c r="BD17" s="79" t="inlineStr">
        <is>
          <t>Вид продукции</t>
        </is>
      </c>
    </row>
    <row r="18" ht="14.25" customHeight="1">
      <c r="A18" s="505" t="n"/>
      <c r="B18" s="505" t="n"/>
      <c r="C18" s="505" t="n"/>
      <c r="D18" s="506" t="n"/>
      <c r="E18" s="507" t="n"/>
      <c r="F18" s="505" t="n"/>
      <c r="G18" s="505" t="n"/>
      <c r="H18" s="505" t="n"/>
      <c r="I18" s="505" t="n"/>
      <c r="J18" s="505" t="n"/>
      <c r="K18" s="505" t="n"/>
      <c r="L18" s="505" t="n"/>
      <c r="M18" s="505" t="n"/>
      <c r="N18" s="505" t="n"/>
      <c r="O18" s="505" t="n"/>
      <c r="P18" s="506" t="n"/>
      <c r="Q18" s="508" t="n"/>
      <c r="R18" s="508" t="n"/>
      <c r="S18" s="508" t="n"/>
      <c r="T18" s="507" t="n"/>
      <c r="U18" s="81" t="inlineStr">
        <is>
          <t>начиная с</t>
        </is>
      </c>
      <c r="V18" s="81" t="inlineStr">
        <is>
          <t>до</t>
        </is>
      </c>
      <c r="W18" s="505" t="n"/>
      <c r="X18" s="505" t="n"/>
      <c r="Y18" s="509" t="n"/>
      <c r="Z18" s="510" t="n"/>
      <c r="AA18" s="511" t="n"/>
      <c r="AB18" s="511" t="n"/>
      <c r="AC18" s="511" t="n"/>
      <c r="AD18" s="512" t="n"/>
      <c r="AE18" s="513" t="n"/>
      <c r="AF18" s="514" t="n"/>
      <c r="AG18" s="80" t="n"/>
      <c r="BD18" s="79" t="n"/>
    </row>
    <row r="19" ht="27.75" customHeight="1">
      <c r="A19" s="350" t="inlineStr">
        <is>
          <t>Ядрена копоть</t>
        </is>
      </c>
      <c r="B19" s="515" t="n"/>
      <c r="C19" s="515" t="n"/>
      <c r="D19" s="515" t="n"/>
      <c r="E19" s="515" t="n"/>
      <c r="F19" s="515" t="n"/>
      <c r="G19" s="515" t="n"/>
      <c r="H19" s="515" t="n"/>
      <c r="I19" s="515" t="n"/>
      <c r="J19" s="515" t="n"/>
      <c r="K19" s="515" t="n"/>
      <c r="L19" s="515" t="n"/>
      <c r="M19" s="515" t="n"/>
      <c r="N19" s="515" t="n"/>
      <c r="O19" s="515" t="n"/>
      <c r="P19" s="515" t="n"/>
      <c r="Q19" s="515" t="n"/>
      <c r="R19" s="515" t="n"/>
      <c r="S19" s="515" t="n"/>
      <c r="T19" s="515" t="n"/>
      <c r="U19" s="515" t="n"/>
      <c r="V19" s="515" t="n"/>
      <c r="W19" s="515" t="n"/>
      <c r="X19" s="515" t="n"/>
      <c r="Y19" s="515" t="n"/>
      <c r="Z19" s="515" t="n"/>
      <c r="AA19" s="52" t="n"/>
      <c r="AB19" s="52" t="n"/>
      <c r="AC19" s="52" t="n"/>
    </row>
    <row r="20" ht="16.5" customHeight="1">
      <c r="A20" s="351" t="inlineStr">
        <is>
          <t>Ядрена копоть</t>
        </is>
      </c>
      <c r="B20" s="465" t="n"/>
      <c r="C20" s="465" t="n"/>
      <c r="D20" s="465" t="n"/>
      <c r="E20" s="465" t="n"/>
      <c r="F20" s="465" t="n"/>
      <c r="G20" s="465" t="n"/>
      <c r="H20" s="465" t="n"/>
      <c r="I20" s="465" t="n"/>
      <c r="J20" s="465" t="n"/>
      <c r="K20" s="465" t="n"/>
      <c r="L20" s="465" t="n"/>
      <c r="M20" s="465" t="n"/>
      <c r="N20" s="465" t="n"/>
      <c r="O20" s="465" t="n"/>
      <c r="P20" s="465" t="n"/>
      <c r="Q20" s="465" t="n"/>
      <c r="R20" s="465" t="n"/>
      <c r="S20" s="465" t="n"/>
      <c r="T20" s="465" t="n"/>
      <c r="U20" s="465" t="n"/>
      <c r="V20" s="465" t="n"/>
      <c r="W20" s="465" t="n"/>
      <c r="X20" s="465" t="n"/>
      <c r="Y20" s="465" t="n"/>
      <c r="Z20" s="465" t="n"/>
      <c r="AA20" s="351" t="n"/>
      <c r="AB20" s="351" t="n"/>
      <c r="AC20" s="351" t="n"/>
    </row>
    <row r="21" ht="14.25" customHeight="1">
      <c r="A21" s="352" t="inlineStr">
        <is>
          <t>Пельмени</t>
        </is>
      </c>
      <c r="B21" s="465" t="n"/>
      <c r="C21" s="465" t="n"/>
      <c r="D21" s="465" t="n"/>
      <c r="E21" s="465" t="n"/>
      <c r="F21" s="465" t="n"/>
      <c r="G21" s="465" t="n"/>
      <c r="H21" s="465" t="n"/>
      <c r="I21" s="465" t="n"/>
      <c r="J21" s="465" t="n"/>
      <c r="K21" s="465" t="n"/>
      <c r="L21" s="465" t="n"/>
      <c r="M21" s="465" t="n"/>
      <c r="N21" s="465" t="n"/>
      <c r="O21" s="465" t="n"/>
      <c r="P21" s="465" t="n"/>
      <c r="Q21" s="465" t="n"/>
      <c r="R21" s="465" t="n"/>
      <c r="S21" s="465" t="n"/>
      <c r="T21" s="465" t="n"/>
      <c r="U21" s="465" t="n"/>
      <c r="V21" s="465" t="n"/>
      <c r="W21" s="465" t="n"/>
      <c r="X21" s="465" t="n"/>
      <c r="Y21" s="465" t="n"/>
      <c r="Z21" s="465" t="n"/>
      <c r="AA21" s="352" t="n"/>
      <c r="AB21" s="352" t="n"/>
      <c r="AC21" s="352" t="n"/>
    </row>
    <row r="22" ht="27" customHeight="1">
      <c r="A22" s="60" t="inlineStr">
        <is>
          <t>SU002224</t>
        </is>
      </c>
      <c r="B22" s="60" t="inlineStr">
        <is>
          <t>P002928</t>
        </is>
      </c>
      <c r="C22" s="34" t="n">
        <v>4301070899</v>
      </c>
      <c r="D22" s="353" t="n">
        <v>4607111035752</v>
      </c>
      <c r="E22" s="477" t="n"/>
      <c r="F22" s="516" t="n">
        <v>0.43</v>
      </c>
      <c r="G22" s="35" t="n">
        <v>16</v>
      </c>
      <c r="H22" s="516" t="n">
        <v>6.88</v>
      </c>
      <c r="I22" s="516" t="n">
        <v>7.254</v>
      </c>
      <c r="J22" s="35" t="n">
        <v>84</v>
      </c>
      <c r="K22" s="35" t="inlineStr">
        <is>
          <t>12</t>
        </is>
      </c>
      <c r="L22" s="35" t="inlineStr">
        <is>
          <t>Короб, мин. 1</t>
        </is>
      </c>
      <c r="M22" s="36" t="inlineStr">
        <is>
          <t>МГ</t>
        </is>
      </c>
      <c r="N22" s="36" t="n"/>
      <c r="O22" s="35" t="n">
        <v>180</v>
      </c>
      <c r="P22" s="517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/>
      </c>
      <c r="Q22" s="518" t="n"/>
      <c r="R22" s="518" t="n"/>
      <c r="S22" s="518" t="n"/>
      <c r="T22" s="519" t="n"/>
      <c r="U22" s="37" t="inlineStr"/>
      <c r="V22" s="37" t="inlineStr"/>
      <c r="W22" s="38" t="inlineStr">
        <is>
          <t>кор</t>
        </is>
      </c>
      <c r="X22" s="520" t="n">
        <v>0</v>
      </c>
      <c r="Y22" s="521">
        <f>IFERROR(IF(X22="","",X22),"")</f>
        <v/>
      </c>
      <c r="Z22" s="39">
        <f>IFERROR(IF(X22="","",X22*0.0155),"")</f>
        <v/>
      </c>
      <c r="AA22" s="65" t="inlineStr"/>
      <c r="AB22" s="66" t="inlineStr"/>
      <c r="AC22" s="84" t="inlineStr">
        <is>
          <t>ЕАЭС N RU Д-RU.РА01.В.80841/20</t>
        </is>
      </c>
      <c r="AG22" s="78" t="n"/>
      <c r="AJ22" s="82" t="inlineStr">
        <is>
          <t>Короб</t>
        </is>
      </c>
      <c r="AK22" s="82" t="n">
        <v>1</v>
      </c>
      <c r="BB22" s="85" t="inlineStr">
        <is>
          <t>ЗПФ</t>
        </is>
      </c>
      <c r="BM22" s="78">
        <f>IFERROR(X22*I22,"0")</f>
        <v/>
      </c>
      <c r="BN22" s="78">
        <f>IFERROR(Y22*I22,"0")</f>
        <v/>
      </c>
      <c r="BO22" s="78">
        <f>IFERROR(X22/J22,"0")</f>
        <v/>
      </c>
      <c r="BP22" s="78">
        <f>IFERROR(Y22/J22,"0")</f>
        <v/>
      </c>
    </row>
    <row r="23">
      <c r="A23" s="361" t="n"/>
      <c r="B23" s="465" t="n"/>
      <c r="C23" s="465" t="n"/>
      <c r="D23" s="465" t="n"/>
      <c r="E23" s="465" t="n"/>
      <c r="F23" s="465" t="n"/>
      <c r="G23" s="465" t="n"/>
      <c r="H23" s="465" t="n"/>
      <c r="I23" s="465" t="n"/>
      <c r="J23" s="465" t="n"/>
      <c r="K23" s="465" t="n"/>
      <c r="L23" s="465" t="n"/>
      <c r="M23" s="465" t="n"/>
      <c r="N23" s="465" t="n"/>
      <c r="O23" s="522" t="n"/>
      <c r="P23" s="523" t="inlineStr">
        <is>
          <t>Итого</t>
        </is>
      </c>
      <c r="Q23" s="485" t="n"/>
      <c r="R23" s="485" t="n"/>
      <c r="S23" s="485" t="n"/>
      <c r="T23" s="485" t="n"/>
      <c r="U23" s="485" t="n"/>
      <c r="V23" s="486" t="n"/>
      <c r="W23" s="40" t="inlineStr">
        <is>
          <t>кор</t>
        </is>
      </c>
      <c r="X23" s="524">
        <f>IFERROR(SUM(X22:X22),"0")</f>
        <v/>
      </c>
      <c r="Y23" s="524">
        <f>IFERROR(SUM(Y22:Y22),"0")</f>
        <v/>
      </c>
      <c r="Z23" s="524">
        <f>IFERROR(IF(Z22="",0,Z22),"0")</f>
        <v/>
      </c>
      <c r="AA23" s="525" t="n"/>
      <c r="AB23" s="525" t="n"/>
      <c r="AC23" s="525" t="n"/>
    </row>
    <row r="24">
      <c r="A24" s="465" t="n"/>
      <c r="B24" s="465" t="n"/>
      <c r="C24" s="465" t="n"/>
      <c r="D24" s="465" t="n"/>
      <c r="E24" s="465" t="n"/>
      <c r="F24" s="465" t="n"/>
      <c r="G24" s="465" t="n"/>
      <c r="H24" s="465" t="n"/>
      <c r="I24" s="465" t="n"/>
      <c r="J24" s="465" t="n"/>
      <c r="K24" s="465" t="n"/>
      <c r="L24" s="465" t="n"/>
      <c r="M24" s="465" t="n"/>
      <c r="N24" s="465" t="n"/>
      <c r="O24" s="522" t="n"/>
      <c r="P24" s="523" t="inlineStr">
        <is>
          <t>Итого</t>
        </is>
      </c>
      <c r="Q24" s="485" t="n"/>
      <c r="R24" s="485" t="n"/>
      <c r="S24" s="485" t="n"/>
      <c r="T24" s="485" t="n"/>
      <c r="U24" s="485" t="n"/>
      <c r="V24" s="486" t="n"/>
      <c r="W24" s="40" t="inlineStr">
        <is>
          <t>кг</t>
        </is>
      </c>
      <c r="X24" s="524">
        <f>IFERROR(SUMPRODUCT(X22:X22*H22:H22),"0")</f>
        <v/>
      </c>
      <c r="Y24" s="524">
        <f>IFERROR(SUMPRODUCT(Y22:Y22*H22:H22),"0")</f>
        <v/>
      </c>
      <c r="Z24" s="40" t="n"/>
      <c r="AA24" s="525" t="n"/>
      <c r="AB24" s="525" t="n"/>
      <c r="AC24" s="525" t="n"/>
    </row>
    <row r="25" ht="27.75" customHeight="1">
      <c r="A25" s="350" t="inlineStr">
        <is>
          <t>Горячая штучка</t>
        </is>
      </c>
      <c r="B25" s="515" t="n"/>
      <c r="C25" s="515" t="n"/>
      <c r="D25" s="515" t="n"/>
      <c r="E25" s="515" t="n"/>
      <c r="F25" s="515" t="n"/>
      <c r="G25" s="515" t="n"/>
      <c r="H25" s="515" t="n"/>
      <c r="I25" s="515" t="n"/>
      <c r="J25" s="515" t="n"/>
      <c r="K25" s="515" t="n"/>
      <c r="L25" s="515" t="n"/>
      <c r="M25" s="515" t="n"/>
      <c r="N25" s="515" t="n"/>
      <c r="O25" s="515" t="n"/>
      <c r="P25" s="515" t="n"/>
      <c r="Q25" s="515" t="n"/>
      <c r="R25" s="515" t="n"/>
      <c r="S25" s="515" t="n"/>
      <c r="T25" s="515" t="n"/>
      <c r="U25" s="515" t="n"/>
      <c r="V25" s="515" t="n"/>
      <c r="W25" s="515" t="n"/>
      <c r="X25" s="515" t="n"/>
      <c r="Y25" s="515" t="n"/>
      <c r="Z25" s="515" t="n"/>
      <c r="AA25" s="52" t="n"/>
      <c r="AB25" s="52" t="n"/>
      <c r="AC25" s="52" t="n"/>
    </row>
    <row r="26" ht="16.5" customHeight="1">
      <c r="A26" s="351" t="inlineStr">
        <is>
          <t>Наггетсы ГШ</t>
        </is>
      </c>
      <c r="B26" s="465" t="n"/>
      <c r="C26" s="465" t="n"/>
      <c r="D26" s="465" t="n"/>
      <c r="E26" s="465" t="n"/>
      <c r="F26" s="465" t="n"/>
      <c r="G26" s="465" t="n"/>
      <c r="H26" s="465" t="n"/>
      <c r="I26" s="465" t="n"/>
      <c r="J26" s="465" t="n"/>
      <c r="K26" s="465" t="n"/>
      <c r="L26" s="465" t="n"/>
      <c r="M26" s="465" t="n"/>
      <c r="N26" s="465" t="n"/>
      <c r="O26" s="465" t="n"/>
      <c r="P26" s="465" t="n"/>
      <c r="Q26" s="465" t="n"/>
      <c r="R26" s="465" t="n"/>
      <c r="S26" s="465" t="n"/>
      <c r="T26" s="465" t="n"/>
      <c r="U26" s="465" t="n"/>
      <c r="V26" s="465" t="n"/>
      <c r="W26" s="465" t="n"/>
      <c r="X26" s="465" t="n"/>
      <c r="Y26" s="465" t="n"/>
      <c r="Z26" s="465" t="n"/>
      <c r="AA26" s="351" t="n"/>
      <c r="AB26" s="351" t="n"/>
      <c r="AC26" s="351" t="n"/>
    </row>
    <row r="27" ht="14.25" customHeight="1">
      <c r="A27" s="352" t="inlineStr">
        <is>
          <t>Наггетсы</t>
        </is>
      </c>
      <c r="B27" s="465" t="n"/>
      <c r="C27" s="465" t="n"/>
      <c r="D27" s="465" t="n"/>
      <c r="E27" s="465" t="n"/>
      <c r="F27" s="465" t="n"/>
      <c r="G27" s="465" t="n"/>
      <c r="H27" s="465" t="n"/>
      <c r="I27" s="465" t="n"/>
      <c r="J27" s="465" t="n"/>
      <c r="K27" s="465" t="n"/>
      <c r="L27" s="465" t="n"/>
      <c r="M27" s="465" t="n"/>
      <c r="N27" s="465" t="n"/>
      <c r="O27" s="465" t="n"/>
      <c r="P27" s="465" t="n"/>
      <c r="Q27" s="465" t="n"/>
      <c r="R27" s="465" t="n"/>
      <c r="S27" s="465" t="n"/>
      <c r="T27" s="465" t="n"/>
      <c r="U27" s="465" t="n"/>
      <c r="V27" s="465" t="n"/>
      <c r="W27" s="465" t="n"/>
      <c r="X27" s="465" t="n"/>
      <c r="Y27" s="465" t="n"/>
      <c r="Z27" s="465" t="n"/>
      <c r="AA27" s="352" t="n"/>
      <c r="AB27" s="352" t="n"/>
      <c r="AC27" s="352" t="n"/>
    </row>
    <row r="28" ht="27" customHeight="1">
      <c r="A28" s="60" t="inlineStr">
        <is>
          <t>SU003598</t>
        </is>
      </c>
      <c r="B28" s="60" t="inlineStr">
        <is>
          <t>P004602</t>
        </is>
      </c>
      <c r="C28" s="34" t="n">
        <v>4301132190</v>
      </c>
      <c r="D28" s="353" t="n">
        <v>4607111036537</v>
      </c>
      <c r="E28" s="477" t="n"/>
      <c r="F28" s="516" t="n">
        <v>0.25</v>
      </c>
      <c r="G28" s="35" t="n">
        <v>6</v>
      </c>
      <c r="H28" s="516" t="n">
        <v>1.5</v>
      </c>
      <c r="I28" s="516" t="n">
        <v>1.9218</v>
      </c>
      <c r="J28" s="35" t="n">
        <v>140</v>
      </c>
      <c r="K28" s="35" t="inlineStr">
        <is>
          <t>14</t>
        </is>
      </c>
      <c r="L28" s="35" t="inlineStr">
        <is>
          <t>Короб, мин. 1</t>
        </is>
      </c>
      <c r="M28" s="36" t="inlineStr">
        <is>
          <t>МГ</t>
        </is>
      </c>
      <c r="N28" s="36" t="n"/>
      <c r="O28" s="35" t="n">
        <v>365</v>
      </c>
      <c r="P28" s="526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/>
      </c>
      <c r="Q28" s="518" t="n"/>
      <c r="R28" s="518" t="n"/>
      <c r="S28" s="518" t="n"/>
      <c r="T28" s="519" t="n"/>
      <c r="U28" s="37" t="inlineStr"/>
      <c r="V28" s="37" t="inlineStr"/>
      <c r="W28" s="38" t="inlineStr">
        <is>
          <t>кор</t>
        </is>
      </c>
      <c r="X28" s="520" t="n">
        <v>0</v>
      </c>
      <c r="Y28" s="521">
        <f>IFERROR(IF(X28="","",X28),"")</f>
        <v/>
      </c>
      <c r="Z28" s="39">
        <f>IFERROR(IF(X28="","",X28*0.00941),"")</f>
        <v/>
      </c>
      <c r="AA28" s="65" t="inlineStr"/>
      <c r="AB28" s="66" t="inlineStr"/>
      <c r="AC28" s="86" t="inlineStr">
        <is>
          <t>ЕАЭС N RU Д-RU.РА10.В.22386/23</t>
        </is>
      </c>
      <c r="AG28" s="78" t="n"/>
      <c r="AJ28" s="82" t="inlineStr">
        <is>
          <t>Короб</t>
        </is>
      </c>
      <c r="AK28" s="82" t="n">
        <v>1</v>
      </c>
      <c r="BB28" s="87" t="inlineStr">
        <is>
          <t>ПГП</t>
        </is>
      </c>
      <c r="BM28" s="78">
        <f>IFERROR(X28*I28,"0")</f>
        <v/>
      </c>
      <c r="BN28" s="78">
        <f>IFERROR(Y28*I28,"0")</f>
        <v/>
      </c>
      <c r="BO28" s="78">
        <f>IFERROR(X28/J28,"0")</f>
        <v/>
      </c>
      <c r="BP28" s="78">
        <f>IFERROR(Y28/J28,"0")</f>
        <v/>
      </c>
    </row>
    <row r="29" ht="27" customHeight="1">
      <c r="A29" s="60" t="inlineStr">
        <is>
          <t>SU003600</t>
        </is>
      </c>
      <c r="B29" s="60" t="inlineStr">
        <is>
          <t>P004600</t>
        </is>
      </c>
      <c r="C29" s="34" t="n">
        <v>4301132188</v>
      </c>
      <c r="D29" s="353" t="n">
        <v>4607111036605</v>
      </c>
      <c r="E29" s="477" t="n"/>
      <c r="F29" s="516" t="n">
        <v>0.25</v>
      </c>
      <c r="G29" s="35" t="n">
        <v>6</v>
      </c>
      <c r="H29" s="516" t="n">
        <v>1.5</v>
      </c>
      <c r="I29" s="516" t="n">
        <v>1.9218</v>
      </c>
      <c r="J29" s="35" t="n">
        <v>140</v>
      </c>
      <c r="K29" s="35" t="inlineStr">
        <is>
          <t>14</t>
        </is>
      </c>
      <c r="L29" s="35" t="inlineStr">
        <is>
          <t>Короб, мин. 1</t>
        </is>
      </c>
      <c r="M29" s="36" t="inlineStr">
        <is>
          <t>МГ</t>
        </is>
      </c>
      <c r="N29" s="36" t="n"/>
      <c r="O29" s="35" t="n">
        <v>365</v>
      </c>
      <c r="P29" s="527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/>
      </c>
      <c r="Q29" s="518" t="n"/>
      <c r="R29" s="518" t="n"/>
      <c r="S29" s="518" t="n"/>
      <c r="T29" s="519" t="n"/>
      <c r="U29" s="37" t="inlineStr"/>
      <c r="V29" s="37" t="inlineStr"/>
      <c r="W29" s="38" t="inlineStr">
        <is>
          <t>кор</t>
        </is>
      </c>
      <c r="X29" s="520" t="n">
        <v>0</v>
      </c>
      <c r="Y29" s="521">
        <f>IFERROR(IF(X29="","",X29),"")</f>
        <v/>
      </c>
      <c r="Z29" s="39">
        <f>IFERROR(IF(X29="","",X29*0.00941),"")</f>
        <v/>
      </c>
      <c r="AA29" s="65" t="inlineStr"/>
      <c r="AB29" s="66" t="inlineStr"/>
      <c r="AC29" s="88" t="inlineStr">
        <is>
          <t>ЕАЭС N RU Д-RU.РА10.В.22386/23</t>
        </is>
      </c>
      <c r="AG29" s="78" t="n"/>
      <c r="AJ29" s="82" t="inlineStr">
        <is>
          <t>Короб</t>
        </is>
      </c>
      <c r="AK29" s="82" t="n">
        <v>1</v>
      </c>
      <c r="BB29" s="89" t="inlineStr">
        <is>
          <t>ПГП</t>
        </is>
      </c>
      <c r="BM29" s="78">
        <f>IFERROR(X29*I29,"0")</f>
        <v/>
      </c>
      <c r="BN29" s="78">
        <f>IFERROR(Y29*I29,"0")</f>
        <v/>
      </c>
      <c r="BO29" s="78">
        <f>IFERROR(X29/J29,"0")</f>
        <v/>
      </c>
      <c r="BP29" s="78">
        <f>IFERROR(Y29/J29,"0")</f>
        <v/>
      </c>
    </row>
    <row r="30">
      <c r="A30" s="361" t="n"/>
      <c r="B30" s="465" t="n"/>
      <c r="C30" s="465" t="n"/>
      <c r="D30" s="465" t="n"/>
      <c r="E30" s="465" t="n"/>
      <c r="F30" s="465" t="n"/>
      <c r="G30" s="465" t="n"/>
      <c r="H30" s="465" t="n"/>
      <c r="I30" s="465" t="n"/>
      <c r="J30" s="465" t="n"/>
      <c r="K30" s="465" t="n"/>
      <c r="L30" s="465" t="n"/>
      <c r="M30" s="465" t="n"/>
      <c r="N30" s="465" t="n"/>
      <c r="O30" s="522" t="n"/>
      <c r="P30" s="523" t="inlineStr">
        <is>
          <t>Итого</t>
        </is>
      </c>
      <c r="Q30" s="485" t="n"/>
      <c r="R30" s="485" t="n"/>
      <c r="S30" s="485" t="n"/>
      <c r="T30" s="485" t="n"/>
      <c r="U30" s="485" t="n"/>
      <c r="V30" s="486" t="n"/>
      <c r="W30" s="40" t="inlineStr">
        <is>
          <t>кор</t>
        </is>
      </c>
      <c r="X30" s="524">
        <f>IFERROR(SUM(X28:X29),"0")</f>
        <v/>
      </c>
      <c r="Y30" s="524">
        <f>IFERROR(SUM(Y28:Y29),"0")</f>
        <v/>
      </c>
      <c r="Z30" s="524">
        <f>IFERROR(IF(Z28="",0,Z28),"0")+IFERROR(IF(Z29="",0,Z29),"0")</f>
        <v/>
      </c>
      <c r="AA30" s="525" t="n"/>
      <c r="AB30" s="525" t="n"/>
      <c r="AC30" s="525" t="n"/>
    </row>
    <row r="31">
      <c r="A31" s="465" t="n"/>
      <c r="B31" s="465" t="n"/>
      <c r="C31" s="465" t="n"/>
      <c r="D31" s="465" t="n"/>
      <c r="E31" s="465" t="n"/>
      <c r="F31" s="465" t="n"/>
      <c r="G31" s="465" t="n"/>
      <c r="H31" s="465" t="n"/>
      <c r="I31" s="465" t="n"/>
      <c r="J31" s="465" t="n"/>
      <c r="K31" s="465" t="n"/>
      <c r="L31" s="465" t="n"/>
      <c r="M31" s="465" t="n"/>
      <c r="N31" s="465" t="n"/>
      <c r="O31" s="522" t="n"/>
      <c r="P31" s="523" t="inlineStr">
        <is>
          <t>Итого</t>
        </is>
      </c>
      <c r="Q31" s="485" t="n"/>
      <c r="R31" s="485" t="n"/>
      <c r="S31" s="485" t="n"/>
      <c r="T31" s="485" t="n"/>
      <c r="U31" s="485" t="n"/>
      <c r="V31" s="486" t="n"/>
      <c r="W31" s="40" t="inlineStr">
        <is>
          <t>кг</t>
        </is>
      </c>
      <c r="X31" s="524">
        <f>IFERROR(SUMPRODUCT(X28:X29*H28:H29),"0")</f>
        <v/>
      </c>
      <c r="Y31" s="524">
        <f>IFERROR(SUMPRODUCT(Y28:Y29*H28:H29),"0")</f>
        <v/>
      </c>
      <c r="Z31" s="40" t="n"/>
      <c r="AA31" s="525" t="n"/>
      <c r="AB31" s="525" t="n"/>
      <c r="AC31" s="525" t="n"/>
    </row>
    <row r="32" ht="16.5" customHeight="1">
      <c r="A32" s="351" t="inlineStr">
        <is>
          <t>Grandmeni</t>
        </is>
      </c>
      <c r="B32" s="465" t="n"/>
      <c r="C32" s="465" t="n"/>
      <c r="D32" s="465" t="n"/>
      <c r="E32" s="465" t="n"/>
      <c r="F32" s="465" t="n"/>
      <c r="G32" s="465" t="n"/>
      <c r="H32" s="465" t="n"/>
      <c r="I32" s="465" t="n"/>
      <c r="J32" s="465" t="n"/>
      <c r="K32" s="465" t="n"/>
      <c r="L32" s="465" t="n"/>
      <c r="M32" s="465" t="n"/>
      <c r="N32" s="465" t="n"/>
      <c r="O32" s="465" t="n"/>
      <c r="P32" s="465" t="n"/>
      <c r="Q32" s="465" t="n"/>
      <c r="R32" s="465" t="n"/>
      <c r="S32" s="465" t="n"/>
      <c r="T32" s="465" t="n"/>
      <c r="U32" s="465" t="n"/>
      <c r="V32" s="465" t="n"/>
      <c r="W32" s="465" t="n"/>
      <c r="X32" s="465" t="n"/>
      <c r="Y32" s="465" t="n"/>
      <c r="Z32" s="465" t="n"/>
      <c r="AA32" s="351" t="n"/>
      <c r="AB32" s="351" t="n"/>
      <c r="AC32" s="351" t="n"/>
    </row>
    <row r="33" ht="14.25" customHeight="1">
      <c r="A33" s="352" t="inlineStr">
        <is>
          <t>Пельмени</t>
        </is>
      </c>
      <c r="B33" s="465" t="n"/>
      <c r="C33" s="465" t="n"/>
      <c r="D33" s="465" t="n"/>
      <c r="E33" s="465" t="n"/>
      <c r="F33" s="465" t="n"/>
      <c r="G33" s="465" t="n"/>
      <c r="H33" s="465" t="n"/>
      <c r="I33" s="465" t="n"/>
      <c r="J33" s="465" t="n"/>
      <c r="K33" s="465" t="n"/>
      <c r="L33" s="465" t="n"/>
      <c r="M33" s="465" t="n"/>
      <c r="N33" s="465" t="n"/>
      <c r="O33" s="465" t="n"/>
      <c r="P33" s="465" t="n"/>
      <c r="Q33" s="465" t="n"/>
      <c r="R33" s="465" t="n"/>
      <c r="S33" s="465" t="n"/>
      <c r="T33" s="465" t="n"/>
      <c r="U33" s="465" t="n"/>
      <c r="V33" s="465" t="n"/>
      <c r="W33" s="465" t="n"/>
      <c r="X33" s="465" t="n"/>
      <c r="Y33" s="465" t="n"/>
      <c r="Z33" s="465" t="n"/>
      <c r="AA33" s="352" t="n"/>
      <c r="AB33" s="352" t="n"/>
      <c r="AC33" s="352" t="n"/>
    </row>
    <row r="34" ht="27" customHeight="1">
      <c r="A34" s="60" t="inlineStr">
        <is>
          <t>SU003826</t>
        </is>
      </c>
      <c r="B34" s="60" t="inlineStr">
        <is>
          <t>P004887</t>
        </is>
      </c>
      <c r="C34" s="34" t="n">
        <v>4301071090</v>
      </c>
      <c r="D34" s="353" t="n">
        <v>4620207490075</v>
      </c>
      <c r="E34" s="477" t="n"/>
      <c r="F34" s="516" t="n">
        <v>0.7</v>
      </c>
      <c r="G34" s="35" t="n">
        <v>8</v>
      </c>
      <c r="H34" s="516" t="n">
        <v>5.6</v>
      </c>
      <c r="I34" s="516" t="n">
        <v>5.87</v>
      </c>
      <c r="J34" s="35" t="n">
        <v>84</v>
      </c>
      <c r="K34" s="35" t="inlineStr">
        <is>
          <t>12</t>
        </is>
      </c>
      <c r="L34" s="35" t="inlineStr">
        <is>
          <t>Короб, мин. 1</t>
        </is>
      </c>
      <c r="M34" s="36" t="inlineStr">
        <is>
          <t>МГ</t>
        </is>
      </c>
      <c r="N34" s="36" t="n"/>
      <c r="O34" s="35" t="n">
        <v>180</v>
      </c>
      <c r="P34" s="528">
        <f>HYPERLINK("https://abi.ru/products/Замороженные/Горячая штучка/Grandmeni/Пельмени/P004887/","Пельмени «Grandmeni с говядиной» Фикс.вес 0,7 сфера ТМ «Горячая штучка»")</f>
        <v/>
      </c>
      <c r="Q34" s="518" t="n"/>
      <c r="R34" s="518" t="n"/>
      <c r="S34" s="518" t="n"/>
      <c r="T34" s="519" t="n"/>
      <c r="U34" s="37" t="inlineStr"/>
      <c r="V34" s="37" t="inlineStr"/>
      <c r="W34" s="38" t="inlineStr">
        <is>
          <t>кор</t>
        </is>
      </c>
      <c r="X34" s="520" t="n">
        <v>12</v>
      </c>
      <c r="Y34" s="521">
        <f>IFERROR(IF(X34="","",X34),"")</f>
        <v/>
      </c>
      <c r="Z34" s="39">
        <f>IFERROR(IF(X34="","",X34*0.0155),"")</f>
        <v/>
      </c>
      <c r="AA34" s="65" t="inlineStr"/>
      <c r="AB34" s="66" t="inlineStr"/>
      <c r="AC34" s="90" t="inlineStr">
        <is>
          <t>ЕАЭС N RU Д-RU.РА05.В.25234/24</t>
        </is>
      </c>
      <c r="AG34" s="78" t="n"/>
      <c r="AJ34" s="82" t="inlineStr">
        <is>
          <t>Короб</t>
        </is>
      </c>
      <c r="AK34" s="82" t="n">
        <v>1</v>
      </c>
      <c r="BB34" s="91" t="inlineStr">
        <is>
          <t>ЗПФ</t>
        </is>
      </c>
      <c r="BM34" s="78">
        <f>IFERROR(X34*I34,"0")</f>
        <v/>
      </c>
      <c r="BN34" s="78">
        <f>IFERROR(Y34*I34,"0")</f>
        <v/>
      </c>
      <c r="BO34" s="78">
        <f>IFERROR(X34/J34,"0")</f>
        <v/>
      </c>
      <c r="BP34" s="78">
        <f>IFERROR(Y34/J34,"0")</f>
        <v/>
      </c>
    </row>
    <row r="35" ht="27" customHeight="1">
      <c r="A35" s="60" t="inlineStr">
        <is>
          <t>SU003828</t>
        </is>
      </c>
      <c r="B35" s="60" t="inlineStr">
        <is>
          <t>P004889</t>
        </is>
      </c>
      <c r="C35" s="34" t="n">
        <v>4301071092</v>
      </c>
      <c r="D35" s="353" t="n">
        <v>4620207490174</v>
      </c>
      <c r="E35" s="477" t="n"/>
      <c r="F35" s="516" t="n">
        <v>0.7</v>
      </c>
      <c r="G35" s="35" t="n">
        <v>8</v>
      </c>
      <c r="H35" s="516" t="n">
        <v>5.6</v>
      </c>
      <c r="I35" s="516" t="n">
        <v>5.87</v>
      </c>
      <c r="J35" s="35" t="n">
        <v>84</v>
      </c>
      <c r="K35" s="35" t="inlineStr">
        <is>
          <t>12</t>
        </is>
      </c>
      <c r="L35" s="35" t="inlineStr">
        <is>
          <t>Короб, мин. 1</t>
        </is>
      </c>
      <c r="M35" s="36" t="inlineStr">
        <is>
          <t>МГ</t>
        </is>
      </c>
      <c r="N35" s="36" t="n"/>
      <c r="O35" s="35" t="n">
        <v>180</v>
      </c>
      <c r="P35" s="529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/>
      </c>
      <c r="Q35" s="518" t="n"/>
      <c r="R35" s="518" t="n"/>
      <c r="S35" s="518" t="n"/>
      <c r="T35" s="519" t="n"/>
      <c r="U35" s="37" t="inlineStr"/>
      <c r="V35" s="37" t="inlineStr"/>
      <c r="W35" s="38" t="inlineStr">
        <is>
          <t>кор</t>
        </is>
      </c>
      <c r="X35" s="520" t="n">
        <v>12</v>
      </c>
      <c r="Y35" s="521">
        <f>IFERROR(IF(X35="","",X35),"")</f>
        <v/>
      </c>
      <c r="Z35" s="39">
        <f>IFERROR(IF(X35="","",X35*0.0155),"")</f>
        <v/>
      </c>
      <c r="AA35" s="65" t="inlineStr"/>
      <c r="AB35" s="66" t="inlineStr"/>
      <c r="AC35" s="92" t="inlineStr">
        <is>
          <t>ЕАЭС N RU Д-RU.РА05.В.16662/24</t>
        </is>
      </c>
      <c r="AG35" s="78" t="n"/>
      <c r="AJ35" s="82" t="inlineStr">
        <is>
          <t>Короб</t>
        </is>
      </c>
      <c r="AK35" s="82" t="n">
        <v>1</v>
      </c>
      <c r="BB35" s="93" t="inlineStr">
        <is>
          <t>ЗПФ</t>
        </is>
      </c>
      <c r="BM35" s="78">
        <f>IFERROR(X35*I35,"0")</f>
        <v/>
      </c>
      <c r="BN35" s="78">
        <f>IFERROR(Y35*I35,"0")</f>
        <v/>
      </c>
      <c r="BO35" s="78">
        <f>IFERROR(X35/J35,"0")</f>
        <v/>
      </c>
      <c r="BP35" s="78">
        <f>IFERROR(Y35/J35,"0")</f>
        <v/>
      </c>
    </row>
    <row r="36" ht="27" customHeight="1">
      <c r="A36" s="60" t="inlineStr">
        <is>
          <t>SU003827</t>
        </is>
      </c>
      <c r="B36" s="60" t="inlineStr">
        <is>
          <t>P004888</t>
        </is>
      </c>
      <c r="C36" s="34" t="n">
        <v>4301071091</v>
      </c>
      <c r="D36" s="353" t="n">
        <v>4620207490044</v>
      </c>
      <c r="E36" s="477" t="n"/>
      <c r="F36" s="516" t="n">
        <v>0.7</v>
      </c>
      <c r="G36" s="35" t="n">
        <v>8</v>
      </c>
      <c r="H36" s="516" t="n">
        <v>5.6</v>
      </c>
      <c r="I36" s="516" t="n">
        <v>5.87</v>
      </c>
      <c r="J36" s="35" t="n">
        <v>84</v>
      </c>
      <c r="K36" s="35" t="inlineStr">
        <is>
          <t>12</t>
        </is>
      </c>
      <c r="L36" s="35" t="inlineStr">
        <is>
          <t>Короб, мин. 1</t>
        </is>
      </c>
      <c r="M36" s="36" t="inlineStr">
        <is>
          <t>МГ</t>
        </is>
      </c>
      <c r="N36" s="36" t="n"/>
      <c r="O36" s="35" t="n">
        <v>180</v>
      </c>
      <c r="P36" s="530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/>
      </c>
      <c r="Q36" s="518" t="n"/>
      <c r="R36" s="518" t="n"/>
      <c r="S36" s="518" t="n"/>
      <c r="T36" s="519" t="n"/>
      <c r="U36" s="37" t="inlineStr"/>
      <c r="V36" s="37" t="inlineStr"/>
      <c r="W36" s="38" t="inlineStr">
        <is>
          <t>кор</t>
        </is>
      </c>
      <c r="X36" s="520" t="n">
        <v>0</v>
      </c>
      <c r="Y36" s="521">
        <f>IFERROR(IF(X36="","",X36),"")</f>
        <v/>
      </c>
      <c r="Z36" s="39">
        <f>IFERROR(IF(X36="","",X36*0.0155),"")</f>
        <v/>
      </c>
      <c r="AA36" s="65" t="inlineStr"/>
      <c r="AB36" s="66" t="inlineStr"/>
      <c r="AC36" s="94" t="inlineStr">
        <is>
          <t>ЕАЭС N RU Д-RU.РА05.В.39960/24</t>
        </is>
      </c>
      <c r="AG36" s="78" t="n"/>
      <c r="AJ36" s="82" t="inlineStr">
        <is>
          <t>Короб</t>
        </is>
      </c>
      <c r="AK36" s="82" t="n">
        <v>1</v>
      </c>
      <c r="BB36" s="95" t="inlineStr">
        <is>
          <t>ЗПФ</t>
        </is>
      </c>
      <c r="BM36" s="78">
        <f>IFERROR(X36*I36,"0")</f>
        <v/>
      </c>
      <c r="BN36" s="78">
        <f>IFERROR(Y36*I36,"0")</f>
        <v/>
      </c>
      <c r="BO36" s="78">
        <f>IFERROR(X36/J36,"0")</f>
        <v/>
      </c>
      <c r="BP36" s="78">
        <f>IFERROR(Y36/J36,"0")</f>
        <v/>
      </c>
    </row>
    <row r="37">
      <c r="A37" s="361" t="n"/>
      <c r="B37" s="465" t="n"/>
      <c r="C37" s="465" t="n"/>
      <c r="D37" s="465" t="n"/>
      <c r="E37" s="465" t="n"/>
      <c r="F37" s="465" t="n"/>
      <c r="G37" s="465" t="n"/>
      <c r="H37" s="465" t="n"/>
      <c r="I37" s="465" t="n"/>
      <c r="J37" s="465" t="n"/>
      <c r="K37" s="465" t="n"/>
      <c r="L37" s="465" t="n"/>
      <c r="M37" s="465" t="n"/>
      <c r="N37" s="465" t="n"/>
      <c r="O37" s="522" t="n"/>
      <c r="P37" s="523" t="inlineStr">
        <is>
          <t>Итого</t>
        </is>
      </c>
      <c r="Q37" s="485" t="n"/>
      <c r="R37" s="485" t="n"/>
      <c r="S37" s="485" t="n"/>
      <c r="T37" s="485" t="n"/>
      <c r="U37" s="485" t="n"/>
      <c r="V37" s="486" t="n"/>
      <c r="W37" s="40" t="inlineStr">
        <is>
          <t>кор</t>
        </is>
      </c>
      <c r="X37" s="524">
        <f>IFERROR(SUM(X34:X36),"0")</f>
        <v/>
      </c>
      <c r="Y37" s="524">
        <f>IFERROR(SUM(Y34:Y36),"0")</f>
        <v/>
      </c>
      <c r="Z37" s="524">
        <f>IFERROR(IF(Z34="",0,Z34),"0")+IFERROR(IF(Z35="",0,Z35),"0")+IFERROR(IF(Z36="",0,Z36),"0")</f>
        <v/>
      </c>
      <c r="AA37" s="525" t="n"/>
      <c r="AB37" s="525" t="n"/>
      <c r="AC37" s="525" t="n"/>
    </row>
    <row r="38">
      <c r="A38" s="465" t="n"/>
      <c r="B38" s="465" t="n"/>
      <c r="C38" s="465" t="n"/>
      <c r="D38" s="465" t="n"/>
      <c r="E38" s="465" t="n"/>
      <c r="F38" s="465" t="n"/>
      <c r="G38" s="465" t="n"/>
      <c r="H38" s="465" t="n"/>
      <c r="I38" s="465" t="n"/>
      <c r="J38" s="465" t="n"/>
      <c r="K38" s="465" t="n"/>
      <c r="L38" s="465" t="n"/>
      <c r="M38" s="465" t="n"/>
      <c r="N38" s="465" t="n"/>
      <c r="O38" s="522" t="n"/>
      <c r="P38" s="523" t="inlineStr">
        <is>
          <t>Итого</t>
        </is>
      </c>
      <c r="Q38" s="485" t="n"/>
      <c r="R38" s="485" t="n"/>
      <c r="S38" s="485" t="n"/>
      <c r="T38" s="485" t="n"/>
      <c r="U38" s="485" t="n"/>
      <c r="V38" s="486" t="n"/>
      <c r="W38" s="40" t="inlineStr">
        <is>
          <t>кг</t>
        </is>
      </c>
      <c r="X38" s="524">
        <f>IFERROR(SUMPRODUCT(X34:X36*H34:H36),"0")</f>
        <v/>
      </c>
      <c r="Y38" s="524">
        <f>IFERROR(SUMPRODUCT(Y34:Y36*H34:H36),"0")</f>
        <v/>
      </c>
      <c r="Z38" s="40" t="n"/>
      <c r="AA38" s="525" t="n"/>
      <c r="AB38" s="525" t="n"/>
      <c r="AC38" s="525" t="n"/>
    </row>
    <row r="39" ht="16.5" customHeight="1">
      <c r="A39" s="351" t="inlineStr">
        <is>
          <t>Бигбули ГШ</t>
        </is>
      </c>
      <c r="B39" s="465" t="n"/>
      <c r="C39" s="465" t="n"/>
      <c r="D39" s="465" t="n"/>
      <c r="E39" s="465" t="n"/>
      <c r="F39" s="465" t="n"/>
      <c r="G39" s="465" t="n"/>
      <c r="H39" s="465" t="n"/>
      <c r="I39" s="465" t="n"/>
      <c r="J39" s="465" t="n"/>
      <c r="K39" s="465" t="n"/>
      <c r="L39" s="465" t="n"/>
      <c r="M39" s="465" t="n"/>
      <c r="N39" s="465" t="n"/>
      <c r="O39" s="465" t="n"/>
      <c r="P39" s="465" t="n"/>
      <c r="Q39" s="465" t="n"/>
      <c r="R39" s="465" t="n"/>
      <c r="S39" s="465" t="n"/>
      <c r="T39" s="465" t="n"/>
      <c r="U39" s="465" t="n"/>
      <c r="V39" s="465" t="n"/>
      <c r="W39" s="465" t="n"/>
      <c r="X39" s="465" t="n"/>
      <c r="Y39" s="465" t="n"/>
      <c r="Z39" s="465" t="n"/>
      <c r="AA39" s="351" t="n"/>
      <c r="AB39" s="351" t="n"/>
      <c r="AC39" s="351" t="n"/>
    </row>
    <row r="40" ht="14.25" customHeight="1">
      <c r="A40" s="352" t="inlineStr">
        <is>
          <t>Пельмени</t>
        </is>
      </c>
      <c r="B40" s="465" t="n"/>
      <c r="C40" s="465" t="n"/>
      <c r="D40" s="465" t="n"/>
      <c r="E40" s="465" t="n"/>
      <c r="F40" s="465" t="n"/>
      <c r="G40" s="465" t="n"/>
      <c r="H40" s="465" t="n"/>
      <c r="I40" s="465" t="n"/>
      <c r="J40" s="465" t="n"/>
      <c r="K40" s="465" t="n"/>
      <c r="L40" s="465" t="n"/>
      <c r="M40" s="465" t="n"/>
      <c r="N40" s="465" t="n"/>
      <c r="O40" s="465" t="n"/>
      <c r="P40" s="465" t="n"/>
      <c r="Q40" s="465" t="n"/>
      <c r="R40" s="465" t="n"/>
      <c r="S40" s="465" t="n"/>
      <c r="T40" s="465" t="n"/>
      <c r="U40" s="465" t="n"/>
      <c r="V40" s="465" t="n"/>
      <c r="W40" s="465" t="n"/>
      <c r="X40" s="465" t="n"/>
      <c r="Y40" s="465" t="n"/>
      <c r="Z40" s="465" t="n"/>
      <c r="AA40" s="352" t="n"/>
      <c r="AB40" s="352" t="n"/>
      <c r="AC40" s="352" t="n"/>
    </row>
    <row r="41" ht="27" customHeight="1">
      <c r="A41" s="60" t="inlineStr">
        <is>
          <t>SU003532</t>
        </is>
      </c>
      <c r="B41" s="60" t="inlineStr">
        <is>
          <t>P004440</t>
        </is>
      </c>
      <c r="C41" s="34" t="n">
        <v>4301071044</v>
      </c>
      <c r="D41" s="353" t="n">
        <v>4607111039385</v>
      </c>
      <c r="E41" s="477" t="n"/>
      <c r="F41" s="516" t="n">
        <v>0.7</v>
      </c>
      <c r="G41" s="35" t="n">
        <v>10</v>
      </c>
      <c r="H41" s="516" t="n">
        <v>7</v>
      </c>
      <c r="I41" s="516" t="n">
        <v>7.3</v>
      </c>
      <c r="J41" s="35" t="n">
        <v>84</v>
      </c>
      <c r="K41" s="35" t="inlineStr">
        <is>
          <t>12</t>
        </is>
      </c>
      <c r="L41" s="35" t="inlineStr">
        <is>
          <t>Короб, мин. 1</t>
        </is>
      </c>
      <c r="M41" s="36" t="inlineStr">
        <is>
          <t>МГ</t>
        </is>
      </c>
      <c r="N41" s="36" t="n"/>
      <c r="O41" s="35" t="n">
        <v>180</v>
      </c>
      <c r="P41" s="531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/>
      </c>
      <c r="Q41" s="518" t="n"/>
      <c r="R41" s="518" t="n"/>
      <c r="S41" s="518" t="n"/>
      <c r="T41" s="519" t="n"/>
      <c r="U41" s="37" t="inlineStr"/>
      <c r="V41" s="37" t="inlineStr"/>
      <c r="W41" s="38" t="inlineStr">
        <is>
          <t>кор</t>
        </is>
      </c>
      <c r="X41" s="520" t="n">
        <v>12</v>
      </c>
      <c r="Y41" s="521">
        <f>IFERROR(IF(X41="","",X41),"")</f>
        <v/>
      </c>
      <c r="Z41" s="39">
        <f>IFERROR(IF(X41="","",X41*0.0155),"")</f>
        <v/>
      </c>
      <c r="AA41" s="65" t="inlineStr"/>
      <c r="AB41" s="66" t="inlineStr"/>
      <c r="AC41" s="96" t="inlineStr">
        <is>
          <t>ЕАЭС N RU Д-RU.РА06.В.58287/22</t>
        </is>
      </c>
      <c r="AG41" s="78" t="n"/>
      <c r="AJ41" s="82" t="inlineStr">
        <is>
          <t>Короб</t>
        </is>
      </c>
      <c r="AK41" s="82" t="n">
        <v>1</v>
      </c>
      <c r="BB41" s="97" t="inlineStr">
        <is>
          <t>ЗПФ</t>
        </is>
      </c>
      <c r="BM41" s="78">
        <f>IFERROR(X41*I41,"0")</f>
        <v/>
      </c>
      <c r="BN41" s="78">
        <f>IFERROR(Y41*I41,"0")</f>
        <v/>
      </c>
      <c r="BO41" s="78">
        <f>IFERROR(X41/J41,"0")</f>
        <v/>
      </c>
      <c r="BP41" s="78">
        <f>IFERROR(Y41/J41,"0")</f>
        <v/>
      </c>
    </row>
    <row r="42" ht="27" customHeight="1">
      <c r="A42" s="60" t="inlineStr">
        <is>
          <t>SU003385</t>
        </is>
      </c>
      <c r="B42" s="60" t="inlineStr">
        <is>
          <t>P004203</t>
        </is>
      </c>
      <c r="C42" s="34" t="n">
        <v>4301071031</v>
      </c>
      <c r="D42" s="353" t="n">
        <v>4607111038982</v>
      </c>
      <c r="E42" s="477" t="n"/>
      <c r="F42" s="516" t="n">
        <v>0.7</v>
      </c>
      <c r="G42" s="35" t="n">
        <v>10</v>
      </c>
      <c r="H42" s="516" t="n">
        <v>7</v>
      </c>
      <c r="I42" s="516" t="n">
        <v>7.286</v>
      </c>
      <c r="J42" s="35" t="n">
        <v>84</v>
      </c>
      <c r="K42" s="35" t="inlineStr">
        <is>
          <t>12</t>
        </is>
      </c>
      <c r="L42" s="35" t="inlineStr">
        <is>
          <t>Короб, мин. 1</t>
        </is>
      </c>
      <c r="M42" s="36" t="inlineStr">
        <is>
          <t>МГ</t>
        </is>
      </c>
      <c r="N42" s="36" t="n"/>
      <c r="O42" s="35" t="n">
        <v>180</v>
      </c>
      <c r="P42" s="532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/>
      </c>
      <c r="Q42" s="518" t="n"/>
      <c r="R42" s="518" t="n"/>
      <c r="S42" s="518" t="n"/>
      <c r="T42" s="519" t="n"/>
      <c r="U42" s="37" t="inlineStr"/>
      <c r="V42" s="37" t="inlineStr"/>
      <c r="W42" s="38" t="inlineStr">
        <is>
          <t>кор</t>
        </is>
      </c>
      <c r="X42" s="520" t="n">
        <v>12</v>
      </c>
      <c r="Y42" s="521">
        <f>IFERROR(IF(X42="","",X42),"")</f>
        <v/>
      </c>
      <c r="Z42" s="39">
        <f>IFERROR(IF(X42="","",X42*0.0155),"")</f>
        <v/>
      </c>
      <c r="AA42" s="65" t="inlineStr"/>
      <c r="AB42" s="66" t="inlineStr"/>
      <c r="AC42" s="98" t="inlineStr">
        <is>
          <t>ЕАЭС N RU Д-RU.РА04.В.26948/22</t>
        </is>
      </c>
      <c r="AG42" s="78" t="n"/>
      <c r="AJ42" s="82" t="inlineStr">
        <is>
          <t>Короб</t>
        </is>
      </c>
      <c r="AK42" s="82" t="n">
        <v>1</v>
      </c>
      <c r="BB42" s="99" t="inlineStr">
        <is>
          <t>ЗПФ</t>
        </is>
      </c>
      <c r="BM42" s="78">
        <f>IFERROR(X42*I42,"0")</f>
        <v/>
      </c>
      <c r="BN42" s="78">
        <f>IFERROR(Y42*I42,"0")</f>
        <v/>
      </c>
      <c r="BO42" s="78">
        <f>IFERROR(X42/J42,"0")</f>
        <v/>
      </c>
      <c r="BP42" s="78">
        <f>IFERROR(Y42/J42,"0")</f>
        <v/>
      </c>
    </row>
    <row r="43" ht="27" customHeight="1">
      <c r="A43" s="60" t="inlineStr">
        <is>
          <t>SU003530</t>
        </is>
      </c>
      <c r="B43" s="60" t="inlineStr">
        <is>
          <t>P004443</t>
        </is>
      </c>
      <c r="C43" s="34" t="n">
        <v>4301071046</v>
      </c>
      <c r="D43" s="353" t="n">
        <v>4607111039354</v>
      </c>
      <c r="E43" s="477" t="n"/>
      <c r="F43" s="516" t="n">
        <v>0.4</v>
      </c>
      <c r="G43" s="35" t="n">
        <v>16</v>
      </c>
      <c r="H43" s="516" t="n">
        <v>6.4</v>
      </c>
      <c r="I43" s="516" t="n">
        <v>6.7196</v>
      </c>
      <c r="J43" s="35" t="n">
        <v>84</v>
      </c>
      <c r="K43" s="35" t="inlineStr">
        <is>
          <t>12</t>
        </is>
      </c>
      <c r="L43" s="35" t="inlineStr">
        <is>
          <t>Слой, мин. 1</t>
        </is>
      </c>
      <c r="M43" s="36" t="inlineStr">
        <is>
          <t>МГ</t>
        </is>
      </c>
      <c r="N43" s="36" t="n"/>
      <c r="O43" s="35" t="n">
        <v>180</v>
      </c>
      <c r="P43" s="533">
        <f>HYPERLINK("https://abi.ru/products/Замороженные/Горячая штучка/Бигбули ГШ/Пельмени/P004443/","Пельмени «Бигбули с мясом» 0,4 Сфера ТМ «Горячая штучка»")</f>
        <v/>
      </c>
      <c r="Q43" s="518" t="n"/>
      <c r="R43" s="518" t="n"/>
      <c r="S43" s="518" t="n"/>
      <c r="T43" s="519" t="n"/>
      <c r="U43" s="37" t="inlineStr"/>
      <c r="V43" s="37" t="inlineStr"/>
      <c r="W43" s="38" t="inlineStr">
        <is>
          <t>кор</t>
        </is>
      </c>
      <c r="X43" s="520" t="n">
        <v>0</v>
      </c>
      <c r="Y43" s="521">
        <f>IFERROR(IF(X43="","",X43),"")</f>
        <v/>
      </c>
      <c r="Z43" s="39">
        <f>IFERROR(IF(X43="","",X43*0.0155),"")</f>
        <v/>
      </c>
      <c r="AA43" s="65" t="inlineStr"/>
      <c r="AB43" s="66" t="inlineStr"/>
      <c r="AC43" s="100" t="inlineStr">
        <is>
          <t>ЕАЭС N RU Д-RU.РА04.В.26948/22</t>
        </is>
      </c>
      <c r="AG43" s="78" t="n"/>
      <c r="AJ43" s="82" t="inlineStr">
        <is>
          <t>Слой</t>
        </is>
      </c>
      <c r="AK43" s="82" t="n">
        <v>12</v>
      </c>
      <c r="BB43" s="101" t="inlineStr">
        <is>
          <t>ЗПФ</t>
        </is>
      </c>
      <c r="BM43" s="78">
        <f>IFERROR(X43*I43,"0")</f>
        <v/>
      </c>
      <c r="BN43" s="78">
        <f>IFERROR(Y43*I43,"0")</f>
        <v/>
      </c>
      <c r="BO43" s="78">
        <f>IFERROR(X43/J43,"0")</f>
        <v/>
      </c>
      <c r="BP43" s="78">
        <f>IFERROR(Y43/J43,"0")</f>
        <v/>
      </c>
    </row>
    <row r="44" ht="27" customHeight="1">
      <c r="A44" s="60" t="inlineStr">
        <is>
          <t>SU003529</t>
        </is>
      </c>
      <c r="B44" s="60" t="inlineStr">
        <is>
          <t>P004442</t>
        </is>
      </c>
      <c r="C44" s="34" t="n">
        <v>4301071047</v>
      </c>
      <c r="D44" s="353" t="n">
        <v>4607111039330</v>
      </c>
      <c r="E44" s="477" t="n"/>
      <c r="F44" s="516" t="n">
        <v>0.7</v>
      </c>
      <c r="G44" s="35" t="n">
        <v>10</v>
      </c>
      <c r="H44" s="516" t="n">
        <v>7</v>
      </c>
      <c r="I44" s="516" t="n">
        <v>7.3</v>
      </c>
      <c r="J44" s="35" t="n">
        <v>84</v>
      </c>
      <c r="K44" s="35" t="inlineStr">
        <is>
          <t>12</t>
        </is>
      </c>
      <c r="L44" s="35" t="inlineStr">
        <is>
          <t>Слой, мин. 1</t>
        </is>
      </c>
      <c r="M44" s="36" t="inlineStr">
        <is>
          <t>МГ</t>
        </is>
      </c>
      <c r="N44" s="36" t="n"/>
      <c r="O44" s="35" t="n">
        <v>180</v>
      </c>
      <c r="P44" s="534">
        <f>HYPERLINK("https://abi.ru/products/Замороженные/Горячая штучка/Бигбули ГШ/Пельмени/P004442/","Пельмени «Бигбули с мясом» 0,7 Сфера ТМ «Горячая штучка»")</f>
        <v/>
      </c>
      <c r="Q44" s="518" t="n"/>
      <c r="R44" s="518" t="n"/>
      <c r="S44" s="518" t="n"/>
      <c r="T44" s="519" t="n"/>
      <c r="U44" s="37" t="inlineStr"/>
      <c r="V44" s="37" t="inlineStr"/>
      <c r="W44" s="38" t="inlineStr">
        <is>
          <t>кор</t>
        </is>
      </c>
      <c r="X44" s="520" t="n">
        <v>0</v>
      </c>
      <c r="Y44" s="521">
        <f>IFERROR(IF(X44="","",X44),"")</f>
        <v/>
      </c>
      <c r="Z44" s="39">
        <f>IFERROR(IF(X44="","",X44*0.0155),"")</f>
        <v/>
      </c>
      <c r="AA44" s="65" t="inlineStr"/>
      <c r="AB44" s="66" t="inlineStr"/>
      <c r="AC44" s="102" t="inlineStr">
        <is>
          <t>ЕАЭС N RU Д-RU.РА04.В.26948/22</t>
        </is>
      </c>
      <c r="AG44" s="78" t="n"/>
      <c r="AJ44" s="82" t="inlineStr">
        <is>
          <t>Слой</t>
        </is>
      </c>
      <c r="AK44" s="82" t="n">
        <v>12</v>
      </c>
      <c r="BB44" s="103" t="inlineStr">
        <is>
          <t>ЗПФ</t>
        </is>
      </c>
      <c r="BM44" s="78">
        <f>IFERROR(X44*I44,"0")</f>
        <v/>
      </c>
      <c r="BN44" s="78">
        <f>IFERROR(Y44*I44,"0")</f>
        <v/>
      </c>
      <c r="BO44" s="78">
        <f>IFERROR(X44/J44,"0")</f>
        <v/>
      </c>
      <c r="BP44" s="78">
        <f>IFERROR(Y44/J44,"0")</f>
        <v/>
      </c>
    </row>
    <row r="45">
      <c r="A45" s="361" t="n"/>
      <c r="B45" s="465" t="n"/>
      <c r="C45" s="465" t="n"/>
      <c r="D45" s="465" t="n"/>
      <c r="E45" s="465" t="n"/>
      <c r="F45" s="465" t="n"/>
      <c r="G45" s="465" t="n"/>
      <c r="H45" s="465" t="n"/>
      <c r="I45" s="465" t="n"/>
      <c r="J45" s="465" t="n"/>
      <c r="K45" s="465" t="n"/>
      <c r="L45" s="465" t="n"/>
      <c r="M45" s="465" t="n"/>
      <c r="N45" s="465" t="n"/>
      <c r="O45" s="522" t="n"/>
      <c r="P45" s="523" t="inlineStr">
        <is>
          <t>Итого</t>
        </is>
      </c>
      <c r="Q45" s="485" t="n"/>
      <c r="R45" s="485" t="n"/>
      <c r="S45" s="485" t="n"/>
      <c r="T45" s="485" t="n"/>
      <c r="U45" s="485" t="n"/>
      <c r="V45" s="486" t="n"/>
      <c r="W45" s="40" t="inlineStr">
        <is>
          <t>кор</t>
        </is>
      </c>
      <c r="X45" s="524">
        <f>IFERROR(SUM(X41:X44),"0")</f>
        <v/>
      </c>
      <c r="Y45" s="524">
        <f>IFERROR(SUM(Y41:Y44),"0")</f>
        <v/>
      </c>
      <c r="Z45" s="524">
        <f>IFERROR(IF(Z41="",0,Z41),"0")+IFERROR(IF(Z42="",0,Z42),"0")+IFERROR(IF(Z43="",0,Z43),"0")+IFERROR(IF(Z44="",0,Z44),"0")</f>
        <v/>
      </c>
      <c r="AA45" s="525" t="n"/>
      <c r="AB45" s="525" t="n"/>
      <c r="AC45" s="525" t="n"/>
    </row>
    <row r="46">
      <c r="A46" s="465" t="n"/>
      <c r="B46" s="465" t="n"/>
      <c r="C46" s="465" t="n"/>
      <c r="D46" s="465" t="n"/>
      <c r="E46" s="465" t="n"/>
      <c r="F46" s="465" t="n"/>
      <c r="G46" s="465" t="n"/>
      <c r="H46" s="465" t="n"/>
      <c r="I46" s="465" t="n"/>
      <c r="J46" s="465" t="n"/>
      <c r="K46" s="465" t="n"/>
      <c r="L46" s="465" t="n"/>
      <c r="M46" s="465" t="n"/>
      <c r="N46" s="465" t="n"/>
      <c r="O46" s="522" t="n"/>
      <c r="P46" s="523" t="inlineStr">
        <is>
          <t>Итого</t>
        </is>
      </c>
      <c r="Q46" s="485" t="n"/>
      <c r="R46" s="485" t="n"/>
      <c r="S46" s="485" t="n"/>
      <c r="T46" s="485" t="n"/>
      <c r="U46" s="485" t="n"/>
      <c r="V46" s="486" t="n"/>
      <c r="W46" s="40" t="inlineStr">
        <is>
          <t>кг</t>
        </is>
      </c>
      <c r="X46" s="524">
        <f>IFERROR(SUMPRODUCT(X41:X44*H41:H44),"0")</f>
        <v/>
      </c>
      <c r="Y46" s="524">
        <f>IFERROR(SUMPRODUCT(Y41:Y44*H41:H44),"0")</f>
        <v/>
      </c>
      <c r="Z46" s="40" t="n"/>
      <c r="AA46" s="525" t="n"/>
      <c r="AB46" s="525" t="n"/>
      <c r="AC46" s="525" t="n"/>
    </row>
    <row r="47" ht="16.5" customHeight="1">
      <c r="A47" s="351" t="inlineStr">
        <is>
          <t>Foodgital</t>
        </is>
      </c>
      <c r="B47" s="465" t="n"/>
      <c r="C47" s="465" t="n"/>
      <c r="D47" s="465" t="n"/>
      <c r="E47" s="465" t="n"/>
      <c r="F47" s="465" t="n"/>
      <c r="G47" s="465" t="n"/>
      <c r="H47" s="465" t="n"/>
      <c r="I47" s="465" t="n"/>
      <c r="J47" s="465" t="n"/>
      <c r="K47" s="465" t="n"/>
      <c r="L47" s="465" t="n"/>
      <c r="M47" s="465" t="n"/>
      <c r="N47" s="465" t="n"/>
      <c r="O47" s="465" t="n"/>
      <c r="P47" s="465" t="n"/>
      <c r="Q47" s="465" t="n"/>
      <c r="R47" s="465" t="n"/>
      <c r="S47" s="465" t="n"/>
      <c r="T47" s="465" t="n"/>
      <c r="U47" s="465" t="n"/>
      <c r="V47" s="465" t="n"/>
      <c r="W47" s="465" t="n"/>
      <c r="X47" s="465" t="n"/>
      <c r="Y47" s="465" t="n"/>
      <c r="Z47" s="465" t="n"/>
      <c r="AA47" s="351" t="n"/>
      <c r="AB47" s="351" t="n"/>
      <c r="AC47" s="351" t="n"/>
    </row>
    <row r="48" ht="14.25" customHeight="1">
      <c r="A48" s="352" t="inlineStr">
        <is>
          <t>Пельмени</t>
        </is>
      </c>
      <c r="B48" s="465" t="n"/>
      <c r="C48" s="465" t="n"/>
      <c r="D48" s="465" t="n"/>
      <c r="E48" s="465" t="n"/>
      <c r="F48" s="465" t="n"/>
      <c r="G48" s="465" t="n"/>
      <c r="H48" s="465" t="n"/>
      <c r="I48" s="465" t="n"/>
      <c r="J48" s="465" t="n"/>
      <c r="K48" s="465" t="n"/>
      <c r="L48" s="465" t="n"/>
      <c r="M48" s="465" t="n"/>
      <c r="N48" s="465" t="n"/>
      <c r="O48" s="465" t="n"/>
      <c r="P48" s="465" t="n"/>
      <c r="Q48" s="465" t="n"/>
      <c r="R48" s="465" t="n"/>
      <c r="S48" s="465" t="n"/>
      <c r="T48" s="465" t="n"/>
      <c r="U48" s="465" t="n"/>
      <c r="V48" s="465" t="n"/>
      <c r="W48" s="465" t="n"/>
      <c r="X48" s="465" t="n"/>
      <c r="Y48" s="465" t="n"/>
      <c r="Z48" s="465" t="n"/>
      <c r="AA48" s="352" t="n"/>
      <c r="AB48" s="352" t="n"/>
      <c r="AC48" s="352" t="n"/>
    </row>
    <row r="49" ht="16.5" customHeight="1">
      <c r="A49" s="60" t="inlineStr">
        <is>
          <t>SU003691</t>
        </is>
      </c>
      <c r="B49" s="60" t="inlineStr">
        <is>
          <t>P004772</t>
        </is>
      </c>
      <c r="C49" s="34" t="n">
        <v>4301071073</v>
      </c>
      <c r="D49" s="353" t="n">
        <v>4620207490822</v>
      </c>
      <c r="E49" s="477" t="n"/>
      <c r="F49" s="516" t="n">
        <v>0.43</v>
      </c>
      <c r="G49" s="35" t="n">
        <v>8</v>
      </c>
      <c r="H49" s="516" t="n">
        <v>3.44</v>
      </c>
      <c r="I49" s="516" t="n">
        <v>3.64</v>
      </c>
      <c r="J49" s="35" t="n">
        <v>144</v>
      </c>
      <c r="K49" s="35" t="inlineStr">
        <is>
          <t>12</t>
        </is>
      </c>
      <c r="L49" s="35" t="inlineStr">
        <is>
          <t>Короб, мин. 1</t>
        </is>
      </c>
      <c r="M49" s="36" t="inlineStr">
        <is>
          <t>МГ</t>
        </is>
      </c>
      <c r="N49" s="36" t="n"/>
      <c r="O49" s="35" t="n">
        <v>365</v>
      </c>
      <c r="P49" s="535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/>
      </c>
      <c r="Q49" s="518" t="n"/>
      <c r="R49" s="518" t="n"/>
      <c r="S49" s="518" t="n"/>
      <c r="T49" s="519" t="n"/>
      <c r="U49" s="37" t="inlineStr"/>
      <c r="V49" s="37" t="inlineStr"/>
      <c r="W49" s="38" t="inlineStr">
        <is>
          <t>кор</t>
        </is>
      </c>
      <c r="X49" s="520" t="n">
        <v>0</v>
      </c>
      <c r="Y49" s="521">
        <f>IFERROR(IF(X49="","",X49),"")</f>
        <v/>
      </c>
      <c r="Z49" s="39">
        <f>IFERROR(IF(X49="","",X49*0.00866),"")</f>
        <v/>
      </c>
      <c r="AA49" s="65" t="inlineStr"/>
      <c r="AB49" s="66" t="inlineStr"/>
      <c r="AC49" s="104" t="inlineStr">
        <is>
          <t>ЕАЭС N RU Д-RU.РА08.В.01107/24</t>
        </is>
      </c>
      <c r="AG49" s="78" t="n"/>
      <c r="AJ49" s="82" t="inlineStr">
        <is>
          <t>Короб</t>
        </is>
      </c>
      <c r="AK49" s="82" t="n">
        <v>1</v>
      </c>
      <c r="BB49" s="105" t="inlineStr">
        <is>
          <t>ЗПФ</t>
        </is>
      </c>
      <c r="BM49" s="78">
        <f>IFERROR(X49*I49,"0")</f>
        <v/>
      </c>
      <c r="BN49" s="78">
        <f>IFERROR(Y49*I49,"0")</f>
        <v/>
      </c>
      <c r="BO49" s="78">
        <f>IFERROR(X49/J49,"0")</f>
        <v/>
      </c>
      <c r="BP49" s="78">
        <f>IFERROR(Y49/J49,"0")</f>
        <v/>
      </c>
    </row>
    <row r="50">
      <c r="A50" s="361" t="n"/>
      <c r="B50" s="465" t="n"/>
      <c r="C50" s="465" t="n"/>
      <c r="D50" s="465" t="n"/>
      <c r="E50" s="465" t="n"/>
      <c r="F50" s="465" t="n"/>
      <c r="G50" s="465" t="n"/>
      <c r="H50" s="465" t="n"/>
      <c r="I50" s="465" t="n"/>
      <c r="J50" s="465" t="n"/>
      <c r="K50" s="465" t="n"/>
      <c r="L50" s="465" t="n"/>
      <c r="M50" s="465" t="n"/>
      <c r="N50" s="465" t="n"/>
      <c r="O50" s="522" t="n"/>
      <c r="P50" s="523" t="inlineStr">
        <is>
          <t>Итого</t>
        </is>
      </c>
      <c r="Q50" s="485" t="n"/>
      <c r="R50" s="485" t="n"/>
      <c r="S50" s="485" t="n"/>
      <c r="T50" s="485" t="n"/>
      <c r="U50" s="485" t="n"/>
      <c r="V50" s="486" t="n"/>
      <c r="W50" s="40" t="inlineStr">
        <is>
          <t>кор</t>
        </is>
      </c>
      <c r="X50" s="524">
        <f>IFERROR(SUM(X49:X49),"0")</f>
        <v/>
      </c>
      <c r="Y50" s="524">
        <f>IFERROR(SUM(Y49:Y49),"0")</f>
        <v/>
      </c>
      <c r="Z50" s="524">
        <f>IFERROR(IF(Z49="",0,Z49),"0")</f>
        <v/>
      </c>
      <c r="AA50" s="525" t="n"/>
      <c r="AB50" s="525" t="n"/>
      <c r="AC50" s="525" t="n"/>
    </row>
    <row r="51">
      <c r="A51" s="465" t="n"/>
      <c r="B51" s="465" t="n"/>
      <c r="C51" s="465" t="n"/>
      <c r="D51" s="465" t="n"/>
      <c r="E51" s="465" t="n"/>
      <c r="F51" s="465" t="n"/>
      <c r="G51" s="465" t="n"/>
      <c r="H51" s="465" t="n"/>
      <c r="I51" s="465" t="n"/>
      <c r="J51" s="465" t="n"/>
      <c r="K51" s="465" t="n"/>
      <c r="L51" s="465" t="n"/>
      <c r="M51" s="465" t="n"/>
      <c r="N51" s="465" t="n"/>
      <c r="O51" s="522" t="n"/>
      <c r="P51" s="523" t="inlineStr">
        <is>
          <t>Итого</t>
        </is>
      </c>
      <c r="Q51" s="485" t="n"/>
      <c r="R51" s="485" t="n"/>
      <c r="S51" s="485" t="n"/>
      <c r="T51" s="485" t="n"/>
      <c r="U51" s="485" t="n"/>
      <c r="V51" s="486" t="n"/>
      <c r="W51" s="40" t="inlineStr">
        <is>
          <t>кг</t>
        </is>
      </c>
      <c r="X51" s="524">
        <f>IFERROR(SUMPRODUCT(X49:X49*H49:H49),"0")</f>
        <v/>
      </c>
      <c r="Y51" s="524">
        <f>IFERROR(SUMPRODUCT(Y49:Y49*H49:H49),"0")</f>
        <v/>
      </c>
      <c r="Z51" s="40" t="n"/>
      <c r="AA51" s="525" t="n"/>
      <c r="AB51" s="525" t="n"/>
      <c r="AC51" s="525" t="n"/>
    </row>
    <row r="52" ht="14.25" customHeight="1">
      <c r="A52" s="352" t="inlineStr">
        <is>
          <t>Котлеты</t>
        </is>
      </c>
      <c r="B52" s="465" t="n"/>
      <c r="C52" s="465" t="n"/>
      <c r="D52" s="465" t="n"/>
      <c r="E52" s="465" t="n"/>
      <c r="F52" s="465" t="n"/>
      <c r="G52" s="465" t="n"/>
      <c r="H52" s="465" t="n"/>
      <c r="I52" s="465" t="n"/>
      <c r="J52" s="465" t="n"/>
      <c r="K52" s="465" t="n"/>
      <c r="L52" s="465" t="n"/>
      <c r="M52" s="465" t="n"/>
      <c r="N52" s="465" t="n"/>
      <c r="O52" s="465" t="n"/>
      <c r="P52" s="465" t="n"/>
      <c r="Q52" s="465" t="n"/>
      <c r="R52" s="465" t="n"/>
      <c r="S52" s="465" t="n"/>
      <c r="T52" s="465" t="n"/>
      <c r="U52" s="465" t="n"/>
      <c r="V52" s="465" t="n"/>
      <c r="W52" s="465" t="n"/>
      <c r="X52" s="465" t="n"/>
      <c r="Y52" s="465" t="n"/>
      <c r="Z52" s="465" t="n"/>
      <c r="AA52" s="352" t="n"/>
      <c r="AB52" s="352" t="n"/>
      <c r="AC52" s="352" t="n"/>
    </row>
    <row r="53" ht="16.5" customHeight="1">
      <c r="A53" s="60" t="inlineStr">
        <is>
          <t>SU003679</t>
        </is>
      </c>
      <c r="B53" s="60" t="inlineStr">
        <is>
          <t>P004730</t>
        </is>
      </c>
      <c r="C53" s="34" t="n">
        <v>4301100087</v>
      </c>
      <c r="D53" s="353" t="n">
        <v>4607111039743</v>
      </c>
      <c r="E53" s="477" t="n"/>
      <c r="F53" s="516" t="n">
        <v>0.18</v>
      </c>
      <c r="G53" s="35" t="n">
        <v>6</v>
      </c>
      <c r="H53" s="516" t="n">
        <v>1.08</v>
      </c>
      <c r="I53" s="516" t="n">
        <v>2.34</v>
      </c>
      <c r="J53" s="35" t="n">
        <v>182</v>
      </c>
      <c r="K53" s="35" t="inlineStr">
        <is>
          <t>14</t>
        </is>
      </c>
      <c r="L53" s="35" t="inlineStr">
        <is>
          <t>Короб, мин. 1</t>
        </is>
      </c>
      <c r="M53" s="36" t="inlineStr">
        <is>
          <t>МГ</t>
        </is>
      </c>
      <c r="N53" s="36" t="n"/>
      <c r="O53" s="35" t="n">
        <v>365</v>
      </c>
      <c r="P53" s="536">
        <f>HYPERLINK("https://abi.ru/products/Замороженные/Горячая штучка/Foodgital/Котлеты/P004730/","Котлеты «Котлеты» Фикс.вес 0,18 ТС «Foodgital» ТМ «Горячая штучка»")</f>
        <v/>
      </c>
      <c r="Q53" s="518" t="n"/>
      <c r="R53" s="518" t="n"/>
      <c r="S53" s="518" t="n"/>
      <c r="T53" s="519" t="n"/>
      <c r="U53" s="37" t="inlineStr"/>
      <c r="V53" s="37" t="inlineStr"/>
      <c r="W53" s="38" t="inlineStr">
        <is>
          <t>кор</t>
        </is>
      </c>
      <c r="X53" s="520" t="n">
        <v>0</v>
      </c>
      <c r="Y53" s="521">
        <f>IFERROR(IF(X53="","",X53),"")</f>
        <v/>
      </c>
      <c r="Z53" s="39">
        <f>IFERROR(IF(X53="","",X53*0.00941),"")</f>
        <v/>
      </c>
      <c r="AA53" s="65" t="inlineStr"/>
      <c r="AB53" s="66" t="inlineStr"/>
      <c r="AC53" s="106" t="inlineStr">
        <is>
          <t>ЕАЭС N RU Д-RU.РА05.В.89397/22</t>
        </is>
      </c>
      <c r="AG53" s="78" t="n"/>
      <c r="AJ53" s="82" t="inlineStr">
        <is>
          <t>Короб</t>
        </is>
      </c>
      <c r="AK53" s="82" t="n">
        <v>1</v>
      </c>
      <c r="BB53" s="107" t="inlineStr">
        <is>
          <t>ПГП</t>
        </is>
      </c>
      <c r="BM53" s="78">
        <f>IFERROR(X53*I53,"0")</f>
        <v/>
      </c>
      <c r="BN53" s="78">
        <f>IFERROR(Y53*I53,"0")</f>
        <v/>
      </c>
      <c r="BO53" s="78">
        <f>IFERROR(X53/J53,"0")</f>
        <v/>
      </c>
      <c r="BP53" s="78">
        <f>IFERROR(Y53/J53,"0")</f>
        <v/>
      </c>
    </row>
    <row r="54">
      <c r="A54" s="361" t="n"/>
      <c r="B54" s="465" t="n"/>
      <c r="C54" s="465" t="n"/>
      <c r="D54" s="465" t="n"/>
      <c r="E54" s="465" t="n"/>
      <c r="F54" s="465" t="n"/>
      <c r="G54" s="465" t="n"/>
      <c r="H54" s="465" t="n"/>
      <c r="I54" s="465" t="n"/>
      <c r="J54" s="465" t="n"/>
      <c r="K54" s="465" t="n"/>
      <c r="L54" s="465" t="n"/>
      <c r="M54" s="465" t="n"/>
      <c r="N54" s="465" t="n"/>
      <c r="O54" s="522" t="n"/>
      <c r="P54" s="523" t="inlineStr">
        <is>
          <t>Итого</t>
        </is>
      </c>
      <c r="Q54" s="485" t="n"/>
      <c r="R54" s="485" t="n"/>
      <c r="S54" s="485" t="n"/>
      <c r="T54" s="485" t="n"/>
      <c r="U54" s="485" t="n"/>
      <c r="V54" s="486" t="n"/>
      <c r="W54" s="40" t="inlineStr">
        <is>
          <t>кор</t>
        </is>
      </c>
      <c r="X54" s="524">
        <f>IFERROR(SUM(X53:X53),"0")</f>
        <v/>
      </c>
      <c r="Y54" s="524">
        <f>IFERROR(SUM(Y53:Y53),"0")</f>
        <v/>
      </c>
      <c r="Z54" s="524">
        <f>IFERROR(IF(Z53="",0,Z53),"0")</f>
        <v/>
      </c>
      <c r="AA54" s="525" t="n"/>
      <c r="AB54" s="525" t="n"/>
      <c r="AC54" s="525" t="n"/>
    </row>
    <row r="55">
      <c r="A55" s="465" t="n"/>
      <c r="B55" s="465" t="n"/>
      <c r="C55" s="465" t="n"/>
      <c r="D55" s="465" t="n"/>
      <c r="E55" s="465" t="n"/>
      <c r="F55" s="465" t="n"/>
      <c r="G55" s="465" t="n"/>
      <c r="H55" s="465" t="n"/>
      <c r="I55" s="465" t="n"/>
      <c r="J55" s="465" t="n"/>
      <c r="K55" s="465" t="n"/>
      <c r="L55" s="465" t="n"/>
      <c r="M55" s="465" t="n"/>
      <c r="N55" s="465" t="n"/>
      <c r="O55" s="522" t="n"/>
      <c r="P55" s="523" t="inlineStr">
        <is>
          <t>Итого</t>
        </is>
      </c>
      <c r="Q55" s="485" t="n"/>
      <c r="R55" s="485" t="n"/>
      <c r="S55" s="485" t="n"/>
      <c r="T55" s="485" t="n"/>
      <c r="U55" s="485" t="n"/>
      <c r="V55" s="486" t="n"/>
      <c r="W55" s="40" t="inlineStr">
        <is>
          <t>кг</t>
        </is>
      </c>
      <c r="X55" s="524">
        <f>IFERROR(SUMPRODUCT(X53:X53*H53:H53),"0")</f>
        <v/>
      </c>
      <c r="Y55" s="524">
        <f>IFERROR(SUMPRODUCT(Y53:Y53*H53:H53),"0")</f>
        <v/>
      </c>
      <c r="Z55" s="40" t="n"/>
      <c r="AA55" s="525" t="n"/>
      <c r="AB55" s="525" t="n"/>
      <c r="AC55" s="525" t="n"/>
    </row>
    <row r="56" ht="14.25" customHeight="1">
      <c r="A56" s="352" t="inlineStr">
        <is>
          <t>Наггетсы</t>
        </is>
      </c>
      <c r="B56" s="465" t="n"/>
      <c r="C56" s="465" t="n"/>
      <c r="D56" s="465" t="n"/>
      <c r="E56" s="465" t="n"/>
      <c r="F56" s="465" t="n"/>
      <c r="G56" s="465" t="n"/>
      <c r="H56" s="465" t="n"/>
      <c r="I56" s="465" t="n"/>
      <c r="J56" s="465" t="n"/>
      <c r="K56" s="465" t="n"/>
      <c r="L56" s="465" t="n"/>
      <c r="M56" s="465" t="n"/>
      <c r="N56" s="465" t="n"/>
      <c r="O56" s="465" t="n"/>
      <c r="P56" s="465" t="n"/>
      <c r="Q56" s="465" t="n"/>
      <c r="R56" s="465" t="n"/>
      <c r="S56" s="465" t="n"/>
      <c r="T56" s="465" t="n"/>
      <c r="U56" s="465" t="n"/>
      <c r="V56" s="465" t="n"/>
      <c r="W56" s="465" t="n"/>
      <c r="X56" s="465" t="n"/>
      <c r="Y56" s="465" t="n"/>
      <c r="Z56" s="465" t="n"/>
      <c r="AA56" s="352" t="n"/>
      <c r="AB56" s="352" t="n"/>
      <c r="AC56" s="352" t="n"/>
    </row>
    <row r="57" ht="16.5" customHeight="1">
      <c r="A57" s="60" t="inlineStr">
        <is>
          <t>SU003678</t>
        </is>
      </c>
      <c r="B57" s="60" t="inlineStr">
        <is>
          <t>P004731</t>
        </is>
      </c>
      <c r="C57" s="34" t="n">
        <v>4301132194</v>
      </c>
      <c r="D57" s="353" t="n">
        <v>4607111039712</v>
      </c>
      <c r="E57" s="477" t="n"/>
      <c r="F57" s="516" t="n">
        <v>0.2</v>
      </c>
      <c r="G57" s="35" t="n">
        <v>6</v>
      </c>
      <c r="H57" s="516" t="n">
        <v>1.2</v>
      </c>
      <c r="I57" s="516" t="n">
        <v>1.56</v>
      </c>
      <c r="J57" s="35" t="n">
        <v>140</v>
      </c>
      <c r="K57" s="35" t="inlineStr">
        <is>
          <t>14</t>
        </is>
      </c>
      <c r="L57" s="35" t="inlineStr">
        <is>
          <t>Короб, мин. 1</t>
        </is>
      </c>
      <c r="M57" s="36" t="inlineStr">
        <is>
          <t>МГ</t>
        </is>
      </c>
      <c r="N57" s="36" t="n"/>
      <c r="O57" s="35" t="n">
        <v>365</v>
      </c>
      <c r="P57" s="537">
        <f>HYPERLINK("https://abi.ru/products/Замороженные/Горячая штучка/Foodgital/Наггетсы/P004731/","Наггетсы «Наггетсы» Фикс.вес 0,2 ТС «Foodgital» ТМ «Горячая штучка»")</f>
        <v/>
      </c>
      <c r="Q57" s="518" t="n"/>
      <c r="R57" s="518" t="n"/>
      <c r="S57" s="518" t="n"/>
      <c r="T57" s="519" t="n"/>
      <c r="U57" s="37" t="inlineStr"/>
      <c r="V57" s="37" t="inlineStr"/>
      <c r="W57" s="38" t="inlineStr">
        <is>
          <t>кор</t>
        </is>
      </c>
      <c r="X57" s="520" t="n">
        <v>0</v>
      </c>
      <c r="Y57" s="521">
        <f>IFERROR(IF(X57="","",X57),"")</f>
        <v/>
      </c>
      <c r="Z57" s="39">
        <f>IFERROR(IF(X57="","",X57*0.00941),"")</f>
        <v/>
      </c>
      <c r="AA57" s="65" t="inlineStr"/>
      <c r="AB57" s="66" t="inlineStr"/>
      <c r="AC57" s="108" t="inlineStr">
        <is>
          <t>ЕАЭС N RU Д-RU.РА03.В.95139/22</t>
        </is>
      </c>
      <c r="AG57" s="78" t="n"/>
      <c r="AJ57" s="82" t="inlineStr">
        <is>
          <t>Короб</t>
        </is>
      </c>
      <c r="AK57" s="82" t="n">
        <v>1</v>
      </c>
      <c r="BB57" s="109" t="inlineStr">
        <is>
          <t>ПГП</t>
        </is>
      </c>
      <c r="BM57" s="78">
        <f>IFERROR(X57*I57,"0")</f>
        <v/>
      </c>
      <c r="BN57" s="78">
        <f>IFERROR(Y57*I57,"0")</f>
        <v/>
      </c>
      <c r="BO57" s="78">
        <f>IFERROR(X57/J57,"0")</f>
        <v/>
      </c>
      <c r="BP57" s="78">
        <f>IFERROR(Y57/J57,"0")</f>
        <v/>
      </c>
    </row>
    <row r="58">
      <c r="A58" s="361" t="n"/>
      <c r="B58" s="465" t="n"/>
      <c r="C58" s="465" t="n"/>
      <c r="D58" s="465" t="n"/>
      <c r="E58" s="465" t="n"/>
      <c r="F58" s="465" t="n"/>
      <c r="G58" s="465" t="n"/>
      <c r="H58" s="465" t="n"/>
      <c r="I58" s="465" t="n"/>
      <c r="J58" s="465" t="n"/>
      <c r="K58" s="465" t="n"/>
      <c r="L58" s="465" t="n"/>
      <c r="M58" s="465" t="n"/>
      <c r="N58" s="465" t="n"/>
      <c r="O58" s="522" t="n"/>
      <c r="P58" s="523" t="inlineStr">
        <is>
          <t>Итого</t>
        </is>
      </c>
      <c r="Q58" s="485" t="n"/>
      <c r="R58" s="485" t="n"/>
      <c r="S58" s="485" t="n"/>
      <c r="T58" s="485" t="n"/>
      <c r="U58" s="485" t="n"/>
      <c r="V58" s="486" t="n"/>
      <c r="W58" s="40" t="inlineStr">
        <is>
          <t>кор</t>
        </is>
      </c>
      <c r="X58" s="524">
        <f>IFERROR(SUM(X57:X57),"0")</f>
        <v/>
      </c>
      <c r="Y58" s="524">
        <f>IFERROR(SUM(Y57:Y57),"0")</f>
        <v/>
      </c>
      <c r="Z58" s="524">
        <f>IFERROR(IF(Z57="",0,Z57),"0")</f>
        <v/>
      </c>
      <c r="AA58" s="525" t="n"/>
      <c r="AB58" s="525" t="n"/>
      <c r="AC58" s="525" t="n"/>
    </row>
    <row r="59">
      <c r="A59" s="465" t="n"/>
      <c r="B59" s="465" t="n"/>
      <c r="C59" s="465" t="n"/>
      <c r="D59" s="465" t="n"/>
      <c r="E59" s="465" t="n"/>
      <c r="F59" s="465" t="n"/>
      <c r="G59" s="465" t="n"/>
      <c r="H59" s="465" t="n"/>
      <c r="I59" s="465" t="n"/>
      <c r="J59" s="465" t="n"/>
      <c r="K59" s="465" t="n"/>
      <c r="L59" s="465" t="n"/>
      <c r="M59" s="465" t="n"/>
      <c r="N59" s="465" t="n"/>
      <c r="O59" s="522" t="n"/>
      <c r="P59" s="523" t="inlineStr">
        <is>
          <t>Итого</t>
        </is>
      </c>
      <c r="Q59" s="485" t="n"/>
      <c r="R59" s="485" t="n"/>
      <c r="S59" s="485" t="n"/>
      <c r="T59" s="485" t="n"/>
      <c r="U59" s="485" t="n"/>
      <c r="V59" s="486" t="n"/>
      <c r="W59" s="40" t="inlineStr">
        <is>
          <t>кг</t>
        </is>
      </c>
      <c r="X59" s="524">
        <f>IFERROR(SUMPRODUCT(X57:X57*H57:H57),"0")</f>
        <v/>
      </c>
      <c r="Y59" s="524">
        <f>IFERROR(SUMPRODUCT(Y57:Y57*H57:H57),"0")</f>
        <v/>
      </c>
      <c r="Z59" s="40" t="n"/>
      <c r="AA59" s="525" t="n"/>
      <c r="AB59" s="525" t="n"/>
      <c r="AC59" s="525" t="n"/>
    </row>
    <row r="60" ht="14.25" customHeight="1">
      <c r="A60" s="352" t="inlineStr">
        <is>
          <t>Чебуреки</t>
        </is>
      </c>
      <c r="B60" s="465" t="n"/>
      <c r="C60" s="465" t="n"/>
      <c r="D60" s="465" t="n"/>
      <c r="E60" s="465" t="n"/>
      <c r="F60" s="465" t="n"/>
      <c r="G60" s="465" t="n"/>
      <c r="H60" s="465" t="n"/>
      <c r="I60" s="465" t="n"/>
      <c r="J60" s="465" t="n"/>
      <c r="K60" s="465" t="n"/>
      <c r="L60" s="465" t="n"/>
      <c r="M60" s="465" t="n"/>
      <c r="N60" s="465" t="n"/>
      <c r="O60" s="465" t="n"/>
      <c r="P60" s="465" t="n"/>
      <c r="Q60" s="465" t="n"/>
      <c r="R60" s="465" t="n"/>
      <c r="S60" s="465" t="n"/>
      <c r="T60" s="465" t="n"/>
      <c r="U60" s="465" t="n"/>
      <c r="V60" s="465" t="n"/>
      <c r="W60" s="465" t="n"/>
      <c r="X60" s="465" t="n"/>
      <c r="Y60" s="465" t="n"/>
      <c r="Z60" s="465" t="n"/>
      <c r="AA60" s="352" t="n"/>
      <c r="AB60" s="352" t="n"/>
      <c r="AC60" s="352" t="n"/>
    </row>
    <row r="61" ht="16.5" customHeight="1">
      <c r="A61" s="60" t="inlineStr">
        <is>
          <t>SU002657</t>
        </is>
      </c>
      <c r="B61" s="60" t="inlineStr">
        <is>
          <t>P003038</t>
        </is>
      </c>
      <c r="C61" s="34" t="n">
        <v>4301136018</v>
      </c>
      <c r="D61" s="353" t="n">
        <v>4607111037008</v>
      </c>
      <c r="E61" s="477" t="n"/>
      <c r="F61" s="516" t="n">
        <v>0.36</v>
      </c>
      <c r="G61" s="35" t="n">
        <v>4</v>
      </c>
      <c r="H61" s="516" t="n">
        <v>1.44</v>
      </c>
      <c r="I61" s="516" t="n">
        <v>1.74</v>
      </c>
      <c r="J61" s="35" t="n">
        <v>140</v>
      </c>
      <c r="K61" s="35" t="inlineStr">
        <is>
          <t>14</t>
        </is>
      </c>
      <c r="L61" s="35" t="inlineStr">
        <is>
          <t>Короб, мин. 1</t>
        </is>
      </c>
      <c r="M61" s="36" t="inlineStr">
        <is>
          <t>МГ</t>
        </is>
      </c>
      <c r="N61" s="36" t="n"/>
      <c r="O61" s="35" t="n">
        <v>365</v>
      </c>
      <c r="P61" s="538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/>
      </c>
      <c r="Q61" s="518" t="n"/>
      <c r="R61" s="518" t="n"/>
      <c r="S61" s="518" t="n"/>
      <c r="T61" s="519" t="n"/>
      <c r="U61" s="37" t="inlineStr"/>
      <c r="V61" s="37" t="inlineStr"/>
      <c r="W61" s="38" t="inlineStr">
        <is>
          <t>кор</t>
        </is>
      </c>
      <c r="X61" s="520" t="n">
        <v>0</v>
      </c>
      <c r="Y61" s="521">
        <f>IFERROR(IF(X61="","",X61),"")</f>
        <v/>
      </c>
      <c r="Z61" s="39">
        <f>IFERROR(IF(X61="","",X61*0.00941),"")</f>
        <v/>
      </c>
      <c r="AA61" s="65" t="inlineStr"/>
      <c r="AB61" s="66" t="inlineStr"/>
      <c r="AC61" s="110" t="inlineStr">
        <is>
          <t>ЕАЭС N RU Д-RU.РА03.В.64590/22</t>
        </is>
      </c>
      <c r="AG61" s="78" t="n"/>
      <c r="AJ61" s="82" t="inlineStr">
        <is>
          <t>Короб</t>
        </is>
      </c>
      <c r="AK61" s="82" t="n">
        <v>1</v>
      </c>
      <c r="BB61" s="111" t="inlineStr">
        <is>
          <t>ПГП</t>
        </is>
      </c>
      <c r="BM61" s="78">
        <f>IFERROR(X61*I61,"0")</f>
        <v/>
      </c>
      <c r="BN61" s="78">
        <f>IFERROR(Y61*I61,"0")</f>
        <v/>
      </c>
      <c r="BO61" s="78">
        <f>IFERROR(X61/J61,"0")</f>
        <v/>
      </c>
      <c r="BP61" s="78">
        <f>IFERROR(Y61/J61,"0")</f>
        <v/>
      </c>
    </row>
    <row r="62" ht="16.5" customHeight="1">
      <c r="A62" s="60" t="inlineStr">
        <is>
          <t>SU002607</t>
        </is>
      </c>
      <c r="B62" s="60" t="inlineStr">
        <is>
          <t>P002938</t>
        </is>
      </c>
      <c r="C62" s="34" t="n">
        <v>4301136015</v>
      </c>
      <c r="D62" s="353" t="n">
        <v>4607111037398</v>
      </c>
      <c r="E62" s="477" t="n"/>
      <c r="F62" s="516" t="n">
        <v>0.09</v>
      </c>
      <c r="G62" s="35" t="n">
        <v>24</v>
      </c>
      <c r="H62" s="516" t="n">
        <v>2.16</v>
      </c>
      <c r="I62" s="516" t="n">
        <v>4.02</v>
      </c>
      <c r="J62" s="35" t="n">
        <v>126</v>
      </c>
      <c r="K62" s="35" t="inlineStr">
        <is>
          <t>14</t>
        </is>
      </c>
      <c r="L62" s="35" t="inlineStr">
        <is>
          <t>Короб, мин. 1</t>
        </is>
      </c>
      <c r="M62" s="36" t="inlineStr">
        <is>
          <t>МГ</t>
        </is>
      </c>
      <c r="N62" s="36" t="n"/>
      <c r="O62" s="35" t="n">
        <v>365</v>
      </c>
      <c r="P62" s="539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/>
      </c>
      <c r="Q62" s="518" t="n"/>
      <c r="R62" s="518" t="n"/>
      <c r="S62" s="518" t="n"/>
      <c r="T62" s="519" t="n"/>
      <c r="U62" s="37" t="inlineStr"/>
      <c r="V62" s="37" t="inlineStr"/>
      <c r="W62" s="38" t="inlineStr">
        <is>
          <t>кор</t>
        </is>
      </c>
      <c r="X62" s="520" t="n">
        <v>0</v>
      </c>
      <c r="Y62" s="521">
        <f>IFERROR(IF(X62="","",X62),"")</f>
        <v/>
      </c>
      <c r="Z62" s="39">
        <f>IFERROR(IF(X62="","",X62*0.00936),"")</f>
        <v/>
      </c>
      <c r="AA62" s="65" t="inlineStr"/>
      <c r="AB62" s="66" t="inlineStr"/>
      <c r="AC62" s="112" t="inlineStr">
        <is>
          <t>ЕАЭС N RU Д-RU.РА03.В.64590/22</t>
        </is>
      </c>
      <c r="AG62" s="78" t="n"/>
      <c r="AJ62" s="82" t="inlineStr">
        <is>
          <t>Короб</t>
        </is>
      </c>
      <c r="AK62" s="82" t="n">
        <v>1</v>
      </c>
      <c r="BB62" s="113" t="inlineStr">
        <is>
          <t>ПГП</t>
        </is>
      </c>
      <c r="BM62" s="78">
        <f>IFERROR(X62*I62,"0")</f>
        <v/>
      </c>
      <c r="BN62" s="78">
        <f>IFERROR(Y62*I62,"0")</f>
        <v/>
      </c>
      <c r="BO62" s="78">
        <f>IFERROR(X62/J62,"0")</f>
        <v/>
      </c>
      <c r="BP62" s="78">
        <f>IFERROR(Y62/J62,"0")</f>
        <v/>
      </c>
    </row>
    <row r="63">
      <c r="A63" s="361" t="n"/>
      <c r="B63" s="465" t="n"/>
      <c r="C63" s="465" t="n"/>
      <c r="D63" s="465" t="n"/>
      <c r="E63" s="465" t="n"/>
      <c r="F63" s="465" t="n"/>
      <c r="G63" s="465" t="n"/>
      <c r="H63" s="465" t="n"/>
      <c r="I63" s="465" t="n"/>
      <c r="J63" s="465" t="n"/>
      <c r="K63" s="465" t="n"/>
      <c r="L63" s="465" t="n"/>
      <c r="M63" s="465" t="n"/>
      <c r="N63" s="465" t="n"/>
      <c r="O63" s="522" t="n"/>
      <c r="P63" s="523" t="inlineStr">
        <is>
          <t>Итого</t>
        </is>
      </c>
      <c r="Q63" s="485" t="n"/>
      <c r="R63" s="485" t="n"/>
      <c r="S63" s="485" t="n"/>
      <c r="T63" s="485" t="n"/>
      <c r="U63" s="485" t="n"/>
      <c r="V63" s="486" t="n"/>
      <c r="W63" s="40" t="inlineStr">
        <is>
          <t>кор</t>
        </is>
      </c>
      <c r="X63" s="524">
        <f>IFERROR(SUM(X61:X62),"0")</f>
        <v/>
      </c>
      <c r="Y63" s="524">
        <f>IFERROR(SUM(Y61:Y62),"0")</f>
        <v/>
      </c>
      <c r="Z63" s="524">
        <f>IFERROR(IF(Z61="",0,Z61),"0")+IFERROR(IF(Z62="",0,Z62),"0")</f>
        <v/>
      </c>
      <c r="AA63" s="525" t="n"/>
      <c r="AB63" s="525" t="n"/>
      <c r="AC63" s="525" t="n"/>
    </row>
    <row r="64">
      <c r="A64" s="465" t="n"/>
      <c r="B64" s="465" t="n"/>
      <c r="C64" s="465" t="n"/>
      <c r="D64" s="465" t="n"/>
      <c r="E64" s="465" t="n"/>
      <c r="F64" s="465" t="n"/>
      <c r="G64" s="465" t="n"/>
      <c r="H64" s="465" t="n"/>
      <c r="I64" s="465" t="n"/>
      <c r="J64" s="465" t="n"/>
      <c r="K64" s="465" t="n"/>
      <c r="L64" s="465" t="n"/>
      <c r="M64" s="465" t="n"/>
      <c r="N64" s="465" t="n"/>
      <c r="O64" s="522" t="n"/>
      <c r="P64" s="523" t="inlineStr">
        <is>
          <t>Итого</t>
        </is>
      </c>
      <c r="Q64" s="485" t="n"/>
      <c r="R64" s="485" t="n"/>
      <c r="S64" s="485" t="n"/>
      <c r="T64" s="485" t="n"/>
      <c r="U64" s="485" t="n"/>
      <c r="V64" s="486" t="n"/>
      <c r="W64" s="40" t="inlineStr">
        <is>
          <t>кг</t>
        </is>
      </c>
      <c r="X64" s="524">
        <f>IFERROR(SUMPRODUCT(X61:X62*H61:H62),"0")</f>
        <v/>
      </c>
      <c r="Y64" s="524">
        <f>IFERROR(SUMPRODUCT(Y61:Y62*H61:H62),"0")</f>
        <v/>
      </c>
      <c r="Z64" s="40" t="n"/>
      <c r="AA64" s="525" t="n"/>
      <c r="AB64" s="525" t="n"/>
      <c r="AC64" s="525" t="n"/>
    </row>
    <row r="65" ht="14.25" customHeight="1">
      <c r="A65" s="352" t="inlineStr">
        <is>
          <t>Снеки</t>
        </is>
      </c>
      <c r="B65" s="465" t="n"/>
      <c r="C65" s="465" t="n"/>
      <c r="D65" s="465" t="n"/>
      <c r="E65" s="465" t="n"/>
      <c r="F65" s="465" t="n"/>
      <c r="G65" s="465" t="n"/>
      <c r="H65" s="465" t="n"/>
      <c r="I65" s="465" t="n"/>
      <c r="J65" s="465" t="n"/>
      <c r="K65" s="465" t="n"/>
      <c r="L65" s="465" t="n"/>
      <c r="M65" s="465" t="n"/>
      <c r="N65" s="465" t="n"/>
      <c r="O65" s="465" t="n"/>
      <c r="P65" s="465" t="n"/>
      <c r="Q65" s="465" t="n"/>
      <c r="R65" s="465" t="n"/>
      <c r="S65" s="465" t="n"/>
      <c r="T65" s="465" t="n"/>
      <c r="U65" s="465" t="n"/>
      <c r="V65" s="465" t="n"/>
      <c r="W65" s="465" t="n"/>
      <c r="X65" s="465" t="n"/>
      <c r="Y65" s="465" t="n"/>
      <c r="Z65" s="465" t="n"/>
      <c r="AA65" s="352" t="n"/>
      <c r="AB65" s="352" t="n"/>
      <c r="AC65" s="352" t="n"/>
    </row>
    <row r="66" ht="16.5" customHeight="1">
      <c r="A66" s="60" t="inlineStr">
        <is>
          <t>SU003680</t>
        </is>
      </c>
      <c r="B66" s="60" t="inlineStr">
        <is>
          <t>P004732</t>
        </is>
      </c>
      <c r="C66" s="34" t="n">
        <v>4301135664</v>
      </c>
      <c r="D66" s="353" t="n">
        <v>4607111039705</v>
      </c>
      <c r="E66" s="477" t="n"/>
      <c r="F66" s="516" t="n">
        <v>0.2</v>
      </c>
      <c r="G66" s="35" t="n">
        <v>6</v>
      </c>
      <c r="H66" s="516" t="n">
        <v>1.2</v>
      </c>
      <c r="I66" s="516" t="n">
        <v>1.56</v>
      </c>
      <c r="J66" s="35" t="n">
        <v>140</v>
      </c>
      <c r="K66" s="35" t="inlineStr">
        <is>
          <t>14</t>
        </is>
      </c>
      <c r="L66" s="35" t="inlineStr">
        <is>
          <t>Короб, мин. 1</t>
        </is>
      </c>
      <c r="M66" s="36" t="inlineStr">
        <is>
          <t>МГ</t>
        </is>
      </c>
      <c r="N66" s="36" t="n"/>
      <c r="O66" s="35" t="n">
        <v>365</v>
      </c>
      <c r="P66" s="540">
        <f>HYPERLINK("https://abi.ru/products/Замороженные/Горячая штучка/Foodgital/Снеки/P004732/","Снеки «Чебупели» Фикс.вес 0,2 ТС «Foodgital» ТМ «Горячая штучка»")</f>
        <v/>
      </c>
      <c r="Q66" s="518" t="n"/>
      <c r="R66" s="518" t="n"/>
      <c r="S66" s="518" t="n"/>
      <c r="T66" s="519" t="n"/>
      <c r="U66" s="37" t="inlineStr"/>
      <c r="V66" s="37" t="inlineStr"/>
      <c r="W66" s="38" t="inlineStr">
        <is>
          <t>кор</t>
        </is>
      </c>
      <c r="X66" s="520" t="n">
        <v>0</v>
      </c>
      <c r="Y66" s="521">
        <f>IFERROR(IF(X66="","",X66),"")</f>
        <v/>
      </c>
      <c r="Z66" s="39">
        <f>IFERROR(IF(X66="","",X66*0.00941),"")</f>
        <v/>
      </c>
      <c r="AA66" s="65" t="inlineStr"/>
      <c r="AB66" s="66" t="inlineStr"/>
      <c r="AC66" s="114" t="inlineStr">
        <is>
          <t>ЕАЭС N RU Д-RU.РА03.В.64590/22</t>
        </is>
      </c>
      <c r="AG66" s="78" t="n"/>
      <c r="AJ66" s="82" t="inlineStr">
        <is>
          <t>Короб</t>
        </is>
      </c>
      <c r="AK66" s="82" t="n">
        <v>1</v>
      </c>
      <c r="BB66" s="115" t="inlineStr">
        <is>
          <t>ПГП</t>
        </is>
      </c>
      <c r="BM66" s="78">
        <f>IFERROR(X66*I66,"0")</f>
        <v/>
      </c>
      <c r="BN66" s="78">
        <f>IFERROR(Y66*I66,"0")</f>
        <v/>
      </c>
      <c r="BO66" s="78">
        <f>IFERROR(X66/J66,"0")</f>
        <v/>
      </c>
      <c r="BP66" s="78">
        <f>IFERROR(Y66/J66,"0")</f>
        <v/>
      </c>
    </row>
    <row r="67" ht="27" customHeight="1">
      <c r="A67" s="60" t="inlineStr">
        <is>
          <t>SU003677</t>
        </is>
      </c>
      <c r="B67" s="60" t="inlineStr">
        <is>
          <t>P004733</t>
        </is>
      </c>
      <c r="C67" s="34" t="n">
        <v>4301135665</v>
      </c>
      <c r="D67" s="353" t="n">
        <v>4607111039729</v>
      </c>
      <c r="E67" s="477" t="n"/>
      <c r="F67" s="516" t="n">
        <v>0.2</v>
      </c>
      <c r="G67" s="35" t="n">
        <v>6</v>
      </c>
      <c r="H67" s="516" t="n">
        <v>1.2</v>
      </c>
      <c r="I67" s="516" t="n">
        <v>1.56</v>
      </c>
      <c r="J67" s="35" t="n">
        <v>140</v>
      </c>
      <c r="K67" s="35" t="inlineStr">
        <is>
          <t>14</t>
        </is>
      </c>
      <c r="L67" s="35" t="inlineStr">
        <is>
          <t>Короб, мин. 1</t>
        </is>
      </c>
      <c r="M67" s="36" t="inlineStr">
        <is>
          <t>МГ</t>
        </is>
      </c>
      <c r="N67" s="36" t="n"/>
      <c r="O67" s="35" t="n">
        <v>365</v>
      </c>
      <c r="P67" s="541">
        <f>HYPERLINK("https://abi.ru/products/Замороженные/Горячая штучка/Foodgital/Снеки/P004733/","Снеки «Чебупицца Маргарита» Фикс.вес 0,2 ТС «Foodgital» ТМ «Горячая штучка»")</f>
        <v/>
      </c>
      <c r="Q67" s="518" t="n"/>
      <c r="R67" s="518" t="n"/>
      <c r="S67" s="518" t="n"/>
      <c r="T67" s="519" t="n"/>
      <c r="U67" s="37" t="inlineStr"/>
      <c r="V67" s="37" t="inlineStr"/>
      <c r="W67" s="38" t="inlineStr">
        <is>
          <t>кор</t>
        </is>
      </c>
      <c r="X67" s="520" t="n">
        <v>0</v>
      </c>
      <c r="Y67" s="521">
        <f>IFERROR(IF(X67="","",X67),"")</f>
        <v/>
      </c>
      <c r="Z67" s="39">
        <f>IFERROR(IF(X67="","",X67*0.00941),"")</f>
        <v/>
      </c>
      <c r="AA67" s="65" t="inlineStr"/>
      <c r="AB67" s="66" t="inlineStr"/>
      <c r="AC67" s="116" t="inlineStr">
        <is>
          <t>ЕАЭС N RU Д-RU.РА04.В.97529/23</t>
        </is>
      </c>
      <c r="AG67" s="78" t="n"/>
      <c r="AJ67" s="82" t="inlineStr">
        <is>
          <t>Короб</t>
        </is>
      </c>
      <c r="AK67" s="82" t="n">
        <v>1</v>
      </c>
      <c r="BB67" s="117" t="inlineStr">
        <is>
          <t>ПГП</t>
        </is>
      </c>
      <c r="BM67" s="78">
        <f>IFERROR(X67*I67,"0")</f>
        <v/>
      </c>
      <c r="BN67" s="78">
        <f>IFERROR(Y67*I67,"0")</f>
        <v/>
      </c>
      <c r="BO67" s="78">
        <f>IFERROR(X67/J67,"0")</f>
        <v/>
      </c>
      <c r="BP67" s="78">
        <f>IFERROR(Y67/J67,"0")</f>
        <v/>
      </c>
    </row>
    <row r="68" ht="27" customHeight="1">
      <c r="A68" s="60" t="inlineStr">
        <is>
          <t>SU003676</t>
        </is>
      </c>
      <c r="B68" s="60" t="inlineStr">
        <is>
          <t>P004818</t>
        </is>
      </c>
      <c r="C68" s="34" t="n">
        <v>4301135702</v>
      </c>
      <c r="D68" s="353" t="n">
        <v>4620207490228</v>
      </c>
      <c r="E68" s="477" t="n"/>
      <c r="F68" s="516" t="n">
        <v>0.2</v>
      </c>
      <c r="G68" s="35" t="n">
        <v>6</v>
      </c>
      <c r="H68" s="516" t="n">
        <v>1.2</v>
      </c>
      <c r="I68" s="516" t="n">
        <v>1.56</v>
      </c>
      <c r="J68" s="35" t="n">
        <v>140</v>
      </c>
      <c r="K68" s="35" t="inlineStr">
        <is>
          <t>14</t>
        </is>
      </c>
      <c r="L68" s="35" t="inlineStr">
        <is>
          <t>Короб, мин. 1</t>
        </is>
      </c>
      <c r="M68" s="36" t="inlineStr">
        <is>
          <t>МГ</t>
        </is>
      </c>
      <c r="N68" s="36" t="n"/>
      <c r="O68" s="35" t="n">
        <v>365</v>
      </c>
      <c r="P68" s="542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/>
      </c>
      <c r="Q68" s="518" t="n"/>
      <c r="R68" s="518" t="n"/>
      <c r="S68" s="518" t="n"/>
      <c r="T68" s="519" t="n"/>
      <c r="U68" s="37" t="inlineStr"/>
      <c r="V68" s="37" t="inlineStr"/>
      <c r="W68" s="38" t="inlineStr">
        <is>
          <t>кор</t>
        </is>
      </c>
      <c r="X68" s="520" t="n">
        <v>0</v>
      </c>
      <c r="Y68" s="521">
        <f>IFERROR(IF(X68="","",X68),"")</f>
        <v/>
      </c>
      <c r="Z68" s="39">
        <f>IFERROR(IF(X68="","",X68*0.00941),"")</f>
        <v/>
      </c>
      <c r="AA68" s="65" t="inlineStr"/>
      <c r="AB68" s="66" t="inlineStr"/>
      <c r="AC68" s="118" t="inlineStr">
        <is>
          <t>ЕАЭС N RU Д-RU.РА04.В.97529/23</t>
        </is>
      </c>
      <c r="AG68" s="78" t="n"/>
      <c r="AJ68" s="82" t="inlineStr">
        <is>
          <t>Короб</t>
        </is>
      </c>
      <c r="AK68" s="82" t="n">
        <v>1</v>
      </c>
      <c r="BB68" s="119" t="inlineStr">
        <is>
          <t>ПГП</t>
        </is>
      </c>
      <c r="BM68" s="78">
        <f>IFERROR(X68*I68,"0")</f>
        <v/>
      </c>
      <c r="BN68" s="78">
        <f>IFERROR(Y68*I68,"0")</f>
        <v/>
      </c>
      <c r="BO68" s="78">
        <f>IFERROR(X68/J68,"0")</f>
        <v/>
      </c>
      <c r="BP68" s="78">
        <f>IFERROR(Y68/J68,"0")</f>
        <v/>
      </c>
    </row>
    <row r="69">
      <c r="A69" s="361" t="n"/>
      <c r="B69" s="465" t="n"/>
      <c r="C69" s="465" t="n"/>
      <c r="D69" s="465" t="n"/>
      <c r="E69" s="465" t="n"/>
      <c r="F69" s="465" t="n"/>
      <c r="G69" s="465" t="n"/>
      <c r="H69" s="465" t="n"/>
      <c r="I69" s="465" t="n"/>
      <c r="J69" s="465" t="n"/>
      <c r="K69" s="465" t="n"/>
      <c r="L69" s="465" t="n"/>
      <c r="M69" s="465" t="n"/>
      <c r="N69" s="465" t="n"/>
      <c r="O69" s="522" t="n"/>
      <c r="P69" s="523" t="inlineStr">
        <is>
          <t>Итого</t>
        </is>
      </c>
      <c r="Q69" s="485" t="n"/>
      <c r="R69" s="485" t="n"/>
      <c r="S69" s="485" t="n"/>
      <c r="T69" s="485" t="n"/>
      <c r="U69" s="485" t="n"/>
      <c r="V69" s="486" t="n"/>
      <c r="W69" s="40" t="inlineStr">
        <is>
          <t>кор</t>
        </is>
      </c>
      <c r="X69" s="524">
        <f>IFERROR(SUM(X66:X68),"0")</f>
        <v/>
      </c>
      <c r="Y69" s="524">
        <f>IFERROR(SUM(Y66:Y68),"0")</f>
        <v/>
      </c>
      <c r="Z69" s="524">
        <f>IFERROR(IF(Z66="",0,Z66),"0")+IFERROR(IF(Z67="",0,Z67),"0")+IFERROR(IF(Z68="",0,Z68),"0")</f>
        <v/>
      </c>
      <c r="AA69" s="525" t="n"/>
      <c r="AB69" s="525" t="n"/>
      <c r="AC69" s="525" t="n"/>
    </row>
    <row r="70">
      <c r="A70" s="465" t="n"/>
      <c r="B70" s="465" t="n"/>
      <c r="C70" s="465" t="n"/>
      <c r="D70" s="465" t="n"/>
      <c r="E70" s="465" t="n"/>
      <c r="F70" s="465" t="n"/>
      <c r="G70" s="465" t="n"/>
      <c r="H70" s="465" t="n"/>
      <c r="I70" s="465" t="n"/>
      <c r="J70" s="465" t="n"/>
      <c r="K70" s="465" t="n"/>
      <c r="L70" s="465" t="n"/>
      <c r="M70" s="465" t="n"/>
      <c r="N70" s="465" t="n"/>
      <c r="O70" s="522" t="n"/>
      <c r="P70" s="523" t="inlineStr">
        <is>
          <t>Итого</t>
        </is>
      </c>
      <c r="Q70" s="485" t="n"/>
      <c r="R70" s="485" t="n"/>
      <c r="S70" s="485" t="n"/>
      <c r="T70" s="485" t="n"/>
      <c r="U70" s="485" t="n"/>
      <c r="V70" s="486" t="n"/>
      <c r="W70" s="40" t="inlineStr">
        <is>
          <t>кг</t>
        </is>
      </c>
      <c r="X70" s="524">
        <f>IFERROR(SUMPRODUCT(X66:X68*H66:H68),"0")</f>
        <v/>
      </c>
      <c r="Y70" s="524">
        <f>IFERROR(SUMPRODUCT(Y66:Y68*H66:H68),"0")</f>
        <v/>
      </c>
      <c r="Z70" s="40" t="n"/>
      <c r="AA70" s="525" t="n"/>
      <c r="AB70" s="525" t="n"/>
      <c r="AC70" s="525" t="n"/>
    </row>
    <row r="71" ht="16.5" customHeight="1">
      <c r="A71" s="351" t="inlineStr">
        <is>
          <t>Бульмени вес ГШ</t>
        </is>
      </c>
      <c r="B71" s="465" t="n"/>
      <c r="C71" s="465" t="n"/>
      <c r="D71" s="465" t="n"/>
      <c r="E71" s="465" t="n"/>
      <c r="F71" s="465" t="n"/>
      <c r="G71" s="465" t="n"/>
      <c r="H71" s="465" t="n"/>
      <c r="I71" s="465" t="n"/>
      <c r="J71" s="465" t="n"/>
      <c r="K71" s="465" t="n"/>
      <c r="L71" s="465" t="n"/>
      <c r="M71" s="465" t="n"/>
      <c r="N71" s="465" t="n"/>
      <c r="O71" s="465" t="n"/>
      <c r="P71" s="465" t="n"/>
      <c r="Q71" s="465" t="n"/>
      <c r="R71" s="465" t="n"/>
      <c r="S71" s="465" t="n"/>
      <c r="T71" s="465" t="n"/>
      <c r="U71" s="465" t="n"/>
      <c r="V71" s="465" t="n"/>
      <c r="W71" s="465" t="n"/>
      <c r="X71" s="465" t="n"/>
      <c r="Y71" s="465" t="n"/>
      <c r="Z71" s="465" t="n"/>
      <c r="AA71" s="351" t="n"/>
      <c r="AB71" s="351" t="n"/>
      <c r="AC71" s="351" t="n"/>
    </row>
    <row r="72" ht="14.25" customHeight="1">
      <c r="A72" s="352" t="inlineStr">
        <is>
          <t>Пельмени</t>
        </is>
      </c>
      <c r="B72" s="465" t="n"/>
      <c r="C72" s="465" t="n"/>
      <c r="D72" s="465" t="n"/>
      <c r="E72" s="465" t="n"/>
      <c r="F72" s="465" t="n"/>
      <c r="G72" s="465" t="n"/>
      <c r="H72" s="465" t="n"/>
      <c r="I72" s="465" t="n"/>
      <c r="J72" s="465" t="n"/>
      <c r="K72" s="465" t="n"/>
      <c r="L72" s="465" t="n"/>
      <c r="M72" s="465" t="n"/>
      <c r="N72" s="465" t="n"/>
      <c r="O72" s="465" t="n"/>
      <c r="P72" s="465" t="n"/>
      <c r="Q72" s="465" t="n"/>
      <c r="R72" s="465" t="n"/>
      <c r="S72" s="465" t="n"/>
      <c r="T72" s="465" t="n"/>
      <c r="U72" s="465" t="n"/>
      <c r="V72" s="465" t="n"/>
      <c r="W72" s="465" t="n"/>
      <c r="X72" s="465" t="n"/>
      <c r="Y72" s="465" t="n"/>
      <c r="Z72" s="465" t="n"/>
      <c r="AA72" s="352" t="n"/>
      <c r="AB72" s="352" t="n"/>
      <c r="AC72" s="352" t="n"/>
    </row>
    <row r="73" ht="27" customHeight="1">
      <c r="A73" s="60" t="inlineStr">
        <is>
          <t>SU002798</t>
        </is>
      </c>
      <c r="B73" s="60" t="inlineStr">
        <is>
          <t>P003687</t>
        </is>
      </c>
      <c r="C73" s="34" t="n">
        <v>4301070977</v>
      </c>
      <c r="D73" s="353" t="n">
        <v>4607111037411</v>
      </c>
      <c r="E73" s="477" t="n"/>
      <c r="F73" s="516" t="n">
        <v>2.7</v>
      </c>
      <c r="G73" s="35" t="n">
        <v>1</v>
      </c>
      <c r="H73" s="516" t="n">
        <v>2.7</v>
      </c>
      <c r="I73" s="516" t="n">
        <v>2.8132</v>
      </c>
      <c r="J73" s="35" t="n">
        <v>234</v>
      </c>
      <c r="K73" s="35" t="inlineStr">
        <is>
          <t>18</t>
        </is>
      </c>
      <c r="L73" s="35" t="inlineStr">
        <is>
          <t>Слой, мин. 1</t>
        </is>
      </c>
      <c r="M73" s="36" t="inlineStr">
        <is>
          <t>МГ</t>
        </is>
      </c>
      <c r="N73" s="36" t="n"/>
      <c r="O73" s="35" t="n">
        <v>180</v>
      </c>
      <c r="P73" s="543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/>
      </c>
      <c r="Q73" s="518" t="n"/>
      <c r="R73" s="518" t="n"/>
      <c r="S73" s="518" t="n"/>
      <c r="T73" s="519" t="n"/>
      <c r="U73" s="37" t="inlineStr"/>
      <c r="V73" s="37" t="inlineStr"/>
      <c r="W73" s="38" t="inlineStr">
        <is>
          <t>кор</t>
        </is>
      </c>
      <c r="X73" s="520" t="n">
        <v>0</v>
      </c>
      <c r="Y73" s="521">
        <f>IFERROR(IF(X73="","",X73),"")</f>
        <v/>
      </c>
      <c r="Z73" s="39">
        <f>IFERROR(IF(X73="","",X73*0.00502),"")</f>
        <v/>
      </c>
      <c r="AA73" s="65" t="inlineStr"/>
      <c r="AB73" s="66" t="inlineStr"/>
      <c r="AC73" s="120" t="inlineStr">
        <is>
          <t>ЕАЭС N RU Д-RU.РА02.В.13673/23</t>
        </is>
      </c>
      <c r="AG73" s="78" t="n"/>
      <c r="AJ73" s="82" t="inlineStr">
        <is>
          <t>Слой</t>
        </is>
      </c>
      <c r="AK73" s="82" t="n">
        <v>18</v>
      </c>
      <c r="BB73" s="121" t="inlineStr">
        <is>
          <t>ЗПФ</t>
        </is>
      </c>
      <c r="BM73" s="78">
        <f>IFERROR(X73*I73,"0")</f>
        <v/>
      </c>
      <c r="BN73" s="78">
        <f>IFERROR(Y73*I73,"0")</f>
        <v/>
      </c>
      <c r="BO73" s="78">
        <f>IFERROR(X73/J73,"0")</f>
        <v/>
      </c>
      <c r="BP73" s="78">
        <f>IFERROR(Y73/J73,"0")</f>
        <v/>
      </c>
    </row>
    <row r="74" ht="27" customHeight="1">
      <c r="A74" s="60" t="inlineStr">
        <is>
          <t>SU002595</t>
        </is>
      </c>
      <c r="B74" s="60" t="inlineStr">
        <is>
          <t>P003697</t>
        </is>
      </c>
      <c r="C74" s="34" t="n">
        <v>4301070981</v>
      </c>
      <c r="D74" s="353" t="n">
        <v>4607111036728</v>
      </c>
      <c r="E74" s="477" t="n"/>
      <c r="F74" s="516" t="n">
        <v>5</v>
      </c>
      <c r="G74" s="35" t="n">
        <v>1</v>
      </c>
      <c r="H74" s="516" t="n">
        <v>5</v>
      </c>
      <c r="I74" s="516" t="n">
        <v>5.2132</v>
      </c>
      <c r="J74" s="35" t="n">
        <v>144</v>
      </c>
      <c r="K74" s="35" t="inlineStr">
        <is>
          <t>12</t>
        </is>
      </c>
      <c r="L74" s="35" t="inlineStr">
        <is>
          <t>Слой, мин. 1</t>
        </is>
      </c>
      <c r="M74" s="36" t="inlineStr">
        <is>
          <t>МГ</t>
        </is>
      </c>
      <c r="N74" s="36" t="n"/>
      <c r="O74" s="35" t="n">
        <v>180</v>
      </c>
      <c r="P74" s="544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/>
      </c>
      <c r="Q74" s="518" t="n"/>
      <c r="R74" s="518" t="n"/>
      <c r="S74" s="518" t="n"/>
      <c r="T74" s="519" t="n"/>
      <c r="U74" s="37" t="inlineStr"/>
      <c r="V74" s="37" t="inlineStr"/>
      <c r="W74" s="38" t="inlineStr">
        <is>
          <t>кор</t>
        </is>
      </c>
      <c r="X74" s="520" t="n">
        <v>12</v>
      </c>
      <c r="Y74" s="521">
        <f>IFERROR(IF(X74="","",X74),"")</f>
        <v/>
      </c>
      <c r="Z74" s="39">
        <f>IFERROR(IF(X74="","",X74*0.00866),"")</f>
        <v/>
      </c>
      <c r="AA74" s="65" t="inlineStr"/>
      <c r="AB74" s="66" t="inlineStr"/>
      <c r="AC74" s="122" t="inlineStr">
        <is>
          <t>ЕАЭС N RU Д-RU.РА02.В.13673/23</t>
        </is>
      </c>
      <c r="AG74" s="78" t="n"/>
      <c r="AJ74" s="82" t="inlineStr">
        <is>
          <t>Слой</t>
        </is>
      </c>
      <c r="AK74" s="82" t="n">
        <v>12</v>
      </c>
      <c r="BB74" s="123" t="inlineStr">
        <is>
          <t>ЗПФ</t>
        </is>
      </c>
      <c r="BM74" s="78">
        <f>IFERROR(X74*I74,"0")</f>
        <v/>
      </c>
      <c r="BN74" s="78">
        <f>IFERROR(Y74*I74,"0")</f>
        <v/>
      </c>
      <c r="BO74" s="78">
        <f>IFERROR(X74/J74,"0")</f>
        <v/>
      </c>
      <c r="BP74" s="78">
        <f>IFERROR(Y74/J74,"0")</f>
        <v/>
      </c>
    </row>
    <row r="75">
      <c r="A75" s="361" t="n"/>
      <c r="B75" s="465" t="n"/>
      <c r="C75" s="465" t="n"/>
      <c r="D75" s="465" t="n"/>
      <c r="E75" s="465" t="n"/>
      <c r="F75" s="465" t="n"/>
      <c r="G75" s="465" t="n"/>
      <c r="H75" s="465" t="n"/>
      <c r="I75" s="465" t="n"/>
      <c r="J75" s="465" t="n"/>
      <c r="K75" s="465" t="n"/>
      <c r="L75" s="465" t="n"/>
      <c r="M75" s="465" t="n"/>
      <c r="N75" s="465" t="n"/>
      <c r="O75" s="522" t="n"/>
      <c r="P75" s="523" t="inlineStr">
        <is>
          <t>Итого</t>
        </is>
      </c>
      <c r="Q75" s="485" t="n"/>
      <c r="R75" s="485" t="n"/>
      <c r="S75" s="485" t="n"/>
      <c r="T75" s="485" t="n"/>
      <c r="U75" s="485" t="n"/>
      <c r="V75" s="486" t="n"/>
      <c r="W75" s="40" t="inlineStr">
        <is>
          <t>кор</t>
        </is>
      </c>
      <c r="X75" s="524">
        <f>IFERROR(SUM(X73:X74),"0")</f>
        <v/>
      </c>
      <c r="Y75" s="524">
        <f>IFERROR(SUM(Y73:Y74),"0")</f>
        <v/>
      </c>
      <c r="Z75" s="524">
        <f>IFERROR(IF(Z73="",0,Z73),"0")+IFERROR(IF(Z74="",0,Z74),"0")</f>
        <v/>
      </c>
      <c r="AA75" s="525" t="n"/>
      <c r="AB75" s="525" t="n"/>
      <c r="AC75" s="525" t="n"/>
    </row>
    <row r="76">
      <c r="A76" s="465" t="n"/>
      <c r="B76" s="465" t="n"/>
      <c r="C76" s="465" t="n"/>
      <c r="D76" s="465" t="n"/>
      <c r="E76" s="465" t="n"/>
      <c r="F76" s="465" t="n"/>
      <c r="G76" s="465" t="n"/>
      <c r="H76" s="465" t="n"/>
      <c r="I76" s="465" t="n"/>
      <c r="J76" s="465" t="n"/>
      <c r="K76" s="465" t="n"/>
      <c r="L76" s="465" t="n"/>
      <c r="M76" s="465" t="n"/>
      <c r="N76" s="465" t="n"/>
      <c r="O76" s="522" t="n"/>
      <c r="P76" s="523" t="inlineStr">
        <is>
          <t>Итого</t>
        </is>
      </c>
      <c r="Q76" s="485" t="n"/>
      <c r="R76" s="485" t="n"/>
      <c r="S76" s="485" t="n"/>
      <c r="T76" s="485" t="n"/>
      <c r="U76" s="485" t="n"/>
      <c r="V76" s="486" t="n"/>
      <c r="W76" s="40" t="inlineStr">
        <is>
          <t>кг</t>
        </is>
      </c>
      <c r="X76" s="524">
        <f>IFERROR(SUMPRODUCT(X73:X74*H73:H74),"0")</f>
        <v/>
      </c>
      <c r="Y76" s="524">
        <f>IFERROR(SUMPRODUCT(Y73:Y74*H73:H74),"0")</f>
        <v/>
      </c>
      <c r="Z76" s="40" t="n"/>
      <c r="AA76" s="525" t="n"/>
      <c r="AB76" s="525" t="n"/>
      <c r="AC76" s="525" t="n"/>
    </row>
    <row r="77" ht="16.5" customHeight="1">
      <c r="A77" s="351" t="inlineStr">
        <is>
          <t>Бельмеши</t>
        </is>
      </c>
      <c r="B77" s="465" t="n"/>
      <c r="C77" s="465" t="n"/>
      <c r="D77" s="465" t="n"/>
      <c r="E77" s="465" t="n"/>
      <c r="F77" s="465" t="n"/>
      <c r="G77" s="465" t="n"/>
      <c r="H77" s="465" t="n"/>
      <c r="I77" s="465" t="n"/>
      <c r="J77" s="465" t="n"/>
      <c r="K77" s="465" t="n"/>
      <c r="L77" s="465" t="n"/>
      <c r="M77" s="465" t="n"/>
      <c r="N77" s="465" t="n"/>
      <c r="O77" s="465" t="n"/>
      <c r="P77" s="465" t="n"/>
      <c r="Q77" s="465" t="n"/>
      <c r="R77" s="465" t="n"/>
      <c r="S77" s="465" t="n"/>
      <c r="T77" s="465" t="n"/>
      <c r="U77" s="465" t="n"/>
      <c r="V77" s="465" t="n"/>
      <c r="W77" s="465" t="n"/>
      <c r="X77" s="465" t="n"/>
      <c r="Y77" s="465" t="n"/>
      <c r="Z77" s="465" t="n"/>
      <c r="AA77" s="351" t="n"/>
      <c r="AB77" s="351" t="n"/>
      <c r="AC77" s="351" t="n"/>
    </row>
    <row r="78" ht="14.25" customHeight="1">
      <c r="A78" s="352" t="inlineStr">
        <is>
          <t>Снеки</t>
        </is>
      </c>
      <c r="B78" s="465" t="n"/>
      <c r="C78" s="465" t="n"/>
      <c r="D78" s="465" t="n"/>
      <c r="E78" s="465" t="n"/>
      <c r="F78" s="465" t="n"/>
      <c r="G78" s="465" t="n"/>
      <c r="H78" s="465" t="n"/>
      <c r="I78" s="465" t="n"/>
      <c r="J78" s="465" t="n"/>
      <c r="K78" s="465" t="n"/>
      <c r="L78" s="465" t="n"/>
      <c r="M78" s="465" t="n"/>
      <c r="N78" s="465" t="n"/>
      <c r="O78" s="465" t="n"/>
      <c r="P78" s="465" t="n"/>
      <c r="Q78" s="465" t="n"/>
      <c r="R78" s="465" t="n"/>
      <c r="S78" s="465" t="n"/>
      <c r="T78" s="465" t="n"/>
      <c r="U78" s="465" t="n"/>
      <c r="V78" s="465" t="n"/>
      <c r="W78" s="465" t="n"/>
      <c r="X78" s="465" t="n"/>
      <c r="Y78" s="465" t="n"/>
      <c r="Z78" s="465" t="n"/>
      <c r="AA78" s="352" t="n"/>
      <c r="AB78" s="352" t="n"/>
      <c r="AC78" s="352" t="n"/>
    </row>
    <row r="79" ht="27" customHeight="1">
      <c r="A79" s="60" t="inlineStr">
        <is>
          <t>SU003593</t>
        </is>
      </c>
      <c r="B79" s="60" t="inlineStr">
        <is>
          <t>P004598</t>
        </is>
      </c>
      <c r="C79" s="34" t="n">
        <v>4301135574</v>
      </c>
      <c r="D79" s="353" t="n">
        <v>4607111033659</v>
      </c>
      <c r="E79" s="477" t="n"/>
      <c r="F79" s="516" t="n">
        <v>0.3</v>
      </c>
      <c r="G79" s="35" t="n">
        <v>12</v>
      </c>
      <c r="H79" s="516" t="n">
        <v>3.6</v>
      </c>
      <c r="I79" s="516" t="n">
        <v>4.3036</v>
      </c>
      <c r="J79" s="35" t="n">
        <v>70</v>
      </c>
      <c r="K79" s="35" t="inlineStr">
        <is>
          <t>14</t>
        </is>
      </c>
      <c r="L79" s="35" t="inlineStr">
        <is>
          <t>Короб, мин. 1</t>
        </is>
      </c>
      <c r="M79" s="36" t="inlineStr">
        <is>
          <t>МГ</t>
        </is>
      </c>
      <c r="N79" s="36" t="n"/>
      <c r="O79" s="35" t="n">
        <v>180</v>
      </c>
      <c r="P79" s="545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/>
      </c>
      <c r="Q79" s="518" t="n"/>
      <c r="R79" s="518" t="n"/>
      <c r="S79" s="518" t="n"/>
      <c r="T79" s="519" t="n"/>
      <c r="U79" s="37" t="inlineStr"/>
      <c r="V79" s="37" t="inlineStr"/>
      <c r="W79" s="38" t="inlineStr">
        <is>
          <t>кор</t>
        </is>
      </c>
      <c r="X79" s="520" t="n">
        <v>0</v>
      </c>
      <c r="Y79" s="521">
        <f>IFERROR(IF(X79="","",X79),"")</f>
        <v/>
      </c>
      <c r="Z79" s="39">
        <f>IFERROR(IF(X79="","",X79*0.01788),"")</f>
        <v/>
      </c>
      <c r="AA79" s="65" t="inlineStr"/>
      <c r="AB79" s="66" t="inlineStr"/>
      <c r="AC79" s="124" t="inlineStr">
        <is>
          <t>ЕАЭС N RU Д-RU.РА02.В.49579/23</t>
        </is>
      </c>
      <c r="AG79" s="78" t="n"/>
      <c r="AJ79" s="82" t="inlineStr">
        <is>
          <t>Короб</t>
        </is>
      </c>
      <c r="AK79" s="82" t="n">
        <v>1</v>
      </c>
      <c r="BB79" s="125" t="inlineStr">
        <is>
          <t>ПГП</t>
        </is>
      </c>
      <c r="BM79" s="78">
        <f>IFERROR(X79*I79,"0")</f>
        <v/>
      </c>
      <c r="BN79" s="78">
        <f>IFERROR(Y79*I79,"0")</f>
        <v/>
      </c>
      <c r="BO79" s="78">
        <f>IFERROR(X79/J79,"0")</f>
        <v/>
      </c>
      <c r="BP79" s="78">
        <f>IFERROR(Y79/J79,"0")</f>
        <v/>
      </c>
    </row>
    <row r="80">
      <c r="A80" s="361" t="n"/>
      <c r="B80" s="465" t="n"/>
      <c r="C80" s="465" t="n"/>
      <c r="D80" s="465" t="n"/>
      <c r="E80" s="465" t="n"/>
      <c r="F80" s="465" t="n"/>
      <c r="G80" s="465" t="n"/>
      <c r="H80" s="465" t="n"/>
      <c r="I80" s="465" t="n"/>
      <c r="J80" s="465" t="n"/>
      <c r="K80" s="465" t="n"/>
      <c r="L80" s="465" t="n"/>
      <c r="M80" s="465" t="n"/>
      <c r="N80" s="465" t="n"/>
      <c r="O80" s="522" t="n"/>
      <c r="P80" s="523" t="inlineStr">
        <is>
          <t>Итого</t>
        </is>
      </c>
      <c r="Q80" s="485" t="n"/>
      <c r="R80" s="485" t="n"/>
      <c r="S80" s="485" t="n"/>
      <c r="T80" s="485" t="n"/>
      <c r="U80" s="485" t="n"/>
      <c r="V80" s="486" t="n"/>
      <c r="W80" s="40" t="inlineStr">
        <is>
          <t>кор</t>
        </is>
      </c>
      <c r="X80" s="524">
        <f>IFERROR(SUM(X79:X79),"0")</f>
        <v/>
      </c>
      <c r="Y80" s="524">
        <f>IFERROR(SUM(Y79:Y79),"0")</f>
        <v/>
      </c>
      <c r="Z80" s="524">
        <f>IFERROR(IF(Z79="",0,Z79),"0")</f>
        <v/>
      </c>
      <c r="AA80" s="525" t="n"/>
      <c r="AB80" s="525" t="n"/>
      <c r="AC80" s="525" t="n"/>
    </row>
    <row r="81">
      <c r="A81" s="465" t="n"/>
      <c r="B81" s="465" t="n"/>
      <c r="C81" s="465" t="n"/>
      <c r="D81" s="465" t="n"/>
      <c r="E81" s="465" t="n"/>
      <c r="F81" s="465" t="n"/>
      <c r="G81" s="465" t="n"/>
      <c r="H81" s="465" t="n"/>
      <c r="I81" s="465" t="n"/>
      <c r="J81" s="465" t="n"/>
      <c r="K81" s="465" t="n"/>
      <c r="L81" s="465" t="n"/>
      <c r="M81" s="465" t="n"/>
      <c r="N81" s="465" t="n"/>
      <c r="O81" s="522" t="n"/>
      <c r="P81" s="523" t="inlineStr">
        <is>
          <t>Итого</t>
        </is>
      </c>
      <c r="Q81" s="485" t="n"/>
      <c r="R81" s="485" t="n"/>
      <c r="S81" s="485" t="n"/>
      <c r="T81" s="485" t="n"/>
      <c r="U81" s="485" t="n"/>
      <c r="V81" s="486" t="n"/>
      <c r="W81" s="40" t="inlineStr">
        <is>
          <t>кг</t>
        </is>
      </c>
      <c r="X81" s="524">
        <f>IFERROR(SUMPRODUCT(X79:X79*H79:H79),"0")</f>
        <v/>
      </c>
      <c r="Y81" s="524">
        <f>IFERROR(SUMPRODUCT(Y79:Y79*H79:H79),"0")</f>
        <v/>
      </c>
      <c r="Z81" s="40" t="n"/>
      <c r="AA81" s="525" t="n"/>
      <c r="AB81" s="525" t="n"/>
      <c r="AC81" s="525" t="n"/>
    </row>
    <row r="82" ht="16.5" customHeight="1">
      <c r="A82" s="351" t="inlineStr">
        <is>
          <t>Крылышки ГШ</t>
        </is>
      </c>
      <c r="B82" s="465" t="n"/>
      <c r="C82" s="465" t="n"/>
      <c r="D82" s="465" t="n"/>
      <c r="E82" s="465" t="n"/>
      <c r="F82" s="465" t="n"/>
      <c r="G82" s="465" t="n"/>
      <c r="H82" s="465" t="n"/>
      <c r="I82" s="465" t="n"/>
      <c r="J82" s="465" t="n"/>
      <c r="K82" s="465" t="n"/>
      <c r="L82" s="465" t="n"/>
      <c r="M82" s="465" t="n"/>
      <c r="N82" s="465" t="n"/>
      <c r="O82" s="465" t="n"/>
      <c r="P82" s="465" t="n"/>
      <c r="Q82" s="465" t="n"/>
      <c r="R82" s="465" t="n"/>
      <c r="S82" s="465" t="n"/>
      <c r="T82" s="465" t="n"/>
      <c r="U82" s="465" t="n"/>
      <c r="V82" s="465" t="n"/>
      <c r="W82" s="465" t="n"/>
      <c r="X82" s="465" t="n"/>
      <c r="Y82" s="465" t="n"/>
      <c r="Z82" s="465" t="n"/>
      <c r="AA82" s="351" t="n"/>
      <c r="AB82" s="351" t="n"/>
      <c r="AC82" s="351" t="n"/>
    </row>
    <row r="83" ht="14.25" customHeight="1">
      <c r="A83" s="352" t="inlineStr">
        <is>
          <t>Крылья</t>
        </is>
      </c>
      <c r="B83" s="465" t="n"/>
      <c r="C83" s="465" t="n"/>
      <c r="D83" s="465" t="n"/>
      <c r="E83" s="465" t="n"/>
      <c r="F83" s="465" t="n"/>
      <c r="G83" s="465" t="n"/>
      <c r="H83" s="465" t="n"/>
      <c r="I83" s="465" t="n"/>
      <c r="J83" s="465" t="n"/>
      <c r="K83" s="465" t="n"/>
      <c r="L83" s="465" t="n"/>
      <c r="M83" s="465" t="n"/>
      <c r="N83" s="465" t="n"/>
      <c r="O83" s="465" t="n"/>
      <c r="P83" s="465" t="n"/>
      <c r="Q83" s="465" t="n"/>
      <c r="R83" s="465" t="n"/>
      <c r="S83" s="465" t="n"/>
      <c r="T83" s="465" t="n"/>
      <c r="U83" s="465" t="n"/>
      <c r="V83" s="465" t="n"/>
      <c r="W83" s="465" t="n"/>
      <c r="X83" s="465" t="n"/>
      <c r="Y83" s="465" t="n"/>
      <c r="Z83" s="465" t="n"/>
      <c r="AA83" s="352" t="n"/>
      <c r="AB83" s="352" t="n"/>
      <c r="AC83" s="352" t="n"/>
    </row>
    <row r="84" ht="27" customHeight="1">
      <c r="A84" s="60" t="inlineStr">
        <is>
          <t>SU003591</t>
        </is>
      </c>
      <c r="B84" s="60" t="inlineStr">
        <is>
          <t>P004588</t>
        </is>
      </c>
      <c r="C84" s="34" t="n">
        <v>4301131047</v>
      </c>
      <c r="D84" s="353" t="n">
        <v>4607111034120</v>
      </c>
      <c r="E84" s="477" t="n"/>
      <c r="F84" s="516" t="n">
        <v>0.3</v>
      </c>
      <c r="G84" s="35" t="n">
        <v>12</v>
      </c>
      <c r="H84" s="516" t="n">
        <v>3.6</v>
      </c>
      <c r="I84" s="516" t="n">
        <v>4.3036</v>
      </c>
      <c r="J84" s="35" t="n">
        <v>70</v>
      </c>
      <c r="K84" s="35" t="inlineStr">
        <is>
          <t>14</t>
        </is>
      </c>
      <c r="L84" s="35" t="inlineStr">
        <is>
          <t>Короб, мин. 1</t>
        </is>
      </c>
      <c r="M84" s="36" t="inlineStr">
        <is>
          <t>МГ</t>
        </is>
      </c>
      <c r="N84" s="36" t="n"/>
      <c r="O84" s="35" t="n">
        <v>180</v>
      </c>
      <c r="P84" s="546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/>
      </c>
      <c r="Q84" s="518" t="n"/>
      <c r="R84" s="518" t="n"/>
      <c r="S84" s="518" t="n"/>
      <c r="T84" s="519" t="n"/>
      <c r="U84" s="37" t="inlineStr"/>
      <c r="V84" s="37" t="inlineStr"/>
      <c r="W84" s="38" t="inlineStr">
        <is>
          <t>кор</t>
        </is>
      </c>
      <c r="X84" s="520" t="n">
        <v>42</v>
      </c>
      <c r="Y84" s="521">
        <f>IFERROR(IF(X84="","",X84),"")</f>
        <v/>
      </c>
      <c r="Z84" s="39">
        <f>IFERROR(IF(X84="","",X84*0.01788),"")</f>
        <v/>
      </c>
      <c r="AA84" s="65" t="inlineStr"/>
      <c r="AB84" s="66" t="inlineStr"/>
      <c r="AC84" s="126" t="inlineStr">
        <is>
          <t>ЕАЭС N RU Д-RU.РА10.В.35725/23</t>
        </is>
      </c>
      <c r="AG84" s="78" t="n"/>
      <c r="AJ84" s="82" t="inlineStr">
        <is>
          <t>Короб</t>
        </is>
      </c>
      <c r="AK84" s="82" t="n">
        <v>1</v>
      </c>
      <c r="BB84" s="127" t="inlineStr">
        <is>
          <t>ПГП</t>
        </is>
      </c>
      <c r="BM84" s="78">
        <f>IFERROR(X84*I84,"0")</f>
        <v/>
      </c>
      <c r="BN84" s="78">
        <f>IFERROR(Y84*I84,"0")</f>
        <v/>
      </c>
      <c r="BO84" s="78">
        <f>IFERROR(X84/J84,"0")</f>
        <v/>
      </c>
      <c r="BP84" s="78">
        <f>IFERROR(Y84/J84,"0")</f>
        <v/>
      </c>
    </row>
    <row r="85" ht="27" customHeight="1">
      <c r="A85" s="60" t="inlineStr">
        <is>
          <t>SU003607</t>
        </is>
      </c>
      <c r="B85" s="60" t="inlineStr">
        <is>
          <t>P004589</t>
        </is>
      </c>
      <c r="C85" s="34" t="n">
        <v>4301131046</v>
      </c>
      <c r="D85" s="353" t="n">
        <v>4607111034137</v>
      </c>
      <c r="E85" s="477" t="n"/>
      <c r="F85" s="516" t="n">
        <v>0.3</v>
      </c>
      <c r="G85" s="35" t="n">
        <v>12</v>
      </c>
      <c r="H85" s="516" t="n">
        <v>3.6</v>
      </c>
      <c r="I85" s="516" t="n">
        <v>4.3036</v>
      </c>
      <c r="J85" s="35" t="n">
        <v>70</v>
      </c>
      <c r="K85" s="35" t="inlineStr">
        <is>
          <t>14</t>
        </is>
      </c>
      <c r="L85" s="35" t="inlineStr">
        <is>
          <t>Короб, мин. 1</t>
        </is>
      </c>
      <c r="M85" s="36" t="inlineStr">
        <is>
          <t>МГ</t>
        </is>
      </c>
      <c r="N85" s="36" t="n"/>
      <c r="O85" s="35" t="n">
        <v>180</v>
      </c>
      <c r="P85" s="547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/>
      </c>
      <c r="Q85" s="518" t="n"/>
      <c r="R85" s="518" t="n"/>
      <c r="S85" s="518" t="n"/>
      <c r="T85" s="519" t="n"/>
      <c r="U85" s="37" t="inlineStr"/>
      <c r="V85" s="37" t="inlineStr"/>
      <c r="W85" s="38" t="inlineStr">
        <is>
          <t>кор</t>
        </is>
      </c>
      <c r="X85" s="520" t="n">
        <v>0</v>
      </c>
      <c r="Y85" s="521">
        <f>IFERROR(IF(X85="","",X85),"")</f>
        <v/>
      </c>
      <c r="Z85" s="39">
        <f>IFERROR(IF(X85="","",X85*0.01788),"")</f>
        <v/>
      </c>
      <c r="AA85" s="65" t="inlineStr"/>
      <c r="AB85" s="66" t="inlineStr"/>
      <c r="AC85" s="128" t="inlineStr">
        <is>
          <t>ЕАЭС N RU Д-RU.РА01.В.97554/24</t>
        </is>
      </c>
      <c r="AG85" s="78" t="n"/>
      <c r="AJ85" s="82" t="inlineStr">
        <is>
          <t>Короб</t>
        </is>
      </c>
      <c r="AK85" s="82" t="n">
        <v>1</v>
      </c>
      <c r="BB85" s="129" t="inlineStr">
        <is>
          <t>ПГП</t>
        </is>
      </c>
      <c r="BM85" s="78">
        <f>IFERROR(X85*I85,"0")</f>
        <v/>
      </c>
      <c r="BN85" s="78">
        <f>IFERROR(Y85*I85,"0")</f>
        <v/>
      </c>
      <c r="BO85" s="78">
        <f>IFERROR(X85/J85,"0")</f>
        <v/>
      </c>
      <c r="BP85" s="78">
        <f>IFERROR(Y85/J85,"0")</f>
        <v/>
      </c>
    </row>
    <row r="86">
      <c r="A86" s="361" t="n"/>
      <c r="B86" s="465" t="n"/>
      <c r="C86" s="465" t="n"/>
      <c r="D86" s="465" t="n"/>
      <c r="E86" s="465" t="n"/>
      <c r="F86" s="465" t="n"/>
      <c r="G86" s="465" t="n"/>
      <c r="H86" s="465" t="n"/>
      <c r="I86" s="465" t="n"/>
      <c r="J86" s="465" t="n"/>
      <c r="K86" s="465" t="n"/>
      <c r="L86" s="465" t="n"/>
      <c r="M86" s="465" t="n"/>
      <c r="N86" s="465" t="n"/>
      <c r="O86" s="522" t="n"/>
      <c r="P86" s="523" t="inlineStr">
        <is>
          <t>Итого</t>
        </is>
      </c>
      <c r="Q86" s="485" t="n"/>
      <c r="R86" s="485" t="n"/>
      <c r="S86" s="485" t="n"/>
      <c r="T86" s="485" t="n"/>
      <c r="U86" s="485" t="n"/>
      <c r="V86" s="486" t="n"/>
      <c r="W86" s="40" t="inlineStr">
        <is>
          <t>кор</t>
        </is>
      </c>
      <c r="X86" s="524">
        <f>IFERROR(SUM(X84:X85),"0")</f>
        <v/>
      </c>
      <c r="Y86" s="524">
        <f>IFERROR(SUM(Y84:Y85),"0")</f>
        <v/>
      </c>
      <c r="Z86" s="524">
        <f>IFERROR(IF(Z84="",0,Z84),"0")+IFERROR(IF(Z85="",0,Z85),"0")</f>
        <v/>
      </c>
      <c r="AA86" s="525" t="n"/>
      <c r="AB86" s="525" t="n"/>
      <c r="AC86" s="525" t="n"/>
    </row>
    <row r="87">
      <c r="A87" s="465" t="n"/>
      <c r="B87" s="465" t="n"/>
      <c r="C87" s="465" t="n"/>
      <c r="D87" s="465" t="n"/>
      <c r="E87" s="465" t="n"/>
      <c r="F87" s="465" t="n"/>
      <c r="G87" s="465" t="n"/>
      <c r="H87" s="465" t="n"/>
      <c r="I87" s="465" t="n"/>
      <c r="J87" s="465" t="n"/>
      <c r="K87" s="465" t="n"/>
      <c r="L87" s="465" t="n"/>
      <c r="M87" s="465" t="n"/>
      <c r="N87" s="465" t="n"/>
      <c r="O87" s="522" t="n"/>
      <c r="P87" s="523" t="inlineStr">
        <is>
          <t>Итого</t>
        </is>
      </c>
      <c r="Q87" s="485" t="n"/>
      <c r="R87" s="485" t="n"/>
      <c r="S87" s="485" t="n"/>
      <c r="T87" s="485" t="n"/>
      <c r="U87" s="485" t="n"/>
      <c r="V87" s="486" t="n"/>
      <c r="W87" s="40" t="inlineStr">
        <is>
          <t>кг</t>
        </is>
      </c>
      <c r="X87" s="524">
        <f>IFERROR(SUMPRODUCT(X84:X85*H84:H85),"0")</f>
        <v/>
      </c>
      <c r="Y87" s="524">
        <f>IFERROR(SUMPRODUCT(Y84:Y85*H84:H85),"0")</f>
        <v/>
      </c>
      <c r="Z87" s="40" t="n"/>
      <c r="AA87" s="525" t="n"/>
      <c r="AB87" s="525" t="n"/>
      <c r="AC87" s="525" t="n"/>
    </row>
    <row r="88" ht="16.5" customHeight="1">
      <c r="A88" s="351" t="inlineStr">
        <is>
          <t>Чебупели</t>
        </is>
      </c>
      <c r="B88" s="465" t="n"/>
      <c r="C88" s="465" t="n"/>
      <c r="D88" s="465" t="n"/>
      <c r="E88" s="465" t="n"/>
      <c r="F88" s="465" t="n"/>
      <c r="G88" s="465" t="n"/>
      <c r="H88" s="465" t="n"/>
      <c r="I88" s="465" t="n"/>
      <c r="J88" s="465" t="n"/>
      <c r="K88" s="465" t="n"/>
      <c r="L88" s="465" t="n"/>
      <c r="M88" s="465" t="n"/>
      <c r="N88" s="465" t="n"/>
      <c r="O88" s="465" t="n"/>
      <c r="P88" s="465" t="n"/>
      <c r="Q88" s="465" t="n"/>
      <c r="R88" s="465" t="n"/>
      <c r="S88" s="465" t="n"/>
      <c r="T88" s="465" t="n"/>
      <c r="U88" s="465" t="n"/>
      <c r="V88" s="465" t="n"/>
      <c r="W88" s="465" t="n"/>
      <c r="X88" s="465" t="n"/>
      <c r="Y88" s="465" t="n"/>
      <c r="Z88" s="465" t="n"/>
      <c r="AA88" s="351" t="n"/>
      <c r="AB88" s="351" t="n"/>
      <c r="AC88" s="351" t="n"/>
    </row>
    <row r="89" ht="14.25" customHeight="1">
      <c r="A89" s="352" t="inlineStr">
        <is>
          <t>Снеки</t>
        </is>
      </c>
      <c r="B89" s="465" t="n"/>
      <c r="C89" s="465" t="n"/>
      <c r="D89" s="465" t="n"/>
      <c r="E89" s="465" t="n"/>
      <c r="F89" s="465" t="n"/>
      <c r="G89" s="465" t="n"/>
      <c r="H89" s="465" t="n"/>
      <c r="I89" s="465" t="n"/>
      <c r="J89" s="465" t="n"/>
      <c r="K89" s="465" t="n"/>
      <c r="L89" s="465" t="n"/>
      <c r="M89" s="465" t="n"/>
      <c r="N89" s="465" t="n"/>
      <c r="O89" s="465" t="n"/>
      <c r="P89" s="465" t="n"/>
      <c r="Q89" s="465" t="n"/>
      <c r="R89" s="465" t="n"/>
      <c r="S89" s="465" t="n"/>
      <c r="T89" s="465" t="n"/>
      <c r="U89" s="465" t="n"/>
      <c r="V89" s="465" t="n"/>
      <c r="W89" s="465" t="n"/>
      <c r="X89" s="465" t="n"/>
      <c r="Y89" s="465" t="n"/>
      <c r="Z89" s="465" t="n"/>
      <c r="AA89" s="352" t="n"/>
      <c r="AB89" s="352" t="n"/>
      <c r="AC89" s="352" t="n"/>
    </row>
    <row r="90" ht="27" customHeight="1">
      <c r="A90" s="60" t="inlineStr">
        <is>
          <t>SU003887</t>
        </is>
      </c>
      <c r="B90" s="60" t="inlineStr">
        <is>
          <t>P004969</t>
        </is>
      </c>
      <c r="C90" s="34" t="n">
        <v>4301135763</v>
      </c>
      <c r="D90" s="353" t="n">
        <v>4620207491027</v>
      </c>
      <c r="E90" s="477" t="n"/>
      <c r="F90" s="516" t="n">
        <v>0.24</v>
      </c>
      <c r="G90" s="35" t="n">
        <v>12</v>
      </c>
      <c r="H90" s="516" t="n">
        <v>2.88</v>
      </c>
      <c r="I90" s="516" t="n">
        <v>3.5836</v>
      </c>
      <c r="J90" s="35" t="n">
        <v>70</v>
      </c>
      <c r="K90" s="35" t="inlineStr">
        <is>
          <t>14</t>
        </is>
      </c>
      <c r="L90" s="35" t="inlineStr">
        <is>
          <t>Короб, мин. 1</t>
        </is>
      </c>
      <c r="M90" s="36" t="inlineStr">
        <is>
          <t>МГ</t>
        </is>
      </c>
      <c r="N90" s="36" t="n"/>
      <c r="O90" s="35" t="n">
        <v>180</v>
      </c>
      <c r="P90" s="548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/>
      </c>
      <c r="Q90" s="518" t="n"/>
      <c r="R90" s="518" t="n"/>
      <c r="S90" s="518" t="n"/>
      <c r="T90" s="519" t="n"/>
      <c r="U90" s="37" t="inlineStr"/>
      <c r="V90" s="37" t="inlineStr"/>
      <c r="W90" s="38" t="inlineStr">
        <is>
          <t>кор</t>
        </is>
      </c>
      <c r="X90" s="520" t="n">
        <v>70</v>
      </c>
      <c r="Y90" s="521">
        <f>IFERROR(IF(X90="","",X90),"")</f>
        <v/>
      </c>
      <c r="Z90" s="39">
        <f>IFERROR(IF(X90="","",X90*0.01788),"")</f>
        <v/>
      </c>
      <c r="AA90" s="65" t="inlineStr"/>
      <c r="AB90" s="66" t="inlineStr"/>
      <c r="AC90" s="130" t="inlineStr">
        <is>
          <t>ЕАЭС N RU Д-RU.РА02.В.49579/23</t>
        </is>
      </c>
      <c r="AG90" s="78" t="n"/>
      <c r="AJ90" s="82" t="inlineStr">
        <is>
          <t>Короб</t>
        </is>
      </c>
      <c r="AK90" s="82" t="n">
        <v>1</v>
      </c>
      <c r="BB90" s="131" t="inlineStr">
        <is>
          <t>ПГП</t>
        </is>
      </c>
      <c r="BM90" s="78">
        <f>IFERROR(X90*I90,"0")</f>
        <v/>
      </c>
      <c r="BN90" s="78">
        <f>IFERROR(Y90*I90,"0")</f>
        <v/>
      </c>
      <c r="BO90" s="78">
        <f>IFERROR(X90/J90,"0")</f>
        <v/>
      </c>
      <c r="BP90" s="78">
        <f>IFERROR(Y90/J90,"0")</f>
        <v/>
      </c>
    </row>
    <row r="91" ht="27" customHeight="1">
      <c r="A91" s="60" t="inlineStr">
        <is>
          <t>SU003889</t>
        </is>
      </c>
      <c r="B91" s="60" t="inlineStr">
        <is>
          <t>P004971</t>
        </is>
      </c>
      <c r="C91" s="34" t="n">
        <v>4301135793</v>
      </c>
      <c r="D91" s="353" t="n">
        <v>4620207491003</v>
      </c>
      <c r="E91" s="477" t="n"/>
      <c r="F91" s="516" t="n">
        <v>0.24</v>
      </c>
      <c r="G91" s="35" t="n">
        <v>12</v>
      </c>
      <c r="H91" s="516" t="n">
        <v>2.88</v>
      </c>
      <c r="I91" s="516" t="n">
        <v>3.5836</v>
      </c>
      <c r="J91" s="35" t="n">
        <v>70</v>
      </c>
      <c r="K91" s="35" t="inlineStr">
        <is>
          <t>14</t>
        </is>
      </c>
      <c r="L91" s="35" t="inlineStr">
        <is>
          <t>Короб, мин. 1</t>
        </is>
      </c>
      <c r="M91" s="36" t="inlineStr">
        <is>
          <t>МГ</t>
        </is>
      </c>
      <c r="N91" s="36" t="n"/>
      <c r="O91" s="35" t="n">
        <v>180</v>
      </c>
      <c r="P91" s="549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/>
      </c>
      <c r="Q91" s="518" t="n"/>
      <c r="R91" s="518" t="n"/>
      <c r="S91" s="518" t="n"/>
      <c r="T91" s="519" t="n"/>
      <c r="U91" s="37" t="inlineStr"/>
      <c r="V91" s="37" t="inlineStr"/>
      <c r="W91" s="38" t="inlineStr">
        <is>
          <t>кор</t>
        </is>
      </c>
      <c r="X91" s="520" t="n">
        <v>70</v>
      </c>
      <c r="Y91" s="521">
        <f>IFERROR(IF(X91="","",X91),"")</f>
        <v/>
      </c>
      <c r="Z91" s="39">
        <f>IFERROR(IF(X91="","",X91*0.01788),"")</f>
        <v/>
      </c>
      <c r="AA91" s="65" t="inlineStr"/>
      <c r="AB91" s="66" t="inlineStr"/>
      <c r="AC91" s="132" t="inlineStr">
        <is>
          <t>ЕАЭС N RU Д-RU.РА02.В.49579/23</t>
        </is>
      </c>
      <c r="AG91" s="78" t="n"/>
      <c r="AJ91" s="82" t="inlineStr">
        <is>
          <t>Короб</t>
        </is>
      </c>
      <c r="AK91" s="82" t="n">
        <v>1</v>
      </c>
      <c r="BB91" s="133" t="inlineStr">
        <is>
          <t>ПГП</t>
        </is>
      </c>
      <c r="BM91" s="78">
        <f>IFERROR(X91*I91,"0")</f>
        <v/>
      </c>
      <c r="BN91" s="78">
        <f>IFERROR(Y91*I91,"0")</f>
        <v/>
      </c>
      <c r="BO91" s="78">
        <f>IFERROR(X91/J91,"0")</f>
        <v/>
      </c>
      <c r="BP91" s="78">
        <f>IFERROR(Y91/J91,"0")</f>
        <v/>
      </c>
    </row>
    <row r="92" ht="27" customHeight="1">
      <c r="A92" s="60" t="inlineStr">
        <is>
          <t>SU003892</t>
        </is>
      </c>
      <c r="B92" s="60" t="inlineStr">
        <is>
          <t>P004974</t>
        </is>
      </c>
      <c r="C92" s="34" t="n">
        <v>4301135768</v>
      </c>
      <c r="D92" s="353" t="n">
        <v>4620207491034</v>
      </c>
      <c r="E92" s="477" t="n"/>
      <c r="F92" s="516" t="n">
        <v>0.24</v>
      </c>
      <c r="G92" s="35" t="n">
        <v>12</v>
      </c>
      <c r="H92" s="516" t="n">
        <v>2.88</v>
      </c>
      <c r="I92" s="516" t="n">
        <v>3.5836</v>
      </c>
      <c r="J92" s="35" t="n">
        <v>70</v>
      </c>
      <c r="K92" s="35" t="inlineStr">
        <is>
          <t>14</t>
        </is>
      </c>
      <c r="L92" s="35" t="inlineStr">
        <is>
          <t>Короб, мин. 1</t>
        </is>
      </c>
      <c r="M92" s="36" t="inlineStr">
        <is>
          <t>МГ</t>
        </is>
      </c>
      <c r="N92" s="36" t="n"/>
      <c r="O92" s="35" t="n">
        <v>180</v>
      </c>
      <c r="P92" s="550">
        <f>HYPERLINK("https://abi.ru/products/Замороженные/Горячая штучка/Чебупели/Снеки/P004974/","Снеки «Готовые чебупели с мясом» Фикс.вес 0,24 ТМ «Горячая штучка»")</f>
        <v/>
      </c>
      <c r="Q92" s="518" t="n"/>
      <c r="R92" s="518" t="n"/>
      <c r="S92" s="518" t="n"/>
      <c r="T92" s="519" t="n"/>
      <c r="U92" s="37" t="inlineStr"/>
      <c r="V92" s="37" t="inlineStr"/>
      <c r="W92" s="38" t="inlineStr">
        <is>
          <t>кор</t>
        </is>
      </c>
      <c r="X92" s="520" t="n">
        <v>0</v>
      </c>
      <c r="Y92" s="521">
        <f>IFERROR(IF(X92="","",X92),"")</f>
        <v/>
      </c>
      <c r="Z92" s="39">
        <f>IFERROR(IF(X92="","",X92*0.01788),"")</f>
        <v/>
      </c>
      <c r="AA92" s="65" t="inlineStr"/>
      <c r="AB92" s="66" t="inlineStr"/>
      <c r="AC92" s="134" t="inlineStr">
        <is>
          <t>ЕАЭС N RU Д-RU.РА01.В.13713/23</t>
        </is>
      </c>
      <c r="AG92" s="78" t="n"/>
      <c r="AJ92" s="82" t="inlineStr">
        <is>
          <t>Короб</t>
        </is>
      </c>
      <c r="AK92" s="82" t="n">
        <v>1</v>
      </c>
      <c r="BB92" s="135" t="inlineStr">
        <is>
          <t>ПГП</t>
        </is>
      </c>
      <c r="BM92" s="78">
        <f>IFERROR(X92*I92,"0")</f>
        <v/>
      </c>
      <c r="BN92" s="78">
        <f>IFERROR(Y92*I92,"0")</f>
        <v/>
      </c>
      <c r="BO92" s="78">
        <f>IFERROR(X92/J92,"0")</f>
        <v/>
      </c>
      <c r="BP92" s="78">
        <f>IFERROR(Y92/J92,"0")</f>
        <v/>
      </c>
    </row>
    <row r="93" ht="27" customHeight="1">
      <c r="A93" s="60" t="inlineStr">
        <is>
          <t>SU003884</t>
        </is>
      </c>
      <c r="B93" s="60" t="inlineStr">
        <is>
          <t>P004966</t>
        </is>
      </c>
      <c r="C93" s="34" t="n">
        <v>4301135760</v>
      </c>
      <c r="D93" s="353" t="n">
        <v>4620207491010</v>
      </c>
      <c r="E93" s="477" t="n"/>
      <c r="F93" s="516" t="n">
        <v>0.24</v>
      </c>
      <c r="G93" s="35" t="n">
        <v>12</v>
      </c>
      <c r="H93" s="516" t="n">
        <v>2.88</v>
      </c>
      <c r="I93" s="516" t="n">
        <v>3.5836</v>
      </c>
      <c r="J93" s="35" t="n">
        <v>70</v>
      </c>
      <c r="K93" s="35" t="inlineStr">
        <is>
          <t>14</t>
        </is>
      </c>
      <c r="L93" s="35" t="inlineStr">
        <is>
          <t>Короб, мин. 1</t>
        </is>
      </c>
      <c r="M93" s="36" t="inlineStr">
        <is>
          <t>МГ</t>
        </is>
      </c>
      <c r="N93" s="36" t="n"/>
      <c r="O93" s="35" t="n">
        <v>180</v>
      </c>
      <c r="P93" s="551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/>
      </c>
      <c r="Q93" s="518" t="n"/>
      <c r="R93" s="518" t="n"/>
      <c r="S93" s="518" t="n"/>
      <c r="T93" s="519" t="n"/>
      <c r="U93" s="37" t="inlineStr"/>
      <c r="V93" s="37" t="inlineStr"/>
      <c r="W93" s="38" t="inlineStr">
        <is>
          <t>кор</t>
        </is>
      </c>
      <c r="X93" s="520" t="n">
        <v>70</v>
      </c>
      <c r="Y93" s="521">
        <f>IFERROR(IF(X93="","",X93),"")</f>
        <v/>
      </c>
      <c r="Z93" s="39">
        <f>IFERROR(IF(X93="","",X93*0.01788),"")</f>
        <v/>
      </c>
      <c r="AA93" s="65" t="inlineStr"/>
      <c r="AB93" s="66" t="inlineStr"/>
      <c r="AC93" s="136" t="inlineStr">
        <is>
          <t>ЕАЭС N RU Д-RU.РА02.В.49579/23</t>
        </is>
      </c>
      <c r="AG93" s="78" t="n"/>
      <c r="AJ93" s="82" t="inlineStr">
        <is>
          <t>Короб</t>
        </is>
      </c>
      <c r="AK93" s="82" t="n">
        <v>1</v>
      </c>
      <c r="BB93" s="137" t="inlineStr">
        <is>
          <t>ПГП</t>
        </is>
      </c>
      <c r="BM93" s="78">
        <f>IFERROR(X93*I93,"0")</f>
        <v/>
      </c>
      <c r="BN93" s="78">
        <f>IFERROR(Y93*I93,"0")</f>
        <v/>
      </c>
      <c r="BO93" s="78">
        <f>IFERROR(X93/J93,"0")</f>
        <v/>
      </c>
      <c r="BP93" s="78">
        <f>IFERROR(Y93/J93,"0")</f>
        <v/>
      </c>
    </row>
    <row r="94" ht="27" customHeight="1">
      <c r="A94" s="60" t="inlineStr">
        <is>
          <t>SU003605</t>
        </is>
      </c>
      <c r="B94" s="60" t="inlineStr">
        <is>
          <t>P004595</t>
        </is>
      </c>
      <c r="C94" s="34" t="n">
        <v>4301135571</v>
      </c>
      <c r="D94" s="353" t="n">
        <v>4607111035028</v>
      </c>
      <c r="E94" s="477" t="n"/>
      <c r="F94" s="516" t="n">
        <v>0.48</v>
      </c>
      <c r="G94" s="35" t="n">
        <v>8</v>
      </c>
      <c r="H94" s="516" t="n">
        <v>3.84</v>
      </c>
      <c r="I94" s="516" t="n">
        <v>4.4488</v>
      </c>
      <c r="J94" s="35" t="n">
        <v>70</v>
      </c>
      <c r="K94" s="35" t="inlineStr">
        <is>
          <t>14</t>
        </is>
      </c>
      <c r="L94" s="35" t="inlineStr">
        <is>
          <t>Короб, мин. 1</t>
        </is>
      </c>
      <c r="M94" s="36" t="inlineStr">
        <is>
          <t>МГ</t>
        </is>
      </c>
      <c r="N94" s="36" t="n"/>
      <c r="O94" s="35" t="n">
        <v>180</v>
      </c>
      <c r="P94" s="552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/>
      </c>
      <c r="Q94" s="518" t="n"/>
      <c r="R94" s="518" t="n"/>
      <c r="S94" s="518" t="n"/>
      <c r="T94" s="519" t="n"/>
      <c r="U94" s="37" t="inlineStr"/>
      <c r="V94" s="37" t="inlineStr"/>
      <c r="W94" s="38" t="inlineStr">
        <is>
          <t>кор</t>
        </is>
      </c>
      <c r="X94" s="520" t="n">
        <v>0</v>
      </c>
      <c r="Y94" s="521">
        <f>IFERROR(IF(X94="","",X94),"")</f>
        <v/>
      </c>
      <c r="Z94" s="39">
        <f>IFERROR(IF(X94="","",X94*0.01788),"")</f>
        <v/>
      </c>
      <c r="AA94" s="65" t="inlineStr"/>
      <c r="AB94" s="66" t="inlineStr"/>
      <c r="AC94" s="138" t="inlineStr">
        <is>
          <t>ЕАЭС N RU Д-RU.РА02.В.49579/23</t>
        </is>
      </c>
      <c r="AG94" s="78" t="n"/>
      <c r="AJ94" s="82" t="inlineStr">
        <is>
          <t>Короб</t>
        </is>
      </c>
      <c r="AK94" s="82" t="n">
        <v>1</v>
      </c>
      <c r="BB94" s="139" t="inlineStr">
        <is>
          <t>ПГП</t>
        </is>
      </c>
      <c r="BM94" s="78">
        <f>IFERROR(X94*I94,"0")</f>
        <v/>
      </c>
      <c r="BN94" s="78">
        <f>IFERROR(Y94*I94,"0")</f>
        <v/>
      </c>
      <c r="BO94" s="78">
        <f>IFERROR(X94/J94,"0")</f>
        <v/>
      </c>
      <c r="BP94" s="78">
        <f>IFERROR(Y94/J94,"0")</f>
        <v/>
      </c>
    </row>
    <row r="95" ht="27" customHeight="1">
      <c r="A95" s="60" t="inlineStr">
        <is>
          <t>SU002293</t>
        </is>
      </c>
      <c r="B95" s="60" t="inlineStr">
        <is>
          <t>P004113</t>
        </is>
      </c>
      <c r="C95" s="34" t="n">
        <v>4301135285</v>
      </c>
      <c r="D95" s="353" t="n">
        <v>4607111036407</v>
      </c>
      <c r="E95" s="477" t="n"/>
      <c r="F95" s="516" t="n">
        <v>0.3</v>
      </c>
      <c r="G95" s="35" t="n">
        <v>14</v>
      </c>
      <c r="H95" s="516" t="n">
        <v>4.2</v>
      </c>
      <c r="I95" s="516" t="n">
        <v>4.5292</v>
      </c>
      <c r="J95" s="35" t="n">
        <v>70</v>
      </c>
      <c r="K95" s="35" t="inlineStr">
        <is>
          <t>14</t>
        </is>
      </c>
      <c r="L95" s="35" t="inlineStr">
        <is>
          <t>Слой, мин. 1</t>
        </is>
      </c>
      <c r="M95" s="36" t="inlineStr">
        <is>
          <t>МГ</t>
        </is>
      </c>
      <c r="N95" s="36" t="n"/>
      <c r="O95" s="35" t="n">
        <v>180</v>
      </c>
      <c r="P95" s="553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/>
      </c>
      <c r="Q95" s="518" t="n"/>
      <c r="R95" s="518" t="n"/>
      <c r="S95" s="518" t="n"/>
      <c r="T95" s="519" t="n"/>
      <c r="U95" s="37" t="inlineStr"/>
      <c r="V95" s="37" t="inlineStr"/>
      <c r="W95" s="38" t="inlineStr">
        <is>
          <t>кор</t>
        </is>
      </c>
      <c r="X95" s="520" t="n">
        <v>0</v>
      </c>
      <c r="Y95" s="521">
        <f>IFERROR(IF(X95="","",X95),"")</f>
        <v/>
      </c>
      <c r="Z95" s="39">
        <f>IFERROR(IF(X95="","",X95*0.01788),"")</f>
        <v/>
      </c>
      <c r="AA95" s="65" t="inlineStr"/>
      <c r="AB95" s="66" t="inlineStr"/>
      <c r="AC95" s="140" t="inlineStr">
        <is>
          <t>ЕАЭС N RU Д-RU.РА01.В.78287/24, ЕАЭС N RU Д-RU.РА01.В.92613/21</t>
        </is>
      </c>
      <c r="AG95" s="78" t="n"/>
      <c r="AJ95" s="82" t="inlineStr">
        <is>
          <t>Слой</t>
        </is>
      </c>
      <c r="AK95" s="82" t="n">
        <v>14</v>
      </c>
      <c r="BB95" s="141" t="inlineStr">
        <is>
          <t>ПГП</t>
        </is>
      </c>
      <c r="BM95" s="78">
        <f>IFERROR(X95*I95,"0")</f>
        <v/>
      </c>
      <c r="BN95" s="78">
        <f>IFERROR(Y95*I95,"0")</f>
        <v/>
      </c>
      <c r="BO95" s="78">
        <f>IFERROR(X95/J95,"0")</f>
        <v/>
      </c>
      <c r="BP95" s="78">
        <f>IFERROR(Y95/J95,"0")</f>
        <v/>
      </c>
    </row>
    <row r="96">
      <c r="A96" s="361" t="n"/>
      <c r="B96" s="465" t="n"/>
      <c r="C96" s="465" t="n"/>
      <c r="D96" s="465" t="n"/>
      <c r="E96" s="465" t="n"/>
      <c r="F96" s="465" t="n"/>
      <c r="G96" s="465" t="n"/>
      <c r="H96" s="465" t="n"/>
      <c r="I96" s="465" t="n"/>
      <c r="J96" s="465" t="n"/>
      <c r="K96" s="465" t="n"/>
      <c r="L96" s="465" t="n"/>
      <c r="M96" s="465" t="n"/>
      <c r="N96" s="465" t="n"/>
      <c r="O96" s="522" t="n"/>
      <c r="P96" s="523" t="inlineStr">
        <is>
          <t>Итого</t>
        </is>
      </c>
      <c r="Q96" s="485" t="n"/>
      <c r="R96" s="485" t="n"/>
      <c r="S96" s="485" t="n"/>
      <c r="T96" s="485" t="n"/>
      <c r="U96" s="485" t="n"/>
      <c r="V96" s="486" t="n"/>
      <c r="W96" s="40" t="inlineStr">
        <is>
          <t>кор</t>
        </is>
      </c>
      <c r="X96" s="524">
        <f>IFERROR(SUM(X90:X95),"0")</f>
        <v/>
      </c>
      <c r="Y96" s="524">
        <f>IFERROR(SUM(Y90:Y95),"0")</f>
        <v/>
      </c>
      <c r="Z96" s="524">
        <f>IFERROR(IF(Z90="",0,Z90),"0")+IFERROR(IF(Z91="",0,Z91),"0")+IFERROR(IF(Z92="",0,Z92),"0")+IFERROR(IF(Z93="",0,Z93),"0")+IFERROR(IF(Z94="",0,Z94),"0")+IFERROR(IF(Z95="",0,Z95),"0")</f>
        <v/>
      </c>
      <c r="AA96" s="525" t="n"/>
      <c r="AB96" s="525" t="n"/>
      <c r="AC96" s="525" t="n"/>
    </row>
    <row r="97">
      <c r="A97" s="465" t="n"/>
      <c r="B97" s="465" t="n"/>
      <c r="C97" s="465" t="n"/>
      <c r="D97" s="465" t="n"/>
      <c r="E97" s="465" t="n"/>
      <c r="F97" s="465" t="n"/>
      <c r="G97" s="465" t="n"/>
      <c r="H97" s="465" t="n"/>
      <c r="I97" s="465" t="n"/>
      <c r="J97" s="465" t="n"/>
      <c r="K97" s="465" t="n"/>
      <c r="L97" s="465" t="n"/>
      <c r="M97" s="465" t="n"/>
      <c r="N97" s="465" t="n"/>
      <c r="O97" s="522" t="n"/>
      <c r="P97" s="523" t="inlineStr">
        <is>
          <t>Итого</t>
        </is>
      </c>
      <c r="Q97" s="485" t="n"/>
      <c r="R97" s="485" t="n"/>
      <c r="S97" s="485" t="n"/>
      <c r="T97" s="485" t="n"/>
      <c r="U97" s="485" t="n"/>
      <c r="V97" s="486" t="n"/>
      <c r="W97" s="40" t="inlineStr">
        <is>
          <t>кг</t>
        </is>
      </c>
      <c r="X97" s="524">
        <f>IFERROR(SUMPRODUCT(X90:X95*H90:H95),"0")</f>
        <v/>
      </c>
      <c r="Y97" s="524">
        <f>IFERROR(SUMPRODUCT(Y90:Y95*H90:H95),"0")</f>
        <v/>
      </c>
      <c r="Z97" s="40" t="n"/>
      <c r="AA97" s="525" t="n"/>
      <c r="AB97" s="525" t="n"/>
      <c r="AC97" s="525" t="n"/>
    </row>
    <row r="98" ht="16.5" customHeight="1">
      <c r="A98" s="351" t="inlineStr">
        <is>
          <t>Чебуреки ГШ</t>
        </is>
      </c>
      <c r="B98" s="465" t="n"/>
      <c r="C98" s="465" t="n"/>
      <c r="D98" s="465" t="n"/>
      <c r="E98" s="465" t="n"/>
      <c r="F98" s="465" t="n"/>
      <c r="G98" s="465" t="n"/>
      <c r="H98" s="465" t="n"/>
      <c r="I98" s="465" t="n"/>
      <c r="J98" s="465" t="n"/>
      <c r="K98" s="465" t="n"/>
      <c r="L98" s="465" t="n"/>
      <c r="M98" s="465" t="n"/>
      <c r="N98" s="465" t="n"/>
      <c r="O98" s="465" t="n"/>
      <c r="P98" s="465" t="n"/>
      <c r="Q98" s="465" t="n"/>
      <c r="R98" s="465" t="n"/>
      <c r="S98" s="465" t="n"/>
      <c r="T98" s="465" t="n"/>
      <c r="U98" s="465" t="n"/>
      <c r="V98" s="465" t="n"/>
      <c r="W98" s="465" t="n"/>
      <c r="X98" s="465" t="n"/>
      <c r="Y98" s="465" t="n"/>
      <c r="Z98" s="465" t="n"/>
      <c r="AA98" s="351" t="n"/>
      <c r="AB98" s="351" t="n"/>
      <c r="AC98" s="351" t="n"/>
    </row>
    <row r="99" ht="14.25" customHeight="1">
      <c r="A99" s="352" t="inlineStr">
        <is>
          <t>Чебуреки</t>
        </is>
      </c>
      <c r="B99" s="465" t="n"/>
      <c r="C99" s="465" t="n"/>
      <c r="D99" s="465" t="n"/>
      <c r="E99" s="465" t="n"/>
      <c r="F99" s="465" t="n"/>
      <c r="G99" s="465" t="n"/>
      <c r="H99" s="465" t="n"/>
      <c r="I99" s="465" t="n"/>
      <c r="J99" s="465" t="n"/>
      <c r="K99" s="465" t="n"/>
      <c r="L99" s="465" t="n"/>
      <c r="M99" s="465" t="n"/>
      <c r="N99" s="465" t="n"/>
      <c r="O99" s="465" t="n"/>
      <c r="P99" s="465" t="n"/>
      <c r="Q99" s="465" t="n"/>
      <c r="R99" s="465" t="n"/>
      <c r="S99" s="465" t="n"/>
      <c r="T99" s="465" t="n"/>
      <c r="U99" s="465" t="n"/>
      <c r="V99" s="465" t="n"/>
      <c r="W99" s="465" t="n"/>
      <c r="X99" s="465" t="n"/>
      <c r="Y99" s="465" t="n"/>
      <c r="Z99" s="465" t="n"/>
      <c r="AA99" s="352" t="n"/>
      <c r="AB99" s="352" t="n"/>
      <c r="AC99" s="352" t="n"/>
    </row>
    <row r="100" ht="27" customHeight="1">
      <c r="A100" s="60" t="inlineStr">
        <is>
          <t>SU002573</t>
        </is>
      </c>
      <c r="B100" s="60" t="inlineStr">
        <is>
          <t>P004138</t>
        </is>
      </c>
      <c r="C100" s="34" t="n">
        <v>4301136070</v>
      </c>
      <c r="D100" s="353" t="n">
        <v>4607025784012</v>
      </c>
      <c r="E100" s="477" t="n"/>
      <c r="F100" s="516" t="n">
        <v>0.09</v>
      </c>
      <c r="G100" s="35" t="n">
        <v>24</v>
      </c>
      <c r="H100" s="516" t="n">
        <v>2.16</v>
      </c>
      <c r="I100" s="516" t="n">
        <v>2.4912</v>
      </c>
      <c r="J100" s="35" t="n">
        <v>126</v>
      </c>
      <c r="K100" s="35" t="inlineStr">
        <is>
          <t>14</t>
        </is>
      </c>
      <c r="L100" s="35" t="inlineStr">
        <is>
          <t>Короб, мин. 1</t>
        </is>
      </c>
      <c r="M100" s="36" t="inlineStr">
        <is>
          <t>МГ</t>
        </is>
      </c>
      <c r="N100" s="36" t="n"/>
      <c r="O100" s="35" t="n">
        <v>180</v>
      </c>
      <c r="P100" s="554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/>
      </c>
      <c r="Q100" s="518" t="n"/>
      <c r="R100" s="518" t="n"/>
      <c r="S100" s="518" t="n"/>
      <c r="T100" s="519" t="n"/>
      <c r="U100" s="37" t="inlineStr"/>
      <c r="V100" s="37" t="inlineStr"/>
      <c r="W100" s="38" t="inlineStr">
        <is>
          <t>кор</t>
        </is>
      </c>
      <c r="X100" s="520" t="n">
        <v>0</v>
      </c>
      <c r="Y100" s="521">
        <f>IFERROR(IF(X100="","",X100),"")</f>
        <v/>
      </c>
      <c r="Z100" s="39">
        <f>IFERROR(IF(X100="","",X100*0.00936),"")</f>
        <v/>
      </c>
      <c r="AA100" s="65" t="inlineStr"/>
      <c r="AB100" s="66" t="inlineStr"/>
      <c r="AC100" s="142" t="inlineStr">
        <is>
          <t>ЕАЭС N RU Д-RU.РА01.В.13713/23, ЕАЭС N RU Д-RU.РА05.В.14262/23</t>
        </is>
      </c>
      <c r="AG100" s="78" t="n"/>
      <c r="AJ100" s="82" t="inlineStr">
        <is>
          <t>Короб</t>
        </is>
      </c>
      <c r="AK100" s="82" t="n">
        <v>1</v>
      </c>
      <c r="BB100" s="143" t="inlineStr">
        <is>
          <t>ПГП</t>
        </is>
      </c>
      <c r="BM100" s="78">
        <f>IFERROR(X100*I100,"0")</f>
        <v/>
      </c>
      <c r="BN100" s="78">
        <f>IFERROR(Y100*I100,"0")</f>
        <v/>
      </c>
      <c r="BO100" s="78">
        <f>IFERROR(X100/J100,"0")</f>
        <v/>
      </c>
      <c r="BP100" s="78">
        <f>IFERROR(Y100/J100,"0")</f>
        <v/>
      </c>
    </row>
    <row r="101" ht="27" customHeight="1">
      <c r="A101" s="60" t="inlineStr">
        <is>
          <t>SU003613</t>
        </is>
      </c>
      <c r="B101" s="60" t="inlineStr">
        <is>
          <t>P004583</t>
        </is>
      </c>
      <c r="C101" s="34" t="n">
        <v>4301136079</v>
      </c>
      <c r="D101" s="353" t="n">
        <v>4607025784319</v>
      </c>
      <c r="E101" s="477" t="n"/>
      <c r="F101" s="516" t="n">
        <v>0.36</v>
      </c>
      <c r="G101" s="35" t="n">
        <v>10</v>
      </c>
      <c r="H101" s="516" t="n">
        <v>3.6</v>
      </c>
      <c r="I101" s="516" t="n">
        <v>4.244</v>
      </c>
      <c r="J101" s="35" t="n">
        <v>70</v>
      </c>
      <c r="K101" s="35" t="inlineStr">
        <is>
          <t>14</t>
        </is>
      </c>
      <c r="L101" s="35" t="inlineStr">
        <is>
          <t>Короб, мин. 1</t>
        </is>
      </c>
      <c r="M101" s="36" t="inlineStr">
        <is>
          <t>МГ</t>
        </is>
      </c>
      <c r="N101" s="36" t="n"/>
      <c r="O101" s="35" t="n">
        <v>180</v>
      </c>
      <c r="P101" s="555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/>
      </c>
      <c r="Q101" s="518" t="n"/>
      <c r="R101" s="518" t="n"/>
      <c r="S101" s="518" t="n"/>
      <c r="T101" s="519" t="n"/>
      <c r="U101" s="37" t="inlineStr"/>
      <c r="V101" s="37" t="inlineStr"/>
      <c r="W101" s="38" t="inlineStr">
        <is>
          <t>кор</t>
        </is>
      </c>
      <c r="X101" s="520" t="n">
        <v>0</v>
      </c>
      <c r="Y101" s="521">
        <f>IFERROR(IF(X101="","",X101),"")</f>
        <v/>
      </c>
      <c r="Z101" s="39">
        <f>IFERROR(IF(X101="","",X101*0.01788),"")</f>
        <v/>
      </c>
      <c r="AA101" s="65" t="inlineStr"/>
      <c r="AB101" s="66" t="inlineStr"/>
      <c r="AC101" s="144" t="inlineStr">
        <is>
          <t>ЕАЭС N RU Д-RU.РА02.В.49579/23</t>
        </is>
      </c>
      <c r="AG101" s="78" t="n"/>
      <c r="AJ101" s="82" t="inlineStr">
        <is>
          <t>Короб</t>
        </is>
      </c>
      <c r="AK101" s="82" t="n">
        <v>1</v>
      </c>
      <c r="BB101" s="145" t="inlineStr">
        <is>
          <t>ПГП</t>
        </is>
      </c>
      <c r="BM101" s="78">
        <f>IFERROR(X101*I101,"0")</f>
        <v/>
      </c>
      <c r="BN101" s="78">
        <f>IFERROR(Y101*I101,"0")</f>
        <v/>
      </c>
      <c r="BO101" s="78">
        <f>IFERROR(X101/J101,"0")</f>
        <v/>
      </c>
      <c r="BP101" s="78">
        <f>IFERROR(Y101/J101,"0")</f>
        <v/>
      </c>
    </row>
    <row r="102">
      <c r="A102" s="361" t="n"/>
      <c r="B102" s="465" t="n"/>
      <c r="C102" s="465" t="n"/>
      <c r="D102" s="465" t="n"/>
      <c r="E102" s="465" t="n"/>
      <c r="F102" s="465" t="n"/>
      <c r="G102" s="465" t="n"/>
      <c r="H102" s="465" t="n"/>
      <c r="I102" s="465" t="n"/>
      <c r="J102" s="465" t="n"/>
      <c r="K102" s="465" t="n"/>
      <c r="L102" s="465" t="n"/>
      <c r="M102" s="465" t="n"/>
      <c r="N102" s="465" t="n"/>
      <c r="O102" s="522" t="n"/>
      <c r="P102" s="523" t="inlineStr">
        <is>
          <t>Итого</t>
        </is>
      </c>
      <c r="Q102" s="485" t="n"/>
      <c r="R102" s="485" t="n"/>
      <c r="S102" s="485" t="n"/>
      <c r="T102" s="485" t="n"/>
      <c r="U102" s="485" t="n"/>
      <c r="V102" s="486" t="n"/>
      <c r="W102" s="40" t="inlineStr">
        <is>
          <t>кор</t>
        </is>
      </c>
      <c r="X102" s="524">
        <f>IFERROR(SUM(X100:X101),"0")</f>
        <v/>
      </c>
      <c r="Y102" s="524">
        <f>IFERROR(SUM(Y100:Y101),"0")</f>
        <v/>
      </c>
      <c r="Z102" s="524">
        <f>IFERROR(IF(Z100="",0,Z100),"0")+IFERROR(IF(Z101="",0,Z101),"0")</f>
        <v/>
      </c>
      <c r="AA102" s="525" t="n"/>
      <c r="AB102" s="525" t="n"/>
      <c r="AC102" s="525" t="n"/>
    </row>
    <row r="103">
      <c r="A103" s="465" t="n"/>
      <c r="B103" s="465" t="n"/>
      <c r="C103" s="465" t="n"/>
      <c r="D103" s="465" t="n"/>
      <c r="E103" s="465" t="n"/>
      <c r="F103" s="465" t="n"/>
      <c r="G103" s="465" t="n"/>
      <c r="H103" s="465" t="n"/>
      <c r="I103" s="465" t="n"/>
      <c r="J103" s="465" t="n"/>
      <c r="K103" s="465" t="n"/>
      <c r="L103" s="465" t="n"/>
      <c r="M103" s="465" t="n"/>
      <c r="N103" s="465" t="n"/>
      <c r="O103" s="522" t="n"/>
      <c r="P103" s="523" t="inlineStr">
        <is>
          <t>Итого</t>
        </is>
      </c>
      <c r="Q103" s="485" t="n"/>
      <c r="R103" s="485" t="n"/>
      <c r="S103" s="485" t="n"/>
      <c r="T103" s="485" t="n"/>
      <c r="U103" s="485" t="n"/>
      <c r="V103" s="486" t="n"/>
      <c r="W103" s="40" t="inlineStr">
        <is>
          <t>кг</t>
        </is>
      </c>
      <c r="X103" s="524">
        <f>IFERROR(SUMPRODUCT(X100:X101*H100:H101),"0")</f>
        <v/>
      </c>
      <c r="Y103" s="524">
        <f>IFERROR(SUMPRODUCT(Y100:Y101*H100:H101),"0")</f>
        <v/>
      </c>
      <c r="Z103" s="40" t="n"/>
      <c r="AA103" s="525" t="n"/>
      <c r="AB103" s="525" t="n"/>
      <c r="AC103" s="525" t="n"/>
    </row>
    <row r="104" ht="16.5" customHeight="1">
      <c r="A104" s="351" t="inlineStr">
        <is>
          <t>Бульмени ГШ</t>
        </is>
      </c>
      <c r="B104" s="465" t="n"/>
      <c r="C104" s="465" t="n"/>
      <c r="D104" s="465" t="n"/>
      <c r="E104" s="465" t="n"/>
      <c r="F104" s="465" t="n"/>
      <c r="G104" s="465" t="n"/>
      <c r="H104" s="465" t="n"/>
      <c r="I104" s="465" t="n"/>
      <c r="J104" s="465" t="n"/>
      <c r="K104" s="465" t="n"/>
      <c r="L104" s="465" t="n"/>
      <c r="M104" s="465" t="n"/>
      <c r="N104" s="465" t="n"/>
      <c r="O104" s="465" t="n"/>
      <c r="P104" s="465" t="n"/>
      <c r="Q104" s="465" t="n"/>
      <c r="R104" s="465" t="n"/>
      <c r="S104" s="465" t="n"/>
      <c r="T104" s="465" t="n"/>
      <c r="U104" s="465" t="n"/>
      <c r="V104" s="465" t="n"/>
      <c r="W104" s="465" t="n"/>
      <c r="X104" s="465" t="n"/>
      <c r="Y104" s="465" t="n"/>
      <c r="Z104" s="465" t="n"/>
      <c r="AA104" s="351" t="n"/>
      <c r="AB104" s="351" t="n"/>
      <c r="AC104" s="351" t="n"/>
    </row>
    <row r="105" ht="14.25" customHeight="1">
      <c r="A105" s="352" t="inlineStr">
        <is>
          <t>Пельмени</t>
        </is>
      </c>
      <c r="B105" s="465" t="n"/>
      <c r="C105" s="465" t="n"/>
      <c r="D105" s="465" t="n"/>
      <c r="E105" s="465" t="n"/>
      <c r="F105" s="465" t="n"/>
      <c r="G105" s="465" t="n"/>
      <c r="H105" s="465" t="n"/>
      <c r="I105" s="465" t="n"/>
      <c r="J105" s="465" t="n"/>
      <c r="K105" s="465" t="n"/>
      <c r="L105" s="465" t="n"/>
      <c r="M105" s="465" t="n"/>
      <c r="N105" s="465" t="n"/>
      <c r="O105" s="465" t="n"/>
      <c r="P105" s="465" t="n"/>
      <c r="Q105" s="465" t="n"/>
      <c r="R105" s="465" t="n"/>
      <c r="S105" s="465" t="n"/>
      <c r="T105" s="465" t="n"/>
      <c r="U105" s="465" t="n"/>
      <c r="V105" s="465" t="n"/>
      <c r="W105" s="465" t="n"/>
      <c r="X105" s="465" t="n"/>
      <c r="Y105" s="465" t="n"/>
      <c r="Z105" s="465" t="n"/>
      <c r="AA105" s="352" t="n"/>
      <c r="AB105" s="352" t="n"/>
      <c r="AC105" s="352" t="n"/>
    </row>
    <row r="106" ht="27" customHeight="1">
      <c r="A106" s="60" t="inlineStr">
        <is>
          <t>SU003717</t>
        </is>
      </c>
      <c r="B106" s="60" t="inlineStr">
        <is>
          <t>P004819</t>
        </is>
      </c>
      <c r="C106" s="34" t="n">
        <v>4301071074</v>
      </c>
      <c r="D106" s="353" t="n">
        <v>4620207491157</v>
      </c>
      <c r="E106" s="477" t="n"/>
      <c r="F106" s="516" t="n">
        <v>0.7</v>
      </c>
      <c r="G106" s="35" t="n">
        <v>10</v>
      </c>
      <c r="H106" s="516" t="n">
        <v>7</v>
      </c>
      <c r="I106" s="516" t="n">
        <v>7.28</v>
      </c>
      <c r="J106" s="35" t="n">
        <v>84</v>
      </c>
      <c r="K106" s="35" t="inlineStr">
        <is>
          <t>12</t>
        </is>
      </c>
      <c r="L106" s="35" t="inlineStr">
        <is>
          <t>Короб, мин. 1</t>
        </is>
      </c>
      <c r="M106" s="36" t="inlineStr">
        <is>
          <t>МГ</t>
        </is>
      </c>
      <c r="N106" s="36" t="n"/>
      <c r="O106" s="35" t="n">
        <v>180</v>
      </c>
      <c r="P106" s="556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/>
      </c>
      <c r="Q106" s="518" t="n"/>
      <c r="R106" s="518" t="n"/>
      <c r="S106" s="518" t="n"/>
      <c r="T106" s="519" t="n"/>
      <c r="U106" s="37" t="inlineStr"/>
      <c r="V106" s="37" t="inlineStr"/>
      <c r="W106" s="38" t="inlineStr">
        <is>
          <t>кор</t>
        </is>
      </c>
      <c r="X106" s="520" t="n">
        <v>0</v>
      </c>
      <c r="Y106" s="521">
        <f>IFERROR(IF(X106="","",X106),"")</f>
        <v/>
      </c>
      <c r="Z106" s="39">
        <f>IFERROR(IF(X106="","",X106*0.0155),"")</f>
        <v/>
      </c>
      <c r="AA106" s="65" t="inlineStr"/>
      <c r="AB106" s="66" t="inlineStr"/>
      <c r="AC106" s="146" t="inlineStr">
        <is>
          <t>ЕАЭС N RU Д-RU.РА01.В.70735/25</t>
        </is>
      </c>
      <c r="AG106" s="78" t="n"/>
      <c r="AJ106" s="82" t="inlineStr">
        <is>
          <t>Короб</t>
        </is>
      </c>
      <c r="AK106" s="82" t="n">
        <v>1</v>
      </c>
      <c r="BB106" s="147" t="inlineStr">
        <is>
          <t>ЗПФ</t>
        </is>
      </c>
      <c r="BM106" s="78">
        <f>IFERROR(X106*I106,"0")</f>
        <v/>
      </c>
      <c r="BN106" s="78">
        <f>IFERROR(Y106*I106,"0")</f>
        <v/>
      </c>
      <c r="BO106" s="78">
        <f>IFERROR(X106/J106,"0")</f>
        <v/>
      </c>
      <c r="BP106" s="78">
        <f>IFERROR(Y106/J106,"0")</f>
        <v/>
      </c>
    </row>
    <row r="107" ht="27" customHeight="1">
      <c r="A107" s="60" t="inlineStr">
        <is>
          <t>SU003527</t>
        </is>
      </c>
      <c r="B107" s="60" t="inlineStr">
        <is>
          <t>P004474</t>
        </is>
      </c>
      <c r="C107" s="34" t="n">
        <v>4301071051</v>
      </c>
      <c r="D107" s="353" t="n">
        <v>4607111039262</v>
      </c>
      <c r="E107" s="477" t="n"/>
      <c r="F107" s="516" t="n">
        <v>0.4</v>
      </c>
      <c r="G107" s="35" t="n">
        <v>16</v>
      </c>
      <c r="H107" s="516" t="n">
        <v>6.4</v>
      </c>
      <c r="I107" s="516" t="n">
        <v>6.7196</v>
      </c>
      <c r="J107" s="35" t="n">
        <v>84</v>
      </c>
      <c r="K107" s="35" t="inlineStr">
        <is>
          <t>12</t>
        </is>
      </c>
      <c r="L107" s="35" t="inlineStr">
        <is>
          <t>Слой, мин. 1</t>
        </is>
      </c>
      <c r="M107" s="36" t="inlineStr">
        <is>
          <t>МГ</t>
        </is>
      </c>
      <c r="N107" s="36" t="n"/>
      <c r="O107" s="35" t="n">
        <v>180</v>
      </c>
      <c r="P107" s="557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/>
      </c>
      <c r="Q107" s="518" t="n"/>
      <c r="R107" s="518" t="n"/>
      <c r="S107" s="518" t="n"/>
      <c r="T107" s="519" t="n"/>
      <c r="U107" s="37" t="inlineStr"/>
      <c r="V107" s="37" t="inlineStr"/>
      <c r="W107" s="38" t="inlineStr">
        <is>
          <t>кор</t>
        </is>
      </c>
      <c r="X107" s="520" t="n">
        <v>0</v>
      </c>
      <c r="Y107" s="521">
        <f>IFERROR(IF(X107="","",X107),"")</f>
        <v/>
      </c>
      <c r="Z107" s="39">
        <f>IFERROR(IF(X107="","",X107*0.0155),"")</f>
        <v/>
      </c>
      <c r="AA107" s="65" t="inlineStr"/>
      <c r="AB107" s="66" t="inlineStr"/>
      <c r="AC107" s="148" t="inlineStr">
        <is>
          <t>ЕАЭС N RU Д-RU.РА02.В.13673/23</t>
        </is>
      </c>
      <c r="AG107" s="78" t="n"/>
      <c r="AJ107" s="82" t="inlineStr">
        <is>
          <t>Слой</t>
        </is>
      </c>
      <c r="AK107" s="82" t="n">
        <v>12</v>
      </c>
      <c r="BB107" s="149" t="inlineStr">
        <is>
          <t>ЗПФ</t>
        </is>
      </c>
      <c r="BM107" s="78">
        <f>IFERROR(X107*I107,"0")</f>
        <v/>
      </c>
      <c r="BN107" s="78">
        <f>IFERROR(Y107*I107,"0")</f>
        <v/>
      </c>
      <c r="BO107" s="78">
        <f>IFERROR(X107/J107,"0")</f>
        <v/>
      </c>
      <c r="BP107" s="78">
        <f>IFERROR(Y107/J107,"0")</f>
        <v/>
      </c>
    </row>
    <row r="108" ht="27" customHeight="1">
      <c r="A108" s="60" t="inlineStr">
        <is>
          <t>SU003460</t>
        </is>
      </c>
      <c r="B108" s="60" t="inlineStr">
        <is>
          <t>P004345</t>
        </is>
      </c>
      <c r="C108" s="34" t="n">
        <v>4301071038</v>
      </c>
      <c r="D108" s="353" t="n">
        <v>4607111039248</v>
      </c>
      <c r="E108" s="477" t="n"/>
      <c r="F108" s="516" t="n">
        <v>0.7</v>
      </c>
      <c r="G108" s="35" t="n">
        <v>10</v>
      </c>
      <c r="H108" s="516" t="n">
        <v>7</v>
      </c>
      <c r="I108" s="516" t="n">
        <v>7.3</v>
      </c>
      <c r="J108" s="35" t="n">
        <v>84</v>
      </c>
      <c r="K108" s="35" t="inlineStr">
        <is>
          <t>12</t>
        </is>
      </c>
      <c r="L108" s="35" t="inlineStr">
        <is>
          <t>Слой, мин. 1</t>
        </is>
      </c>
      <c r="M108" s="36" t="inlineStr">
        <is>
          <t>МГ</t>
        </is>
      </c>
      <c r="N108" s="36" t="n"/>
      <c r="O108" s="35" t="n">
        <v>180</v>
      </c>
      <c r="P108" s="558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/>
      </c>
      <c r="Q108" s="518" t="n"/>
      <c r="R108" s="518" t="n"/>
      <c r="S108" s="518" t="n"/>
      <c r="T108" s="519" t="n"/>
      <c r="U108" s="37" t="inlineStr"/>
      <c r="V108" s="37" t="inlineStr"/>
      <c r="W108" s="38" t="inlineStr">
        <is>
          <t>кор</t>
        </is>
      </c>
      <c r="X108" s="520" t="n">
        <v>12</v>
      </c>
      <c r="Y108" s="521">
        <f>IFERROR(IF(X108="","",X108),"")</f>
        <v/>
      </c>
      <c r="Z108" s="39">
        <f>IFERROR(IF(X108="","",X108*0.0155),"")</f>
        <v/>
      </c>
      <c r="AA108" s="65" t="inlineStr"/>
      <c r="AB108" s="66" t="inlineStr"/>
      <c r="AC108" s="150" t="inlineStr">
        <is>
          <t>ЕАЭС N RU Д-RU.РА02.В.13673/23</t>
        </is>
      </c>
      <c r="AG108" s="78" t="n"/>
      <c r="AJ108" s="82" t="inlineStr">
        <is>
          <t>Слой</t>
        </is>
      </c>
      <c r="AK108" s="82" t="n">
        <v>12</v>
      </c>
      <c r="BB108" s="151" t="inlineStr">
        <is>
          <t>ЗПФ</t>
        </is>
      </c>
      <c r="BM108" s="78">
        <f>IFERROR(X108*I108,"0")</f>
        <v/>
      </c>
      <c r="BN108" s="78">
        <f>IFERROR(Y108*I108,"0")</f>
        <v/>
      </c>
      <c r="BO108" s="78">
        <f>IFERROR(X108/J108,"0")</f>
        <v/>
      </c>
      <c r="BP108" s="78">
        <f>IFERROR(Y108/J108,"0")</f>
        <v/>
      </c>
    </row>
    <row r="109" ht="27" customHeight="1">
      <c r="A109" s="60" t="inlineStr">
        <is>
          <t>SU003528</t>
        </is>
      </c>
      <c r="B109" s="60" t="inlineStr">
        <is>
          <t>P004444</t>
        </is>
      </c>
      <c r="C109" s="34" t="n">
        <v>4301071049</v>
      </c>
      <c r="D109" s="353" t="n">
        <v>4607111039293</v>
      </c>
      <c r="E109" s="477" t="n"/>
      <c r="F109" s="516" t="n">
        <v>0.4</v>
      </c>
      <c r="G109" s="35" t="n">
        <v>16</v>
      </c>
      <c r="H109" s="516" t="n">
        <v>6.4</v>
      </c>
      <c r="I109" s="516" t="n">
        <v>6.7196</v>
      </c>
      <c r="J109" s="35" t="n">
        <v>84</v>
      </c>
      <c r="K109" s="35" t="inlineStr">
        <is>
          <t>12</t>
        </is>
      </c>
      <c r="L109" s="35" t="inlineStr">
        <is>
          <t>Слой, мин. 1</t>
        </is>
      </c>
      <c r="M109" s="36" t="inlineStr">
        <is>
          <t>МГ</t>
        </is>
      </c>
      <c r="N109" s="36" t="n"/>
      <c r="O109" s="35" t="n">
        <v>180</v>
      </c>
      <c r="P109" s="559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/>
      </c>
      <c r="Q109" s="518" t="n"/>
      <c r="R109" s="518" t="n"/>
      <c r="S109" s="518" t="n"/>
      <c r="T109" s="519" t="n"/>
      <c r="U109" s="37" t="inlineStr"/>
      <c r="V109" s="37" t="inlineStr"/>
      <c r="W109" s="38" t="inlineStr">
        <is>
          <t>кор</t>
        </is>
      </c>
      <c r="X109" s="520" t="n">
        <v>0</v>
      </c>
      <c r="Y109" s="521">
        <f>IFERROR(IF(X109="","",X109),"")</f>
        <v/>
      </c>
      <c r="Z109" s="39">
        <f>IFERROR(IF(X109="","",X109*0.0155),"")</f>
        <v/>
      </c>
      <c r="AA109" s="65" t="inlineStr"/>
      <c r="AB109" s="66" t="inlineStr"/>
      <c r="AC109" s="152" t="inlineStr">
        <is>
          <t>ЕАЭС N RU Д-RU.РА02.В.13673/23</t>
        </is>
      </c>
      <c r="AG109" s="78" t="n"/>
      <c r="AJ109" s="82" t="inlineStr">
        <is>
          <t>Слой</t>
        </is>
      </c>
      <c r="AK109" s="82" t="n">
        <v>12</v>
      </c>
      <c r="BB109" s="153" t="inlineStr">
        <is>
          <t>ЗПФ</t>
        </is>
      </c>
      <c r="BM109" s="78">
        <f>IFERROR(X109*I109,"0")</f>
        <v/>
      </c>
      <c r="BN109" s="78">
        <f>IFERROR(Y109*I109,"0")</f>
        <v/>
      </c>
      <c r="BO109" s="78">
        <f>IFERROR(X109/J109,"0")</f>
        <v/>
      </c>
      <c r="BP109" s="78">
        <f>IFERROR(Y109/J109,"0")</f>
        <v/>
      </c>
    </row>
    <row r="110" ht="27" customHeight="1">
      <c r="A110" s="60" t="inlineStr">
        <is>
          <t>SU003459</t>
        </is>
      </c>
      <c r="B110" s="60" t="inlineStr">
        <is>
          <t>P004346</t>
        </is>
      </c>
      <c r="C110" s="34" t="n">
        <v>4301071039</v>
      </c>
      <c r="D110" s="353" t="n">
        <v>4607111039279</v>
      </c>
      <c r="E110" s="477" t="n"/>
      <c r="F110" s="516" t="n">
        <v>0.7</v>
      </c>
      <c r="G110" s="35" t="n">
        <v>10</v>
      </c>
      <c r="H110" s="516" t="n">
        <v>7</v>
      </c>
      <c r="I110" s="516" t="n">
        <v>7.3</v>
      </c>
      <c r="J110" s="35" t="n">
        <v>84</v>
      </c>
      <c r="K110" s="35" t="inlineStr">
        <is>
          <t>12</t>
        </is>
      </c>
      <c r="L110" s="35" t="inlineStr">
        <is>
          <t>Слой, мин. 1</t>
        </is>
      </c>
      <c r="M110" s="36" t="inlineStr">
        <is>
          <t>МГ</t>
        </is>
      </c>
      <c r="N110" s="36" t="n"/>
      <c r="O110" s="35" t="n">
        <v>180</v>
      </c>
      <c r="P110" s="560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/>
      </c>
      <c r="Q110" s="518" t="n"/>
      <c r="R110" s="518" t="n"/>
      <c r="S110" s="518" t="n"/>
      <c r="T110" s="519" t="n"/>
      <c r="U110" s="37" t="inlineStr"/>
      <c r="V110" s="37" t="inlineStr"/>
      <c r="W110" s="38" t="inlineStr">
        <is>
          <t>кор</t>
        </is>
      </c>
      <c r="X110" s="520" t="n">
        <v>24</v>
      </c>
      <c r="Y110" s="521">
        <f>IFERROR(IF(X110="","",X110),"")</f>
        <v/>
      </c>
      <c r="Z110" s="39">
        <f>IFERROR(IF(X110="","",X110*0.0155),"")</f>
        <v/>
      </c>
      <c r="AA110" s="65" t="inlineStr"/>
      <c r="AB110" s="66" t="inlineStr"/>
      <c r="AC110" s="154" t="inlineStr">
        <is>
          <t>ЕАЭС N RU Д-RU.РА02.В.13673/23</t>
        </is>
      </c>
      <c r="AG110" s="78" t="n"/>
      <c r="AJ110" s="82" t="inlineStr">
        <is>
          <t>Слой</t>
        </is>
      </c>
      <c r="AK110" s="82" t="n">
        <v>12</v>
      </c>
      <c r="BB110" s="155" t="inlineStr">
        <is>
          <t>ЗПФ</t>
        </is>
      </c>
      <c r="BM110" s="78">
        <f>IFERROR(X110*I110,"0")</f>
        <v/>
      </c>
      <c r="BN110" s="78">
        <f>IFERROR(Y110*I110,"0")</f>
        <v/>
      </c>
      <c r="BO110" s="78">
        <f>IFERROR(X110/J110,"0")</f>
        <v/>
      </c>
      <c r="BP110" s="78">
        <f>IFERROR(Y110/J110,"0")</f>
        <v/>
      </c>
    </row>
    <row r="111">
      <c r="A111" s="361" t="n"/>
      <c r="B111" s="465" t="n"/>
      <c r="C111" s="465" t="n"/>
      <c r="D111" s="465" t="n"/>
      <c r="E111" s="465" t="n"/>
      <c r="F111" s="465" t="n"/>
      <c r="G111" s="465" t="n"/>
      <c r="H111" s="465" t="n"/>
      <c r="I111" s="465" t="n"/>
      <c r="J111" s="465" t="n"/>
      <c r="K111" s="465" t="n"/>
      <c r="L111" s="465" t="n"/>
      <c r="M111" s="465" t="n"/>
      <c r="N111" s="465" t="n"/>
      <c r="O111" s="522" t="n"/>
      <c r="P111" s="523" t="inlineStr">
        <is>
          <t>Итого</t>
        </is>
      </c>
      <c r="Q111" s="485" t="n"/>
      <c r="R111" s="485" t="n"/>
      <c r="S111" s="485" t="n"/>
      <c r="T111" s="485" t="n"/>
      <c r="U111" s="485" t="n"/>
      <c r="V111" s="486" t="n"/>
      <c r="W111" s="40" t="inlineStr">
        <is>
          <t>кор</t>
        </is>
      </c>
      <c r="X111" s="524">
        <f>IFERROR(SUM(X106:X110),"0")</f>
        <v/>
      </c>
      <c r="Y111" s="524">
        <f>IFERROR(SUM(Y106:Y110),"0")</f>
        <v/>
      </c>
      <c r="Z111" s="524">
        <f>IFERROR(IF(Z106="",0,Z106),"0")+IFERROR(IF(Z107="",0,Z107),"0")+IFERROR(IF(Z108="",0,Z108),"0")+IFERROR(IF(Z109="",0,Z109),"0")+IFERROR(IF(Z110="",0,Z110),"0")</f>
        <v/>
      </c>
      <c r="AA111" s="525" t="n"/>
      <c r="AB111" s="525" t="n"/>
      <c r="AC111" s="525" t="n"/>
    </row>
    <row r="112">
      <c r="A112" s="465" t="n"/>
      <c r="B112" s="465" t="n"/>
      <c r="C112" s="465" t="n"/>
      <c r="D112" s="465" t="n"/>
      <c r="E112" s="465" t="n"/>
      <c r="F112" s="465" t="n"/>
      <c r="G112" s="465" t="n"/>
      <c r="H112" s="465" t="n"/>
      <c r="I112" s="465" t="n"/>
      <c r="J112" s="465" t="n"/>
      <c r="K112" s="465" t="n"/>
      <c r="L112" s="465" t="n"/>
      <c r="M112" s="465" t="n"/>
      <c r="N112" s="465" t="n"/>
      <c r="O112" s="522" t="n"/>
      <c r="P112" s="523" t="inlineStr">
        <is>
          <t>Итого</t>
        </is>
      </c>
      <c r="Q112" s="485" t="n"/>
      <c r="R112" s="485" t="n"/>
      <c r="S112" s="485" t="n"/>
      <c r="T112" s="485" t="n"/>
      <c r="U112" s="485" t="n"/>
      <c r="V112" s="486" t="n"/>
      <c r="W112" s="40" t="inlineStr">
        <is>
          <t>кг</t>
        </is>
      </c>
      <c r="X112" s="524">
        <f>IFERROR(SUMPRODUCT(X106:X110*H106:H110),"0")</f>
        <v/>
      </c>
      <c r="Y112" s="524">
        <f>IFERROR(SUMPRODUCT(Y106:Y110*H106:H110),"0")</f>
        <v/>
      </c>
      <c r="Z112" s="40" t="n"/>
      <c r="AA112" s="525" t="n"/>
      <c r="AB112" s="525" t="n"/>
      <c r="AC112" s="525" t="n"/>
    </row>
    <row r="113" ht="14.25" customHeight="1">
      <c r="A113" s="352" t="inlineStr">
        <is>
          <t>Снеки</t>
        </is>
      </c>
      <c r="B113" s="465" t="n"/>
      <c r="C113" s="465" t="n"/>
      <c r="D113" s="465" t="n"/>
      <c r="E113" s="465" t="n"/>
      <c r="F113" s="465" t="n"/>
      <c r="G113" s="465" t="n"/>
      <c r="H113" s="465" t="n"/>
      <c r="I113" s="465" t="n"/>
      <c r="J113" s="465" t="n"/>
      <c r="K113" s="465" t="n"/>
      <c r="L113" s="465" t="n"/>
      <c r="M113" s="465" t="n"/>
      <c r="N113" s="465" t="n"/>
      <c r="O113" s="465" t="n"/>
      <c r="P113" s="465" t="n"/>
      <c r="Q113" s="465" t="n"/>
      <c r="R113" s="465" t="n"/>
      <c r="S113" s="465" t="n"/>
      <c r="T113" s="465" t="n"/>
      <c r="U113" s="465" t="n"/>
      <c r="V113" s="465" t="n"/>
      <c r="W113" s="465" t="n"/>
      <c r="X113" s="465" t="n"/>
      <c r="Y113" s="465" t="n"/>
      <c r="Z113" s="465" t="n"/>
      <c r="AA113" s="352" t="n"/>
      <c r="AB113" s="352" t="n"/>
      <c r="AC113" s="352" t="n"/>
    </row>
    <row r="114" ht="27" customHeight="1">
      <c r="A114" s="60" t="inlineStr">
        <is>
          <t>SU003727</t>
        </is>
      </c>
      <c r="B114" s="60" t="inlineStr">
        <is>
          <t>P004749</t>
        </is>
      </c>
      <c r="C114" s="34" t="n">
        <v>4301135670</v>
      </c>
      <c r="D114" s="353" t="n">
        <v>4620207490983</v>
      </c>
      <c r="E114" s="477" t="n"/>
      <c r="F114" s="516" t="n">
        <v>0.22</v>
      </c>
      <c r="G114" s="35" t="n">
        <v>12</v>
      </c>
      <c r="H114" s="516" t="n">
        <v>2.64</v>
      </c>
      <c r="I114" s="516" t="n">
        <v>3.3436</v>
      </c>
      <c r="J114" s="35" t="n">
        <v>70</v>
      </c>
      <c r="K114" s="35" t="inlineStr">
        <is>
          <t>14</t>
        </is>
      </c>
      <c r="L114" s="35" t="inlineStr">
        <is>
          <t>Короб, мин. 1</t>
        </is>
      </c>
      <c r="M114" s="36" t="inlineStr">
        <is>
          <t>МГ</t>
        </is>
      </c>
      <c r="N114" s="36" t="n"/>
      <c r="O114" s="35" t="n">
        <v>180</v>
      </c>
      <c r="P114" s="561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/>
      </c>
      <c r="Q114" s="518" t="n"/>
      <c r="R114" s="518" t="n"/>
      <c r="S114" s="518" t="n"/>
      <c r="T114" s="519" t="n"/>
      <c r="U114" s="37" t="inlineStr"/>
      <c r="V114" s="37" t="inlineStr"/>
      <c r="W114" s="38" t="inlineStr">
        <is>
          <t>кор</t>
        </is>
      </c>
      <c r="X114" s="520" t="n">
        <v>0</v>
      </c>
      <c r="Y114" s="521">
        <f>IFERROR(IF(X114="","",X114),"")</f>
        <v/>
      </c>
      <c r="Z114" s="39">
        <f>IFERROR(IF(X114="","",X114*0.01788),"")</f>
        <v/>
      </c>
      <c r="AA114" s="65" t="inlineStr"/>
      <c r="AB114" s="66" t="inlineStr"/>
      <c r="AC114" s="156" t="inlineStr">
        <is>
          <t>ЕАЭС N RU Д-RU.РА01.В.73804/25</t>
        </is>
      </c>
      <c r="AG114" s="78" t="n"/>
      <c r="AJ114" s="82" t="inlineStr">
        <is>
          <t>Короб</t>
        </is>
      </c>
      <c r="AK114" s="82" t="n">
        <v>1</v>
      </c>
      <c r="BB114" s="157" t="inlineStr">
        <is>
          <t>ПГП</t>
        </is>
      </c>
      <c r="BM114" s="78">
        <f>IFERROR(X114*I114,"0")</f>
        <v/>
      </c>
      <c r="BN114" s="78">
        <f>IFERROR(Y114*I114,"0")</f>
        <v/>
      </c>
      <c r="BO114" s="78">
        <f>IFERROR(X114/J114,"0")</f>
        <v/>
      </c>
      <c r="BP114" s="78">
        <f>IFERROR(Y114/J114,"0")</f>
        <v/>
      </c>
    </row>
    <row r="115">
      <c r="A115" s="361" t="n"/>
      <c r="B115" s="465" t="n"/>
      <c r="C115" s="465" t="n"/>
      <c r="D115" s="465" t="n"/>
      <c r="E115" s="465" t="n"/>
      <c r="F115" s="465" t="n"/>
      <c r="G115" s="465" t="n"/>
      <c r="H115" s="465" t="n"/>
      <c r="I115" s="465" t="n"/>
      <c r="J115" s="465" t="n"/>
      <c r="K115" s="465" t="n"/>
      <c r="L115" s="465" t="n"/>
      <c r="M115" s="465" t="n"/>
      <c r="N115" s="465" t="n"/>
      <c r="O115" s="522" t="n"/>
      <c r="P115" s="523" t="inlineStr">
        <is>
          <t>Итого</t>
        </is>
      </c>
      <c r="Q115" s="485" t="n"/>
      <c r="R115" s="485" t="n"/>
      <c r="S115" s="485" t="n"/>
      <c r="T115" s="485" t="n"/>
      <c r="U115" s="485" t="n"/>
      <c r="V115" s="486" t="n"/>
      <c r="W115" s="40" t="inlineStr">
        <is>
          <t>кор</t>
        </is>
      </c>
      <c r="X115" s="524">
        <f>IFERROR(SUM(X114:X114),"0")</f>
        <v/>
      </c>
      <c r="Y115" s="524">
        <f>IFERROR(SUM(Y114:Y114),"0")</f>
        <v/>
      </c>
      <c r="Z115" s="524">
        <f>IFERROR(IF(Z114="",0,Z114),"0")</f>
        <v/>
      </c>
      <c r="AA115" s="525" t="n"/>
      <c r="AB115" s="525" t="n"/>
      <c r="AC115" s="525" t="n"/>
    </row>
    <row r="116">
      <c r="A116" s="465" t="n"/>
      <c r="B116" s="465" t="n"/>
      <c r="C116" s="465" t="n"/>
      <c r="D116" s="465" t="n"/>
      <c r="E116" s="465" t="n"/>
      <c r="F116" s="465" t="n"/>
      <c r="G116" s="465" t="n"/>
      <c r="H116" s="465" t="n"/>
      <c r="I116" s="465" t="n"/>
      <c r="J116" s="465" t="n"/>
      <c r="K116" s="465" t="n"/>
      <c r="L116" s="465" t="n"/>
      <c r="M116" s="465" t="n"/>
      <c r="N116" s="465" t="n"/>
      <c r="O116" s="522" t="n"/>
      <c r="P116" s="523" t="inlineStr">
        <is>
          <t>Итого</t>
        </is>
      </c>
      <c r="Q116" s="485" t="n"/>
      <c r="R116" s="485" t="n"/>
      <c r="S116" s="485" t="n"/>
      <c r="T116" s="485" t="n"/>
      <c r="U116" s="485" t="n"/>
      <c r="V116" s="486" t="n"/>
      <c r="W116" s="40" t="inlineStr">
        <is>
          <t>кг</t>
        </is>
      </c>
      <c r="X116" s="524">
        <f>IFERROR(SUMPRODUCT(X114:X114*H114:H114),"0")</f>
        <v/>
      </c>
      <c r="Y116" s="524">
        <f>IFERROR(SUMPRODUCT(Y114:Y114*H114:H114),"0")</f>
        <v/>
      </c>
      <c r="Z116" s="40" t="n"/>
      <c r="AA116" s="525" t="n"/>
      <c r="AB116" s="525" t="n"/>
      <c r="AC116" s="525" t="n"/>
    </row>
    <row r="117" ht="14.25" customHeight="1">
      <c r="A117" s="352" t="inlineStr">
        <is>
          <t>Пельмени ПГП</t>
        </is>
      </c>
      <c r="B117" s="465" t="n"/>
      <c r="C117" s="465" t="n"/>
      <c r="D117" s="465" t="n"/>
      <c r="E117" s="465" t="n"/>
      <c r="F117" s="465" t="n"/>
      <c r="G117" s="465" t="n"/>
      <c r="H117" s="465" t="n"/>
      <c r="I117" s="465" t="n"/>
      <c r="J117" s="465" t="n"/>
      <c r="K117" s="465" t="n"/>
      <c r="L117" s="465" t="n"/>
      <c r="M117" s="465" t="n"/>
      <c r="N117" s="465" t="n"/>
      <c r="O117" s="465" t="n"/>
      <c r="P117" s="465" t="n"/>
      <c r="Q117" s="465" t="n"/>
      <c r="R117" s="465" t="n"/>
      <c r="S117" s="465" t="n"/>
      <c r="T117" s="465" t="n"/>
      <c r="U117" s="465" t="n"/>
      <c r="V117" s="465" t="n"/>
      <c r="W117" s="465" t="n"/>
      <c r="X117" s="465" t="n"/>
      <c r="Y117" s="465" t="n"/>
      <c r="Z117" s="465" t="n"/>
      <c r="AA117" s="352" t="n"/>
      <c r="AB117" s="352" t="n"/>
      <c r="AC117" s="352" t="n"/>
    </row>
    <row r="118" ht="27" customHeight="1">
      <c r="A118" s="60" t="inlineStr">
        <is>
          <t>SU003845</t>
        </is>
      </c>
      <c r="B118" s="60" t="inlineStr">
        <is>
          <t>P004909</t>
        </is>
      </c>
      <c r="C118" s="34" t="n">
        <v>4301071094</v>
      </c>
      <c r="D118" s="353" t="n">
        <v>4620207491140</v>
      </c>
      <c r="E118" s="477" t="n"/>
      <c r="F118" s="516" t="n">
        <v>0.6</v>
      </c>
      <c r="G118" s="35" t="n">
        <v>10</v>
      </c>
      <c r="H118" s="516" t="n">
        <v>6</v>
      </c>
      <c r="I118" s="516" t="n">
        <v>6.28</v>
      </c>
      <c r="J118" s="35" t="n">
        <v>84</v>
      </c>
      <c r="K118" s="35" t="inlineStr">
        <is>
          <t>12</t>
        </is>
      </c>
      <c r="L118" s="35" t="inlineStr">
        <is>
          <t>Короб, мин. 1</t>
        </is>
      </c>
      <c r="M118" s="36" t="inlineStr">
        <is>
          <t>МГ</t>
        </is>
      </c>
      <c r="N118" s="36" t="n"/>
      <c r="O118" s="35" t="n">
        <v>180</v>
      </c>
      <c r="P118" s="562" t="inlineStr">
        <is>
          <t>Пельмени ПГП «Пельмени Бульмени Нейробуст с мясом» Фикс.вес 0,6 сфера ТМ «Горячая штучка»</t>
        </is>
      </c>
      <c r="Q118" s="518" t="n"/>
      <c r="R118" s="518" t="n"/>
      <c r="S118" s="518" t="n"/>
      <c r="T118" s="519" t="n"/>
      <c r="U118" s="37" t="inlineStr"/>
      <c r="V118" s="37" t="inlineStr"/>
      <c r="W118" s="38" t="inlineStr">
        <is>
          <t>кор</t>
        </is>
      </c>
      <c r="X118" s="520" t="n">
        <v>0</v>
      </c>
      <c r="Y118" s="521">
        <f>IFERROR(IF(X118="","",X118),"")</f>
        <v/>
      </c>
      <c r="Z118" s="39">
        <f>IFERROR(IF(X118="","",X118*0.0155),"")</f>
        <v/>
      </c>
      <c r="AA118" s="65" t="inlineStr"/>
      <c r="AB118" s="66" t="inlineStr"/>
      <c r="AC118" s="158" t="inlineStr">
        <is>
          <t>ЕАЭС N RU Д-RU.РА04.В.40597/25</t>
        </is>
      </c>
      <c r="AG118" s="78" t="n"/>
      <c r="AJ118" s="82" t="inlineStr">
        <is>
          <t>Короб</t>
        </is>
      </c>
      <c r="AK118" s="82" t="n">
        <v>1</v>
      </c>
      <c r="BB118" s="159" t="inlineStr">
        <is>
          <t>ПГП</t>
        </is>
      </c>
      <c r="BM118" s="78">
        <f>IFERROR(X118*I118,"0")</f>
        <v/>
      </c>
      <c r="BN118" s="78">
        <f>IFERROR(Y118*I118,"0")</f>
        <v/>
      </c>
      <c r="BO118" s="78">
        <f>IFERROR(X118/J118,"0")</f>
        <v/>
      </c>
      <c r="BP118" s="78">
        <f>IFERROR(Y118/J118,"0")</f>
        <v/>
      </c>
    </row>
    <row r="119">
      <c r="A119" s="361" t="n"/>
      <c r="B119" s="465" t="n"/>
      <c r="C119" s="465" t="n"/>
      <c r="D119" s="465" t="n"/>
      <c r="E119" s="465" t="n"/>
      <c r="F119" s="465" t="n"/>
      <c r="G119" s="465" t="n"/>
      <c r="H119" s="465" t="n"/>
      <c r="I119" s="465" t="n"/>
      <c r="J119" s="465" t="n"/>
      <c r="K119" s="465" t="n"/>
      <c r="L119" s="465" t="n"/>
      <c r="M119" s="465" t="n"/>
      <c r="N119" s="465" t="n"/>
      <c r="O119" s="522" t="n"/>
      <c r="P119" s="523" t="inlineStr">
        <is>
          <t>Итого</t>
        </is>
      </c>
      <c r="Q119" s="485" t="n"/>
      <c r="R119" s="485" t="n"/>
      <c r="S119" s="485" t="n"/>
      <c r="T119" s="485" t="n"/>
      <c r="U119" s="485" t="n"/>
      <c r="V119" s="486" t="n"/>
      <c r="W119" s="40" t="inlineStr">
        <is>
          <t>кор</t>
        </is>
      </c>
      <c r="X119" s="524">
        <f>IFERROR(SUM(X118:X118),"0")</f>
        <v/>
      </c>
      <c r="Y119" s="524">
        <f>IFERROR(SUM(Y118:Y118),"0")</f>
        <v/>
      </c>
      <c r="Z119" s="524">
        <f>IFERROR(IF(Z118="",0,Z118),"0")</f>
        <v/>
      </c>
      <c r="AA119" s="525" t="n"/>
      <c r="AB119" s="525" t="n"/>
      <c r="AC119" s="525" t="n"/>
    </row>
    <row r="120">
      <c r="A120" s="465" t="n"/>
      <c r="B120" s="465" t="n"/>
      <c r="C120" s="465" t="n"/>
      <c r="D120" s="465" t="n"/>
      <c r="E120" s="465" t="n"/>
      <c r="F120" s="465" t="n"/>
      <c r="G120" s="465" t="n"/>
      <c r="H120" s="465" t="n"/>
      <c r="I120" s="465" t="n"/>
      <c r="J120" s="465" t="n"/>
      <c r="K120" s="465" t="n"/>
      <c r="L120" s="465" t="n"/>
      <c r="M120" s="465" t="n"/>
      <c r="N120" s="465" t="n"/>
      <c r="O120" s="522" t="n"/>
      <c r="P120" s="523" t="inlineStr">
        <is>
          <t>Итого</t>
        </is>
      </c>
      <c r="Q120" s="485" t="n"/>
      <c r="R120" s="485" t="n"/>
      <c r="S120" s="485" t="n"/>
      <c r="T120" s="485" t="n"/>
      <c r="U120" s="485" t="n"/>
      <c r="V120" s="486" t="n"/>
      <c r="W120" s="40" t="inlineStr">
        <is>
          <t>кг</t>
        </is>
      </c>
      <c r="X120" s="524">
        <f>IFERROR(SUMPRODUCT(X118:X118*H118:H118),"0")</f>
        <v/>
      </c>
      <c r="Y120" s="524">
        <f>IFERROR(SUMPRODUCT(Y118:Y118*H118:H118),"0")</f>
        <v/>
      </c>
      <c r="Z120" s="40" t="n"/>
      <c r="AA120" s="525" t="n"/>
      <c r="AB120" s="525" t="n"/>
      <c r="AC120" s="525" t="n"/>
    </row>
    <row r="121" ht="16.5" customHeight="1">
      <c r="A121" s="351" t="inlineStr">
        <is>
          <t>Чебупицца</t>
        </is>
      </c>
      <c r="B121" s="465" t="n"/>
      <c r="C121" s="465" t="n"/>
      <c r="D121" s="465" t="n"/>
      <c r="E121" s="465" t="n"/>
      <c r="F121" s="465" t="n"/>
      <c r="G121" s="465" t="n"/>
      <c r="H121" s="465" t="n"/>
      <c r="I121" s="465" t="n"/>
      <c r="J121" s="465" t="n"/>
      <c r="K121" s="465" t="n"/>
      <c r="L121" s="465" t="n"/>
      <c r="M121" s="465" t="n"/>
      <c r="N121" s="465" t="n"/>
      <c r="O121" s="465" t="n"/>
      <c r="P121" s="465" t="n"/>
      <c r="Q121" s="465" t="n"/>
      <c r="R121" s="465" t="n"/>
      <c r="S121" s="465" t="n"/>
      <c r="T121" s="465" t="n"/>
      <c r="U121" s="465" t="n"/>
      <c r="V121" s="465" t="n"/>
      <c r="W121" s="465" t="n"/>
      <c r="X121" s="465" t="n"/>
      <c r="Y121" s="465" t="n"/>
      <c r="Z121" s="465" t="n"/>
      <c r="AA121" s="351" t="n"/>
      <c r="AB121" s="351" t="n"/>
      <c r="AC121" s="351" t="n"/>
    </row>
    <row r="122" ht="14.25" customHeight="1">
      <c r="A122" s="352" t="inlineStr">
        <is>
          <t>Снеки</t>
        </is>
      </c>
      <c r="B122" s="465" t="n"/>
      <c r="C122" s="465" t="n"/>
      <c r="D122" s="465" t="n"/>
      <c r="E122" s="465" t="n"/>
      <c r="F122" s="465" t="n"/>
      <c r="G122" s="465" t="n"/>
      <c r="H122" s="465" t="n"/>
      <c r="I122" s="465" t="n"/>
      <c r="J122" s="465" t="n"/>
      <c r="K122" s="465" t="n"/>
      <c r="L122" s="465" t="n"/>
      <c r="M122" s="465" t="n"/>
      <c r="N122" s="465" t="n"/>
      <c r="O122" s="465" t="n"/>
      <c r="P122" s="465" t="n"/>
      <c r="Q122" s="465" t="n"/>
      <c r="R122" s="465" t="n"/>
      <c r="S122" s="465" t="n"/>
      <c r="T122" s="465" t="n"/>
      <c r="U122" s="465" t="n"/>
      <c r="V122" s="465" t="n"/>
      <c r="W122" s="465" t="n"/>
      <c r="X122" s="465" t="n"/>
      <c r="Y122" s="465" t="n"/>
      <c r="Z122" s="465" t="n"/>
      <c r="AA122" s="352" t="n"/>
      <c r="AB122" s="352" t="n"/>
      <c r="AC122" s="352" t="n"/>
    </row>
    <row r="123" ht="27" customHeight="1">
      <c r="A123" s="60" t="inlineStr">
        <is>
          <t>SU003578</t>
        </is>
      </c>
      <c r="B123" s="60" t="inlineStr">
        <is>
          <t>P004484</t>
        </is>
      </c>
      <c r="C123" s="34" t="n">
        <v>4301135555</v>
      </c>
      <c r="D123" s="353" t="n">
        <v>4607111034014</v>
      </c>
      <c r="E123" s="477" t="n"/>
      <c r="F123" s="516" t="n">
        <v>0.25</v>
      </c>
      <c r="G123" s="35" t="n">
        <v>12</v>
      </c>
      <c r="H123" s="516" t="n">
        <v>3</v>
      </c>
      <c r="I123" s="516" t="n">
        <v>3.7036</v>
      </c>
      <c r="J123" s="35" t="n">
        <v>70</v>
      </c>
      <c r="K123" s="35" t="inlineStr">
        <is>
          <t>14</t>
        </is>
      </c>
      <c r="L123" s="35" t="inlineStr">
        <is>
          <t>Слой, мин. 1</t>
        </is>
      </c>
      <c r="M123" s="36" t="inlineStr">
        <is>
          <t>МГ</t>
        </is>
      </c>
      <c r="N123" s="36" t="n"/>
      <c r="O123" s="35" t="n">
        <v>180</v>
      </c>
      <c r="P123" s="563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/>
      </c>
      <c r="Q123" s="518" t="n"/>
      <c r="R123" s="518" t="n"/>
      <c r="S123" s="518" t="n"/>
      <c r="T123" s="519" t="n"/>
      <c r="U123" s="37" t="inlineStr"/>
      <c r="V123" s="37" t="inlineStr"/>
      <c r="W123" s="38" t="inlineStr">
        <is>
          <t>кор</t>
        </is>
      </c>
      <c r="X123" s="520" t="n">
        <v>70</v>
      </c>
      <c r="Y123" s="521">
        <f>IFERROR(IF(X123="","",X123),"")</f>
        <v/>
      </c>
      <c r="Z123" s="39">
        <f>IFERROR(IF(X123="","",X123*0.01788),"")</f>
        <v/>
      </c>
      <c r="AA123" s="65" t="inlineStr"/>
      <c r="AB123" s="66" t="inlineStr"/>
      <c r="AC123" s="160" t="inlineStr">
        <is>
          <t>ЕАЭС N RU Д-RU.РА10.В.33475/23</t>
        </is>
      </c>
      <c r="AG123" s="78" t="n"/>
      <c r="AJ123" s="82" t="inlineStr">
        <is>
          <t>Слой</t>
        </is>
      </c>
      <c r="AK123" s="82" t="n">
        <v>14</v>
      </c>
      <c r="BB123" s="161" t="inlineStr">
        <is>
          <t>ПГП</t>
        </is>
      </c>
      <c r="BM123" s="78">
        <f>IFERROR(X123*I123,"0")</f>
        <v/>
      </c>
      <c r="BN123" s="78">
        <f>IFERROR(Y123*I123,"0")</f>
        <v/>
      </c>
      <c r="BO123" s="78">
        <f>IFERROR(X123/J123,"0")</f>
        <v/>
      </c>
      <c r="BP123" s="78">
        <f>IFERROR(Y123/J123,"0")</f>
        <v/>
      </c>
    </row>
    <row r="124" ht="27" customHeight="1">
      <c r="A124" s="60" t="inlineStr">
        <is>
          <t>SU003580</t>
        </is>
      </c>
      <c r="B124" s="60" t="inlineStr">
        <is>
          <t>P004486</t>
        </is>
      </c>
      <c r="C124" s="34" t="n">
        <v>4301135532</v>
      </c>
      <c r="D124" s="353" t="n">
        <v>4607111033994</v>
      </c>
      <c r="E124" s="477" t="n"/>
      <c r="F124" s="516" t="n">
        <v>0.25</v>
      </c>
      <c r="G124" s="35" t="n">
        <v>12</v>
      </c>
      <c r="H124" s="516" t="n">
        <v>3</v>
      </c>
      <c r="I124" s="516" t="n">
        <v>3.7036</v>
      </c>
      <c r="J124" s="35" t="n">
        <v>70</v>
      </c>
      <c r="K124" s="35" t="inlineStr">
        <is>
          <t>14</t>
        </is>
      </c>
      <c r="L124" s="35" t="inlineStr">
        <is>
          <t>Слой, мин. 1</t>
        </is>
      </c>
      <c r="M124" s="36" t="inlineStr">
        <is>
          <t>МГ</t>
        </is>
      </c>
      <c r="N124" s="36" t="n"/>
      <c r="O124" s="35" t="n">
        <v>180</v>
      </c>
      <c r="P124" s="564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/>
      </c>
      <c r="Q124" s="518" t="n"/>
      <c r="R124" s="518" t="n"/>
      <c r="S124" s="518" t="n"/>
      <c r="T124" s="519" t="n"/>
      <c r="U124" s="37" t="inlineStr"/>
      <c r="V124" s="37" t="inlineStr"/>
      <c r="W124" s="38" t="inlineStr">
        <is>
          <t>кор</t>
        </is>
      </c>
      <c r="X124" s="520" t="n">
        <v>70</v>
      </c>
      <c r="Y124" s="521">
        <f>IFERROR(IF(X124="","",X124),"")</f>
        <v/>
      </c>
      <c r="Z124" s="39">
        <f>IFERROR(IF(X124="","",X124*0.01788),"")</f>
        <v/>
      </c>
      <c r="AA124" s="65" t="inlineStr"/>
      <c r="AB124" s="66" t="inlineStr"/>
      <c r="AC124" s="162" t="inlineStr">
        <is>
          <t>ЕАЭС N RU Д-RU.РА02.В.49579/23</t>
        </is>
      </c>
      <c r="AG124" s="78" t="n"/>
      <c r="AJ124" s="82" t="inlineStr">
        <is>
          <t>Слой</t>
        </is>
      </c>
      <c r="AK124" s="82" t="n">
        <v>14</v>
      </c>
      <c r="BB124" s="163" t="inlineStr">
        <is>
          <t>ПГП</t>
        </is>
      </c>
      <c r="BM124" s="78">
        <f>IFERROR(X124*I124,"0")</f>
        <v/>
      </c>
      <c r="BN124" s="78">
        <f>IFERROR(Y124*I124,"0")</f>
        <v/>
      </c>
      <c r="BO124" s="78">
        <f>IFERROR(X124/J124,"0")</f>
        <v/>
      </c>
      <c r="BP124" s="78">
        <f>IFERROR(Y124/J124,"0")</f>
        <v/>
      </c>
    </row>
    <row r="125">
      <c r="A125" s="361" t="n"/>
      <c r="B125" s="465" t="n"/>
      <c r="C125" s="465" t="n"/>
      <c r="D125" s="465" t="n"/>
      <c r="E125" s="465" t="n"/>
      <c r="F125" s="465" t="n"/>
      <c r="G125" s="465" t="n"/>
      <c r="H125" s="465" t="n"/>
      <c r="I125" s="465" t="n"/>
      <c r="J125" s="465" t="n"/>
      <c r="K125" s="465" t="n"/>
      <c r="L125" s="465" t="n"/>
      <c r="M125" s="465" t="n"/>
      <c r="N125" s="465" t="n"/>
      <c r="O125" s="522" t="n"/>
      <c r="P125" s="523" t="inlineStr">
        <is>
          <t>Итого</t>
        </is>
      </c>
      <c r="Q125" s="485" t="n"/>
      <c r="R125" s="485" t="n"/>
      <c r="S125" s="485" t="n"/>
      <c r="T125" s="485" t="n"/>
      <c r="U125" s="485" t="n"/>
      <c r="V125" s="486" t="n"/>
      <c r="W125" s="40" t="inlineStr">
        <is>
          <t>кор</t>
        </is>
      </c>
      <c r="X125" s="524">
        <f>IFERROR(SUM(X123:X124),"0")</f>
        <v/>
      </c>
      <c r="Y125" s="524">
        <f>IFERROR(SUM(Y123:Y124),"0")</f>
        <v/>
      </c>
      <c r="Z125" s="524">
        <f>IFERROR(IF(Z123="",0,Z123),"0")+IFERROR(IF(Z124="",0,Z124),"0")</f>
        <v/>
      </c>
      <c r="AA125" s="525" t="n"/>
      <c r="AB125" s="525" t="n"/>
      <c r="AC125" s="525" t="n"/>
    </row>
    <row r="126">
      <c r="A126" s="465" t="n"/>
      <c r="B126" s="465" t="n"/>
      <c r="C126" s="465" t="n"/>
      <c r="D126" s="465" t="n"/>
      <c r="E126" s="465" t="n"/>
      <c r="F126" s="465" t="n"/>
      <c r="G126" s="465" t="n"/>
      <c r="H126" s="465" t="n"/>
      <c r="I126" s="465" t="n"/>
      <c r="J126" s="465" t="n"/>
      <c r="K126" s="465" t="n"/>
      <c r="L126" s="465" t="n"/>
      <c r="M126" s="465" t="n"/>
      <c r="N126" s="465" t="n"/>
      <c r="O126" s="522" t="n"/>
      <c r="P126" s="523" t="inlineStr">
        <is>
          <t>Итого</t>
        </is>
      </c>
      <c r="Q126" s="485" t="n"/>
      <c r="R126" s="485" t="n"/>
      <c r="S126" s="485" t="n"/>
      <c r="T126" s="485" t="n"/>
      <c r="U126" s="485" t="n"/>
      <c r="V126" s="486" t="n"/>
      <c r="W126" s="40" t="inlineStr">
        <is>
          <t>кг</t>
        </is>
      </c>
      <c r="X126" s="524">
        <f>IFERROR(SUMPRODUCT(X123:X124*H123:H124),"0")</f>
        <v/>
      </c>
      <c r="Y126" s="524">
        <f>IFERROR(SUMPRODUCT(Y123:Y124*H123:H124),"0")</f>
        <v/>
      </c>
      <c r="Z126" s="40" t="n"/>
      <c r="AA126" s="525" t="n"/>
      <c r="AB126" s="525" t="n"/>
      <c r="AC126" s="525" t="n"/>
    </row>
    <row r="127" ht="16.5" customHeight="1">
      <c r="A127" s="351" t="inlineStr">
        <is>
          <t>Хотстеры</t>
        </is>
      </c>
      <c r="B127" s="465" t="n"/>
      <c r="C127" s="465" t="n"/>
      <c r="D127" s="465" t="n"/>
      <c r="E127" s="465" t="n"/>
      <c r="F127" s="465" t="n"/>
      <c r="G127" s="465" t="n"/>
      <c r="H127" s="465" t="n"/>
      <c r="I127" s="465" t="n"/>
      <c r="J127" s="465" t="n"/>
      <c r="K127" s="465" t="n"/>
      <c r="L127" s="465" t="n"/>
      <c r="M127" s="465" t="n"/>
      <c r="N127" s="465" t="n"/>
      <c r="O127" s="465" t="n"/>
      <c r="P127" s="465" t="n"/>
      <c r="Q127" s="465" t="n"/>
      <c r="R127" s="465" t="n"/>
      <c r="S127" s="465" t="n"/>
      <c r="T127" s="465" t="n"/>
      <c r="U127" s="465" t="n"/>
      <c r="V127" s="465" t="n"/>
      <c r="W127" s="465" t="n"/>
      <c r="X127" s="465" t="n"/>
      <c r="Y127" s="465" t="n"/>
      <c r="Z127" s="465" t="n"/>
      <c r="AA127" s="351" t="n"/>
      <c r="AB127" s="351" t="n"/>
      <c r="AC127" s="351" t="n"/>
    </row>
    <row r="128" ht="14.25" customHeight="1">
      <c r="A128" s="352" t="inlineStr">
        <is>
          <t>Снеки</t>
        </is>
      </c>
      <c r="B128" s="465" t="n"/>
      <c r="C128" s="465" t="n"/>
      <c r="D128" s="465" t="n"/>
      <c r="E128" s="465" t="n"/>
      <c r="F128" s="465" t="n"/>
      <c r="G128" s="465" t="n"/>
      <c r="H128" s="465" t="n"/>
      <c r="I128" s="465" t="n"/>
      <c r="J128" s="465" t="n"/>
      <c r="K128" s="465" t="n"/>
      <c r="L128" s="465" t="n"/>
      <c r="M128" s="465" t="n"/>
      <c r="N128" s="465" t="n"/>
      <c r="O128" s="465" t="n"/>
      <c r="P128" s="465" t="n"/>
      <c r="Q128" s="465" t="n"/>
      <c r="R128" s="465" t="n"/>
      <c r="S128" s="465" t="n"/>
      <c r="T128" s="465" t="n"/>
      <c r="U128" s="465" t="n"/>
      <c r="V128" s="465" t="n"/>
      <c r="W128" s="465" t="n"/>
      <c r="X128" s="465" t="n"/>
      <c r="Y128" s="465" t="n"/>
      <c r="Z128" s="465" t="n"/>
      <c r="AA128" s="352" t="n"/>
      <c r="AB128" s="352" t="n"/>
      <c r="AC128" s="352" t="n"/>
    </row>
    <row r="129" ht="27" customHeight="1">
      <c r="A129" s="60" t="inlineStr">
        <is>
          <t>SU003384</t>
        </is>
      </c>
      <c r="B129" s="60" t="inlineStr">
        <is>
          <t>P004205</t>
        </is>
      </c>
      <c r="C129" s="34" t="n">
        <v>4301135549</v>
      </c>
      <c r="D129" s="353" t="n">
        <v>4607111039095</v>
      </c>
      <c r="E129" s="477" t="n"/>
      <c r="F129" s="516" t="n">
        <v>0.25</v>
      </c>
      <c r="G129" s="35" t="n">
        <v>12</v>
      </c>
      <c r="H129" s="516" t="n">
        <v>3</v>
      </c>
      <c r="I129" s="516" t="n">
        <v>3.748</v>
      </c>
      <c r="J129" s="35" t="n">
        <v>70</v>
      </c>
      <c r="K129" s="35" t="inlineStr">
        <is>
          <t>14</t>
        </is>
      </c>
      <c r="L129" s="35" t="inlineStr">
        <is>
          <t>Слой, мин. 1</t>
        </is>
      </c>
      <c r="M129" s="36" t="inlineStr">
        <is>
          <t>МГ</t>
        </is>
      </c>
      <c r="N129" s="36" t="n"/>
      <c r="O129" s="35" t="n">
        <v>180</v>
      </c>
      <c r="P129" s="565">
        <f>HYPERLINK("https://abi.ru/products/Замороженные/Горячая штучка/Хотстеры/Снеки/P004205/","Снеки «Хотстеры с сыром» ф/в 0,25 ТМ «Горячая штучка»")</f>
        <v/>
      </c>
      <c r="Q129" s="518" t="n"/>
      <c r="R129" s="518" t="n"/>
      <c r="S129" s="518" t="n"/>
      <c r="T129" s="519" t="n"/>
      <c r="U129" s="37" t="inlineStr"/>
      <c r="V129" s="37" t="inlineStr"/>
      <c r="W129" s="38" t="inlineStr">
        <is>
          <t>кор</t>
        </is>
      </c>
      <c r="X129" s="520" t="n">
        <v>0</v>
      </c>
      <c r="Y129" s="521">
        <f>IFERROR(IF(X129="","",X129),"")</f>
        <v/>
      </c>
      <c r="Z129" s="39">
        <f>IFERROR(IF(X129="","",X129*0.01788),"")</f>
        <v/>
      </c>
      <c r="AA129" s="65" t="inlineStr"/>
      <c r="AB129" s="66" t="inlineStr"/>
      <c r="AC129" s="164" t="inlineStr">
        <is>
          <t>ЕАЭС N RU Д-RU.РА02.В.13267/24</t>
        </is>
      </c>
      <c r="AG129" s="78" t="n"/>
      <c r="AJ129" s="82" t="inlineStr">
        <is>
          <t>Слой</t>
        </is>
      </c>
      <c r="AK129" s="82" t="n">
        <v>14</v>
      </c>
      <c r="BB129" s="165" t="inlineStr">
        <is>
          <t>ПГП</t>
        </is>
      </c>
      <c r="BM129" s="78">
        <f>IFERROR(X129*I129,"0")</f>
        <v/>
      </c>
      <c r="BN129" s="78">
        <f>IFERROR(Y129*I129,"0")</f>
        <v/>
      </c>
      <c r="BO129" s="78">
        <f>IFERROR(X129/J129,"0")</f>
        <v/>
      </c>
      <c r="BP129" s="78">
        <f>IFERROR(Y129/J129,"0")</f>
        <v/>
      </c>
    </row>
    <row r="130" ht="16.5" customHeight="1">
      <c r="A130" s="60" t="inlineStr">
        <is>
          <t>SU003576</t>
        </is>
      </c>
      <c r="B130" s="60" t="inlineStr">
        <is>
          <t>P004489</t>
        </is>
      </c>
      <c r="C130" s="34" t="n">
        <v>4301135550</v>
      </c>
      <c r="D130" s="353" t="n">
        <v>4607111034199</v>
      </c>
      <c r="E130" s="477" t="n"/>
      <c r="F130" s="516" t="n">
        <v>0.25</v>
      </c>
      <c r="G130" s="35" t="n">
        <v>12</v>
      </c>
      <c r="H130" s="516" t="n">
        <v>3</v>
      </c>
      <c r="I130" s="516" t="n">
        <v>3.7036</v>
      </c>
      <c r="J130" s="35" t="n">
        <v>70</v>
      </c>
      <c r="K130" s="35" t="inlineStr">
        <is>
          <t>14</t>
        </is>
      </c>
      <c r="L130" s="35" t="inlineStr">
        <is>
          <t>Короб, мин. 1</t>
        </is>
      </c>
      <c r="M130" s="36" t="inlineStr">
        <is>
          <t>МГ</t>
        </is>
      </c>
      <c r="N130" s="36" t="n"/>
      <c r="O130" s="35" t="n">
        <v>180</v>
      </c>
      <c r="P130" s="566">
        <f>HYPERLINK("https://abi.ru/products/Замороженные/Горячая штучка/Хотстеры/Снеки/P004489/","Снеки «Хотстеры» Фикс.вес 0,25 Пакет ТМ «Горячая штучка»")</f>
        <v/>
      </c>
      <c r="Q130" s="518" t="n"/>
      <c r="R130" s="518" t="n"/>
      <c r="S130" s="518" t="n"/>
      <c r="T130" s="519" t="n"/>
      <c r="U130" s="37" t="inlineStr"/>
      <c r="V130" s="37" t="inlineStr"/>
      <c r="W130" s="38" t="inlineStr">
        <is>
          <t>кор</t>
        </is>
      </c>
      <c r="X130" s="520" t="n">
        <v>28</v>
      </c>
      <c r="Y130" s="521">
        <f>IFERROR(IF(X130="","",X130),"")</f>
        <v/>
      </c>
      <c r="Z130" s="39">
        <f>IFERROR(IF(X130="","",X130*0.01788),"")</f>
        <v/>
      </c>
      <c r="AA130" s="65" t="inlineStr"/>
      <c r="AB130" s="66" t="inlineStr"/>
      <c r="AC130" s="166" t="inlineStr">
        <is>
          <t>ЕАЭС N RU Д-RU.РА05.В.14086/23</t>
        </is>
      </c>
      <c r="AG130" s="78" t="n"/>
      <c r="AJ130" s="82" t="inlineStr">
        <is>
          <t>Короб</t>
        </is>
      </c>
      <c r="AK130" s="82" t="n">
        <v>1</v>
      </c>
      <c r="BB130" s="167" t="inlineStr">
        <is>
          <t>ПГП</t>
        </is>
      </c>
      <c r="BM130" s="78">
        <f>IFERROR(X130*I130,"0")</f>
        <v/>
      </c>
      <c r="BN130" s="78">
        <f>IFERROR(Y130*I130,"0")</f>
        <v/>
      </c>
      <c r="BO130" s="78">
        <f>IFERROR(X130/J130,"0")</f>
        <v/>
      </c>
      <c r="BP130" s="78">
        <f>IFERROR(Y130/J130,"0")</f>
        <v/>
      </c>
    </row>
    <row r="131">
      <c r="A131" s="361" t="n"/>
      <c r="B131" s="465" t="n"/>
      <c r="C131" s="465" t="n"/>
      <c r="D131" s="465" t="n"/>
      <c r="E131" s="465" t="n"/>
      <c r="F131" s="465" t="n"/>
      <c r="G131" s="465" t="n"/>
      <c r="H131" s="465" t="n"/>
      <c r="I131" s="465" t="n"/>
      <c r="J131" s="465" t="n"/>
      <c r="K131" s="465" t="n"/>
      <c r="L131" s="465" t="n"/>
      <c r="M131" s="465" t="n"/>
      <c r="N131" s="465" t="n"/>
      <c r="O131" s="522" t="n"/>
      <c r="P131" s="523" t="inlineStr">
        <is>
          <t>Итого</t>
        </is>
      </c>
      <c r="Q131" s="485" t="n"/>
      <c r="R131" s="485" t="n"/>
      <c r="S131" s="485" t="n"/>
      <c r="T131" s="485" t="n"/>
      <c r="U131" s="485" t="n"/>
      <c r="V131" s="486" t="n"/>
      <c r="W131" s="40" t="inlineStr">
        <is>
          <t>кор</t>
        </is>
      </c>
      <c r="X131" s="524">
        <f>IFERROR(SUM(X129:X130),"0")</f>
        <v/>
      </c>
      <c r="Y131" s="524">
        <f>IFERROR(SUM(Y129:Y130),"0")</f>
        <v/>
      </c>
      <c r="Z131" s="524">
        <f>IFERROR(IF(Z129="",0,Z129),"0")+IFERROR(IF(Z130="",0,Z130),"0")</f>
        <v/>
      </c>
      <c r="AA131" s="525" t="n"/>
      <c r="AB131" s="525" t="n"/>
      <c r="AC131" s="525" t="n"/>
    </row>
    <row r="132">
      <c r="A132" s="465" t="n"/>
      <c r="B132" s="465" t="n"/>
      <c r="C132" s="465" t="n"/>
      <c r="D132" s="465" t="n"/>
      <c r="E132" s="465" t="n"/>
      <c r="F132" s="465" t="n"/>
      <c r="G132" s="465" t="n"/>
      <c r="H132" s="465" t="n"/>
      <c r="I132" s="465" t="n"/>
      <c r="J132" s="465" t="n"/>
      <c r="K132" s="465" t="n"/>
      <c r="L132" s="465" t="n"/>
      <c r="M132" s="465" t="n"/>
      <c r="N132" s="465" t="n"/>
      <c r="O132" s="522" t="n"/>
      <c r="P132" s="523" t="inlineStr">
        <is>
          <t>Итого</t>
        </is>
      </c>
      <c r="Q132" s="485" t="n"/>
      <c r="R132" s="485" t="n"/>
      <c r="S132" s="485" t="n"/>
      <c r="T132" s="485" t="n"/>
      <c r="U132" s="485" t="n"/>
      <c r="V132" s="486" t="n"/>
      <c r="W132" s="40" t="inlineStr">
        <is>
          <t>кг</t>
        </is>
      </c>
      <c r="X132" s="524">
        <f>IFERROR(SUMPRODUCT(X129:X130*H129:H130),"0")</f>
        <v/>
      </c>
      <c r="Y132" s="524">
        <f>IFERROR(SUMPRODUCT(Y129:Y130*H129:H130),"0")</f>
        <v/>
      </c>
      <c r="Z132" s="40" t="n"/>
      <c r="AA132" s="525" t="n"/>
      <c r="AB132" s="525" t="n"/>
      <c r="AC132" s="525" t="n"/>
    </row>
    <row r="133" ht="16.5" customHeight="1">
      <c r="A133" s="351" t="inlineStr">
        <is>
          <t>Круггетсы</t>
        </is>
      </c>
      <c r="B133" s="465" t="n"/>
      <c r="C133" s="465" t="n"/>
      <c r="D133" s="465" t="n"/>
      <c r="E133" s="465" t="n"/>
      <c r="F133" s="465" t="n"/>
      <c r="G133" s="465" t="n"/>
      <c r="H133" s="465" t="n"/>
      <c r="I133" s="465" t="n"/>
      <c r="J133" s="465" t="n"/>
      <c r="K133" s="465" t="n"/>
      <c r="L133" s="465" t="n"/>
      <c r="M133" s="465" t="n"/>
      <c r="N133" s="465" t="n"/>
      <c r="O133" s="465" t="n"/>
      <c r="P133" s="465" t="n"/>
      <c r="Q133" s="465" t="n"/>
      <c r="R133" s="465" t="n"/>
      <c r="S133" s="465" t="n"/>
      <c r="T133" s="465" t="n"/>
      <c r="U133" s="465" t="n"/>
      <c r="V133" s="465" t="n"/>
      <c r="W133" s="465" t="n"/>
      <c r="X133" s="465" t="n"/>
      <c r="Y133" s="465" t="n"/>
      <c r="Z133" s="465" t="n"/>
      <c r="AA133" s="351" t="n"/>
      <c r="AB133" s="351" t="n"/>
      <c r="AC133" s="351" t="n"/>
    </row>
    <row r="134" ht="14.25" customHeight="1">
      <c r="A134" s="352" t="inlineStr">
        <is>
          <t>Снеки</t>
        </is>
      </c>
      <c r="B134" s="465" t="n"/>
      <c r="C134" s="465" t="n"/>
      <c r="D134" s="465" t="n"/>
      <c r="E134" s="465" t="n"/>
      <c r="F134" s="465" t="n"/>
      <c r="G134" s="465" t="n"/>
      <c r="H134" s="465" t="n"/>
      <c r="I134" s="465" t="n"/>
      <c r="J134" s="465" t="n"/>
      <c r="K134" s="465" t="n"/>
      <c r="L134" s="465" t="n"/>
      <c r="M134" s="465" t="n"/>
      <c r="N134" s="465" t="n"/>
      <c r="O134" s="465" t="n"/>
      <c r="P134" s="465" t="n"/>
      <c r="Q134" s="465" t="n"/>
      <c r="R134" s="465" t="n"/>
      <c r="S134" s="465" t="n"/>
      <c r="T134" s="465" t="n"/>
      <c r="U134" s="465" t="n"/>
      <c r="V134" s="465" t="n"/>
      <c r="W134" s="465" t="n"/>
      <c r="X134" s="465" t="n"/>
      <c r="Y134" s="465" t="n"/>
      <c r="Z134" s="465" t="n"/>
      <c r="AA134" s="352" t="n"/>
      <c r="AB134" s="352" t="n"/>
      <c r="AC134" s="352" t="n"/>
    </row>
    <row r="135" ht="27" customHeight="1">
      <c r="A135" s="60" t="inlineStr">
        <is>
          <t>SU003872</t>
        </is>
      </c>
      <c r="B135" s="60" t="inlineStr">
        <is>
          <t>P004956</t>
        </is>
      </c>
      <c r="C135" s="34" t="n">
        <v>4301135753</v>
      </c>
      <c r="D135" s="353" t="n">
        <v>4620207490914</v>
      </c>
      <c r="E135" s="477" t="n"/>
      <c r="F135" s="516" t="n">
        <v>0.2</v>
      </c>
      <c r="G135" s="35" t="n">
        <v>12</v>
      </c>
      <c r="H135" s="516" t="n">
        <v>2.4</v>
      </c>
      <c r="I135" s="516" t="n">
        <v>2.68</v>
      </c>
      <c r="J135" s="35" t="n">
        <v>70</v>
      </c>
      <c r="K135" s="35" t="inlineStr">
        <is>
          <t>14</t>
        </is>
      </c>
      <c r="L135" s="35" t="inlineStr">
        <is>
          <t>Короб, мин. 1</t>
        </is>
      </c>
      <c r="M135" s="36" t="inlineStr">
        <is>
          <t>МГ</t>
        </is>
      </c>
      <c r="N135" s="36" t="n"/>
      <c r="O135" s="35" t="n">
        <v>180</v>
      </c>
      <c r="P135" s="567">
        <f>HYPERLINK("https://abi.ru/products/Замороженные/Горячая штучка/Круггетсы/Снеки/P004956/","Снеки «Круггетсы с сырным соусом» Фикс.вес 0,2 ТМ «Горячая штучка»")</f>
        <v/>
      </c>
      <c r="Q135" s="518" t="n"/>
      <c r="R135" s="518" t="n"/>
      <c r="S135" s="518" t="n"/>
      <c r="T135" s="519" t="n"/>
      <c r="U135" s="37" t="inlineStr"/>
      <c r="V135" s="37" t="inlineStr"/>
      <c r="W135" s="38" t="inlineStr">
        <is>
          <t>кор</t>
        </is>
      </c>
      <c r="X135" s="520" t="n">
        <v>0</v>
      </c>
      <c r="Y135" s="521">
        <f>IFERROR(IF(X135="","",X135),"")</f>
        <v/>
      </c>
      <c r="Z135" s="39">
        <f>IFERROR(IF(X135="","",X135*0.01788),"")</f>
        <v/>
      </c>
      <c r="AA135" s="65" t="inlineStr"/>
      <c r="AB135" s="66" t="inlineStr"/>
      <c r="AC135" s="168" t="inlineStr">
        <is>
          <t>ЕАЭС N RU Д-RU.РА10.В.33475/23</t>
        </is>
      </c>
      <c r="AG135" s="78" t="n"/>
      <c r="AJ135" s="82" t="inlineStr">
        <is>
          <t>Короб</t>
        </is>
      </c>
      <c r="AK135" s="82" t="n">
        <v>1</v>
      </c>
      <c r="BB135" s="169" t="inlineStr">
        <is>
          <t>ПГП</t>
        </is>
      </c>
      <c r="BM135" s="78">
        <f>IFERROR(X135*I135,"0")</f>
        <v/>
      </c>
      <c r="BN135" s="78">
        <f>IFERROR(Y135*I135,"0")</f>
        <v/>
      </c>
      <c r="BO135" s="78">
        <f>IFERROR(X135/J135,"0")</f>
        <v/>
      </c>
      <c r="BP135" s="78">
        <f>IFERROR(Y135/J135,"0")</f>
        <v/>
      </c>
    </row>
    <row r="136" ht="27" customHeight="1">
      <c r="A136" s="60" t="inlineStr">
        <is>
          <t>SU003870</t>
        </is>
      </c>
      <c r="B136" s="60" t="inlineStr">
        <is>
          <t>P004953</t>
        </is>
      </c>
      <c r="C136" s="34" t="n">
        <v>4301135778</v>
      </c>
      <c r="D136" s="353" t="n">
        <v>4620207490853</v>
      </c>
      <c r="E136" s="477" t="n"/>
      <c r="F136" s="516" t="n">
        <v>0.2</v>
      </c>
      <c r="G136" s="35" t="n">
        <v>12</v>
      </c>
      <c r="H136" s="516" t="n">
        <v>2.4</v>
      </c>
      <c r="I136" s="516" t="n">
        <v>2.68</v>
      </c>
      <c r="J136" s="35" t="n">
        <v>70</v>
      </c>
      <c r="K136" s="35" t="inlineStr">
        <is>
          <t>14</t>
        </is>
      </c>
      <c r="L136" s="35" t="inlineStr">
        <is>
          <t>Короб, мин. 1</t>
        </is>
      </c>
      <c r="M136" s="36" t="inlineStr">
        <is>
          <t>МГ</t>
        </is>
      </c>
      <c r="N136" s="36" t="n"/>
      <c r="O136" s="35" t="n">
        <v>180</v>
      </c>
      <c r="P136" s="568">
        <f>HYPERLINK("https://abi.ru/products/Замороженные/Горячая штучка/Круггетсы/Снеки/P004953/","Снеки «Круггетсы сочные» Фикс.вес 0,2 ТМ «Горячая штучка»")</f>
        <v/>
      </c>
      <c r="Q136" s="518" t="n"/>
      <c r="R136" s="518" t="n"/>
      <c r="S136" s="518" t="n"/>
      <c r="T136" s="519" t="n"/>
      <c r="U136" s="37" t="inlineStr"/>
      <c r="V136" s="37" t="inlineStr"/>
      <c r="W136" s="38" t="inlineStr">
        <is>
          <t>кор</t>
        </is>
      </c>
      <c r="X136" s="520" t="n">
        <v>0</v>
      </c>
      <c r="Y136" s="521">
        <f>IFERROR(IF(X136="","",X136),"")</f>
        <v/>
      </c>
      <c r="Z136" s="39">
        <f>IFERROR(IF(X136="","",X136*0.01788),"")</f>
        <v/>
      </c>
      <c r="AA136" s="65" t="inlineStr"/>
      <c r="AB136" s="66" t="inlineStr"/>
      <c r="AC136" s="170" t="inlineStr">
        <is>
          <t>ЕАЭС N RU Д-RU.РА10.В.33475/23</t>
        </is>
      </c>
      <c r="AG136" s="78" t="n"/>
      <c r="AJ136" s="82" t="inlineStr">
        <is>
          <t>Короб</t>
        </is>
      </c>
      <c r="AK136" s="82" t="n">
        <v>1</v>
      </c>
      <c r="BB136" s="171" t="inlineStr">
        <is>
          <t>ПГП</t>
        </is>
      </c>
      <c r="BM136" s="78">
        <f>IFERROR(X136*I136,"0")</f>
        <v/>
      </c>
      <c r="BN136" s="78">
        <f>IFERROR(Y136*I136,"0")</f>
        <v/>
      </c>
      <c r="BO136" s="78">
        <f>IFERROR(X136/J136,"0")</f>
        <v/>
      </c>
      <c r="BP136" s="78">
        <f>IFERROR(Y136/J136,"0")</f>
        <v/>
      </c>
    </row>
    <row r="137">
      <c r="A137" s="361" t="n"/>
      <c r="B137" s="465" t="n"/>
      <c r="C137" s="465" t="n"/>
      <c r="D137" s="465" t="n"/>
      <c r="E137" s="465" t="n"/>
      <c r="F137" s="465" t="n"/>
      <c r="G137" s="465" t="n"/>
      <c r="H137" s="465" t="n"/>
      <c r="I137" s="465" t="n"/>
      <c r="J137" s="465" t="n"/>
      <c r="K137" s="465" t="n"/>
      <c r="L137" s="465" t="n"/>
      <c r="M137" s="465" t="n"/>
      <c r="N137" s="465" t="n"/>
      <c r="O137" s="522" t="n"/>
      <c r="P137" s="523" t="inlineStr">
        <is>
          <t>Итого</t>
        </is>
      </c>
      <c r="Q137" s="485" t="n"/>
      <c r="R137" s="485" t="n"/>
      <c r="S137" s="485" t="n"/>
      <c r="T137" s="485" t="n"/>
      <c r="U137" s="485" t="n"/>
      <c r="V137" s="486" t="n"/>
      <c r="W137" s="40" t="inlineStr">
        <is>
          <t>кор</t>
        </is>
      </c>
      <c r="X137" s="524">
        <f>IFERROR(SUM(X135:X136),"0")</f>
        <v/>
      </c>
      <c r="Y137" s="524">
        <f>IFERROR(SUM(Y135:Y136),"0")</f>
        <v/>
      </c>
      <c r="Z137" s="524">
        <f>IFERROR(IF(Z135="",0,Z135),"0")+IFERROR(IF(Z136="",0,Z136),"0")</f>
        <v/>
      </c>
      <c r="AA137" s="525" t="n"/>
      <c r="AB137" s="525" t="n"/>
      <c r="AC137" s="525" t="n"/>
    </row>
    <row r="138">
      <c r="A138" s="465" t="n"/>
      <c r="B138" s="465" t="n"/>
      <c r="C138" s="465" t="n"/>
      <c r="D138" s="465" t="n"/>
      <c r="E138" s="465" t="n"/>
      <c r="F138" s="465" t="n"/>
      <c r="G138" s="465" t="n"/>
      <c r="H138" s="465" t="n"/>
      <c r="I138" s="465" t="n"/>
      <c r="J138" s="465" t="n"/>
      <c r="K138" s="465" t="n"/>
      <c r="L138" s="465" t="n"/>
      <c r="M138" s="465" t="n"/>
      <c r="N138" s="465" t="n"/>
      <c r="O138" s="522" t="n"/>
      <c r="P138" s="523" t="inlineStr">
        <is>
          <t>Итого</t>
        </is>
      </c>
      <c r="Q138" s="485" t="n"/>
      <c r="R138" s="485" t="n"/>
      <c r="S138" s="485" t="n"/>
      <c r="T138" s="485" t="n"/>
      <c r="U138" s="485" t="n"/>
      <c r="V138" s="486" t="n"/>
      <c r="W138" s="40" t="inlineStr">
        <is>
          <t>кг</t>
        </is>
      </c>
      <c r="X138" s="524">
        <f>IFERROR(SUMPRODUCT(X135:X136*H135:H136),"0")</f>
        <v/>
      </c>
      <c r="Y138" s="524">
        <f>IFERROR(SUMPRODUCT(Y135:Y136*H135:H136),"0")</f>
        <v/>
      </c>
      <c r="Z138" s="40" t="n"/>
      <c r="AA138" s="525" t="n"/>
      <c r="AB138" s="525" t="n"/>
      <c r="AC138" s="525" t="n"/>
    </row>
    <row r="139" ht="16.5" customHeight="1">
      <c r="A139" s="351" t="inlineStr">
        <is>
          <t>Пекерсы</t>
        </is>
      </c>
      <c r="B139" s="465" t="n"/>
      <c r="C139" s="465" t="n"/>
      <c r="D139" s="465" t="n"/>
      <c r="E139" s="465" t="n"/>
      <c r="F139" s="465" t="n"/>
      <c r="G139" s="465" t="n"/>
      <c r="H139" s="465" t="n"/>
      <c r="I139" s="465" t="n"/>
      <c r="J139" s="465" t="n"/>
      <c r="K139" s="465" t="n"/>
      <c r="L139" s="465" t="n"/>
      <c r="M139" s="465" t="n"/>
      <c r="N139" s="465" t="n"/>
      <c r="O139" s="465" t="n"/>
      <c r="P139" s="465" t="n"/>
      <c r="Q139" s="465" t="n"/>
      <c r="R139" s="465" t="n"/>
      <c r="S139" s="465" t="n"/>
      <c r="T139" s="465" t="n"/>
      <c r="U139" s="465" t="n"/>
      <c r="V139" s="465" t="n"/>
      <c r="W139" s="465" t="n"/>
      <c r="X139" s="465" t="n"/>
      <c r="Y139" s="465" t="n"/>
      <c r="Z139" s="465" t="n"/>
      <c r="AA139" s="351" t="n"/>
      <c r="AB139" s="351" t="n"/>
      <c r="AC139" s="351" t="n"/>
    </row>
    <row r="140" ht="14.25" customHeight="1">
      <c r="A140" s="352" t="inlineStr">
        <is>
          <t>Снеки</t>
        </is>
      </c>
      <c r="B140" s="465" t="n"/>
      <c r="C140" s="465" t="n"/>
      <c r="D140" s="465" t="n"/>
      <c r="E140" s="465" t="n"/>
      <c r="F140" s="465" t="n"/>
      <c r="G140" s="465" t="n"/>
      <c r="H140" s="465" t="n"/>
      <c r="I140" s="465" t="n"/>
      <c r="J140" s="465" t="n"/>
      <c r="K140" s="465" t="n"/>
      <c r="L140" s="465" t="n"/>
      <c r="M140" s="465" t="n"/>
      <c r="N140" s="465" t="n"/>
      <c r="O140" s="465" t="n"/>
      <c r="P140" s="465" t="n"/>
      <c r="Q140" s="465" t="n"/>
      <c r="R140" s="465" t="n"/>
      <c r="S140" s="465" t="n"/>
      <c r="T140" s="465" t="n"/>
      <c r="U140" s="465" t="n"/>
      <c r="V140" s="465" t="n"/>
      <c r="W140" s="465" t="n"/>
      <c r="X140" s="465" t="n"/>
      <c r="Y140" s="465" t="n"/>
      <c r="Z140" s="465" t="n"/>
      <c r="AA140" s="352" t="n"/>
      <c r="AB140" s="352" t="n"/>
      <c r="AC140" s="352" t="n"/>
    </row>
    <row r="141" ht="27" customHeight="1">
      <c r="A141" s="60" t="inlineStr">
        <is>
          <t>SU003596</t>
        </is>
      </c>
      <c r="B141" s="60" t="inlineStr">
        <is>
          <t>P004594</t>
        </is>
      </c>
      <c r="C141" s="34" t="n">
        <v>4301135570</v>
      </c>
      <c r="D141" s="353" t="n">
        <v>4607111035806</v>
      </c>
      <c r="E141" s="477" t="n"/>
      <c r="F141" s="516" t="n">
        <v>0.25</v>
      </c>
      <c r="G141" s="35" t="n">
        <v>12</v>
      </c>
      <c r="H141" s="516" t="n">
        <v>3</v>
      </c>
      <c r="I141" s="516" t="n">
        <v>3.7036</v>
      </c>
      <c r="J141" s="35" t="n">
        <v>70</v>
      </c>
      <c r="K141" s="35" t="inlineStr">
        <is>
          <t>14</t>
        </is>
      </c>
      <c r="L141" s="35" t="inlineStr">
        <is>
          <t>Короб, мин. 1</t>
        </is>
      </c>
      <c r="M141" s="36" t="inlineStr">
        <is>
          <t>МГ</t>
        </is>
      </c>
      <c r="N141" s="36" t="n"/>
      <c r="O141" s="35" t="n">
        <v>180</v>
      </c>
      <c r="P141" s="569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/>
      </c>
      <c r="Q141" s="518" t="n"/>
      <c r="R141" s="518" t="n"/>
      <c r="S141" s="518" t="n"/>
      <c r="T141" s="519" t="n"/>
      <c r="U141" s="37" t="inlineStr"/>
      <c r="V141" s="37" t="inlineStr"/>
      <c r="W141" s="38" t="inlineStr">
        <is>
          <t>кор</t>
        </is>
      </c>
      <c r="X141" s="520" t="n">
        <v>28</v>
      </c>
      <c r="Y141" s="521">
        <f>IFERROR(IF(X141="","",X141),"")</f>
        <v/>
      </c>
      <c r="Z141" s="39">
        <f>IFERROR(IF(X141="","",X141*0.01788),"")</f>
        <v/>
      </c>
      <c r="AA141" s="65" t="inlineStr"/>
      <c r="AB141" s="66" t="inlineStr"/>
      <c r="AC141" s="172" t="inlineStr">
        <is>
          <t>ЕАЭС N RU Д-RU.РА05.В.54714/24</t>
        </is>
      </c>
      <c r="AG141" s="78" t="n"/>
      <c r="AJ141" s="82" t="inlineStr">
        <is>
          <t>Короб</t>
        </is>
      </c>
      <c r="AK141" s="82" t="n">
        <v>1</v>
      </c>
      <c r="BB141" s="173" t="inlineStr">
        <is>
          <t>ПГП</t>
        </is>
      </c>
      <c r="BM141" s="78">
        <f>IFERROR(X141*I141,"0")</f>
        <v/>
      </c>
      <c r="BN141" s="78">
        <f>IFERROR(Y141*I141,"0")</f>
        <v/>
      </c>
      <c r="BO141" s="78">
        <f>IFERROR(X141/J141,"0")</f>
        <v/>
      </c>
      <c r="BP141" s="78">
        <f>IFERROR(Y141/J141,"0")</f>
        <v/>
      </c>
    </row>
    <row r="142">
      <c r="A142" s="361" t="n"/>
      <c r="B142" s="465" t="n"/>
      <c r="C142" s="465" t="n"/>
      <c r="D142" s="465" t="n"/>
      <c r="E142" s="465" t="n"/>
      <c r="F142" s="465" t="n"/>
      <c r="G142" s="465" t="n"/>
      <c r="H142" s="465" t="n"/>
      <c r="I142" s="465" t="n"/>
      <c r="J142" s="465" t="n"/>
      <c r="K142" s="465" t="n"/>
      <c r="L142" s="465" t="n"/>
      <c r="M142" s="465" t="n"/>
      <c r="N142" s="465" t="n"/>
      <c r="O142" s="522" t="n"/>
      <c r="P142" s="523" t="inlineStr">
        <is>
          <t>Итого</t>
        </is>
      </c>
      <c r="Q142" s="485" t="n"/>
      <c r="R142" s="485" t="n"/>
      <c r="S142" s="485" t="n"/>
      <c r="T142" s="485" t="n"/>
      <c r="U142" s="485" t="n"/>
      <c r="V142" s="486" t="n"/>
      <c r="W142" s="40" t="inlineStr">
        <is>
          <t>кор</t>
        </is>
      </c>
      <c r="X142" s="524">
        <f>IFERROR(SUM(X141:X141),"0")</f>
        <v/>
      </c>
      <c r="Y142" s="524">
        <f>IFERROR(SUM(Y141:Y141),"0")</f>
        <v/>
      </c>
      <c r="Z142" s="524">
        <f>IFERROR(IF(Z141="",0,Z141),"0")</f>
        <v/>
      </c>
      <c r="AA142" s="525" t="n"/>
      <c r="AB142" s="525" t="n"/>
      <c r="AC142" s="525" t="n"/>
    </row>
    <row r="143">
      <c r="A143" s="465" t="n"/>
      <c r="B143" s="465" t="n"/>
      <c r="C143" s="465" t="n"/>
      <c r="D143" s="465" t="n"/>
      <c r="E143" s="465" t="n"/>
      <c r="F143" s="465" t="n"/>
      <c r="G143" s="465" t="n"/>
      <c r="H143" s="465" t="n"/>
      <c r="I143" s="465" t="n"/>
      <c r="J143" s="465" t="n"/>
      <c r="K143" s="465" t="n"/>
      <c r="L143" s="465" t="n"/>
      <c r="M143" s="465" t="n"/>
      <c r="N143" s="465" t="n"/>
      <c r="O143" s="522" t="n"/>
      <c r="P143" s="523" t="inlineStr">
        <is>
          <t>Итого</t>
        </is>
      </c>
      <c r="Q143" s="485" t="n"/>
      <c r="R143" s="485" t="n"/>
      <c r="S143" s="485" t="n"/>
      <c r="T143" s="485" t="n"/>
      <c r="U143" s="485" t="n"/>
      <c r="V143" s="486" t="n"/>
      <c r="W143" s="40" t="inlineStr">
        <is>
          <t>кг</t>
        </is>
      </c>
      <c r="X143" s="524">
        <f>IFERROR(SUMPRODUCT(X141:X141*H141:H141),"0")</f>
        <v/>
      </c>
      <c r="Y143" s="524">
        <f>IFERROR(SUMPRODUCT(Y141:Y141*H141:H141),"0")</f>
        <v/>
      </c>
      <c r="Z143" s="40" t="n"/>
      <c r="AA143" s="525" t="n"/>
      <c r="AB143" s="525" t="n"/>
      <c r="AC143" s="525" t="n"/>
    </row>
    <row r="144" ht="16.5" customHeight="1">
      <c r="A144" s="351" t="inlineStr">
        <is>
          <t>Хот-Догстер</t>
        </is>
      </c>
      <c r="B144" s="465" t="n"/>
      <c r="C144" s="465" t="n"/>
      <c r="D144" s="465" t="n"/>
      <c r="E144" s="465" t="n"/>
      <c r="F144" s="465" t="n"/>
      <c r="G144" s="465" t="n"/>
      <c r="H144" s="465" t="n"/>
      <c r="I144" s="465" t="n"/>
      <c r="J144" s="465" t="n"/>
      <c r="K144" s="465" t="n"/>
      <c r="L144" s="465" t="n"/>
      <c r="M144" s="465" t="n"/>
      <c r="N144" s="465" t="n"/>
      <c r="O144" s="465" t="n"/>
      <c r="P144" s="465" t="n"/>
      <c r="Q144" s="465" t="n"/>
      <c r="R144" s="465" t="n"/>
      <c r="S144" s="465" t="n"/>
      <c r="T144" s="465" t="n"/>
      <c r="U144" s="465" t="n"/>
      <c r="V144" s="465" t="n"/>
      <c r="W144" s="465" t="n"/>
      <c r="X144" s="465" t="n"/>
      <c r="Y144" s="465" t="n"/>
      <c r="Z144" s="465" t="n"/>
      <c r="AA144" s="351" t="n"/>
      <c r="AB144" s="351" t="n"/>
      <c r="AC144" s="351" t="n"/>
    </row>
    <row r="145" ht="14.25" customHeight="1">
      <c r="A145" s="352" t="inlineStr">
        <is>
          <t>Снеки</t>
        </is>
      </c>
      <c r="B145" s="465" t="n"/>
      <c r="C145" s="465" t="n"/>
      <c r="D145" s="465" t="n"/>
      <c r="E145" s="465" t="n"/>
      <c r="F145" s="465" t="n"/>
      <c r="G145" s="465" t="n"/>
      <c r="H145" s="465" t="n"/>
      <c r="I145" s="465" t="n"/>
      <c r="J145" s="465" t="n"/>
      <c r="K145" s="465" t="n"/>
      <c r="L145" s="465" t="n"/>
      <c r="M145" s="465" t="n"/>
      <c r="N145" s="465" t="n"/>
      <c r="O145" s="465" t="n"/>
      <c r="P145" s="465" t="n"/>
      <c r="Q145" s="465" t="n"/>
      <c r="R145" s="465" t="n"/>
      <c r="S145" s="465" t="n"/>
      <c r="T145" s="465" t="n"/>
      <c r="U145" s="465" t="n"/>
      <c r="V145" s="465" t="n"/>
      <c r="W145" s="465" t="n"/>
      <c r="X145" s="465" t="n"/>
      <c r="Y145" s="465" t="n"/>
      <c r="Z145" s="465" t="n"/>
      <c r="AA145" s="352" t="n"/>
      <c r="AB145" s="352" t="n"/>
      <c r="AC145" s="352" t="n"/>
    </row>
    <row r="146" ht="16.5" customHeight="1">
      <c r="A146" s="60" t="inlineStr">
        <is>
          <t>SU003632</t>
        </is>
      </c>
      <c r="B146" s="60" t="inlineStr">
        <is>
          <t>P004630</t>
        </is>
      </c>
      <c r="C146" s="34" t="n">
        <v>4301135607</v>
      </c>
      <c r="D146" s="353" t="n">
        <v>4607111039613</v>
      </c>
      <c r="E146" s="477" t="n"/>
      <c r="F146" s="516" t="n">
        <v>0.09</v>
      </c>
      <c r="G146" s="35" t="n">
        <v>30</v>
      </c>
      <c r="H146" s="516" t="n">
        <v>2.7</v>
      </c>
      <c r="I146" s="516" t="n">
        <v>3.09</v>
      </c>
      <c r="J146" s="35" t="n">
        <v>126</v>
      </c>
      <c r="K146" s="35" t="inlineStr">
        <is>
          <t>14</t>
        </is>
      </c>
      <c r="L146" s="35" t="inlineStr">
        <is>
          <t>Короб, мин. 1</t>
        </is>
      </c>
      <c r="M146" s="36" t="inlineStr">
        <is>
          <t>МГ</t>
        </is>
      </c>
      <c r="N146" s="36" t="n"/>
      <c r="O146" s="35" t="n">
        <v>180</v>
      </c>
      <c r="P146" s="570">
        <f>HYPERLINK("https://abi.ru/products/Замороженные/Горячая штучка/Хот-Догстер/Снеки/P004630/","Снеки «Хот-догстер» Фикс.вес 0,09 ТМ «Горячая штучка»")</f>
        <v/>
      </c>
      <c r="Q146" s="518" t="n"/>
      <c r="R146" s="518" t="n"/>
      <c r="S146" s="518" t="n"/>
      <c r="T146" s="519" t="n"/>
      <c r="U146" s="37" t="inlineStr"/>
      <c r="V146" s="37" t="inlineStr"/>
      <c r="W146" s="38" t="inlineStr">
        <is>
          <t>кор</t>
        </is>
      </c>
      <c r="X146" s="520" t="n">
        <v>0</v>
      </c>
      <c r="Y146" s="521">
        <f>IFERROR(IF(X146="","",X146),"")</f>
        <v/>
      </c>
      <c r="Z146" s="39">
        <f>IFERROR(IF(X146="","",X146*0.00936),"")</f>
        <v/>
      </c>
      <c r="AA146" s="65" t="inlineStr"/>
      <c r="AB146" s="66" t="inlineStr"/>
      <c r="AC146" s="174" t="inlineStr">
        <is>
          <t>ЕАЭС N RU Д-RU.РА02.В.13267/24</t>
        </is>
      </c>
      <c r="AG146" s="78" t="n"/>
      <c r="AJ146" s="82" t="inlineStr">
        <is>
          <t>Короб</t>
        </is>
      </c>
      <c r="AK146" s="82" t="n">
        <v>1</v>
      </c>
      <c r="BB146" s="175" t="inlineStr">
        <is>
          <t>ПГП</t>
        </is>
      </c>
      <c r="BM146" s="78">
        <f>IFERROR(X146*I146,"0")</f>
        <v/>
      </c>
      <c r="BN146" s="78">
        <f>IFERROR(Y146*I146,"0")</f>
        <v/>
      </c>
      <c r="BO146" s="78">
        <f>IFERROR(X146/J146,"0")</f>
        <v/>
      </c>
      <c r="BP146" s="78">
        <f>IFERROR(Y146/J146,"0")</f>
        <v/>
      </c>
    </row>
    <row r="147">
      <c r="A147" s="361" t="n"/>
      <c r="B147" s="465" t="n"/>
      <c r="C147" s="465" t="n"/>
      <c r="D147" s="465" t="n"/>
      <c r="E147" s="465" t="n"/>
      <c r="F147" s="465" t="n"/>
      <c r="G147" s="465" t="n"/>
      <c r="H147" s="465" t="n"/>
      <c r="I147" s="465" t="n"/>
      <c r="J147" s="465" t="n"/>
      <c r="K147" s="465" t="n"/>
      <c r="L147" s="465" t="n"/>
      <c r="M147" s="465" t="n"/>
      <c r="N147" s="465" t="n"/>
      <c r="O147" s="522" t="n"/>
      <c r="P147" s="523" t="inlineStr">
        <is>
          <t>Итого</t>
        </is>
      </c>
      <c r="Q147" s="485" t="n"/>
      <c r="R147" s="485" t="n"/>
      <c r="S147" s="485" t="n"/>
      <c r="T147" s="485" t="n"/>
      <c r="U147" s="485" t="n"/>
      <c r="V147" s="486" t="n"/>
      <c r="W147" s="40" t="inlineStr">
        <is>
          <t>кор</t>
        </is>
      </c>
      <c r="X147" s="524">
        <f>IFERROR(SUM(X146:X146),"0")</f>
        <v/>
      </c>
      <c r="Y147" s="524">
        <f>IFERROR(SUM(Y146:Y146),"0")</f>
        <v/>
      </c>
      <c r="Z147" s="524">
        <f>IFERROR(IF(Z146="",0,Z146),"0")</f>
        <v/>
      </c>
      <c r="AA147" s="525" t="n"/>
      <c r="AB147" s="525" t="n"/>
      <c r="AC147" s="525" t="n"/>
    </row>
    <row r="148">
      <c r="A148" s="465" t="n"/>
      <c r="B148" s="465" t="n"/>
      <c r="C148" s="465" t="n"/>
      <c r="D148" s="465" t="n"/>
      <c r="E148" s="465" t="n"/>
      <c r="F148" s="465" t="n"/>
      <c r="G148" s="465" t="n"/>
      <c r="H148" s="465" t="n"/>
      <c r="I148" s="465" t="n"/>
      <c r="J148" s="465" t="n"/>
      <c r="K148" s="465" t="n"/>
      <c r="L148" s="465" t="n"/>
      <c r="M148" s="465" t="n"/>
      <c r="N148" s="465" t="n"/>
      <c r="O148" s="522" t="n"/>
      <c r="P148" s="523" t="inlineStr">
        <is>
          <t>Итого</t>
        </is>
      </c>
      <c r="Q148" s="485" t="n"/>
      <c r="R148" s="485" t="n"/>
      <c r="S148" s="485" t="n"/>
      <c r="T148" s="485" t="n"/>
      <c r="U148" s="485" t="n"/>
      <c r="V148" s="486" t="n"/>
      <c r="W148" s="40" t="inlineStr">
        <is>
          <t>кг</t>
        </is>
      </c>
      <c r="X148" s="524">
        <f>IFERROR(SUMPRODUCT(X146:X146*H146:H146),"0")</f>
        <v/>
      </c>
      <c r="Y148" s="524">
        <f>IFERROR(SUMPRODUCT(Y146:Y146*H146:H146),"0")</f>
        <v/>
      </c>
      <c r="Z148" s="40" t="n"/>
      <c r="AA148" s="525" t="n"/>
      <c r="AB148" s="525" t="n"/>
      <c r="AC148" s="525" t="n"/>
    </row>
    <row r="149" ht="16.5" customHeight="1">
      <c r="A149" s="351" t="inlineStr">
        <is>
          <t>Супермени</t>
        </is>
      </c>
      <c r="B149" s="465" t="n"/>
      <c r="C149" s="465" t="n"/>
      <c r="D149" s="465" t="n"/>
      <c r="E149" s="465" t="n"/>
      <c r="F149" s="465" t="n"/>
      <c r="G149" s="465" t="n"/>
      <c r="H149" s="465" t="n"/>
      <c r="I149" s="465" t="n"/>
      <c r="J149" s="465" t="n"/>
      <c r="K149" s="465" t="n"/>
      <c r="L149" s="465" t="n"/>
      <c r="M149" s="465" t="n"/>
      <c r="N149" s="465" t="n"/>
      <c r="O149" s="465" t="n"/>
      <c r="P149" s="465" t="n"/>
      <c r="Q149" s="465" t="n"/>
      <c r="R149" s="465" t="n"/>
      <c r="S149" s="465" t="n"/>
      <c r="T149" s="465" t="n"/>
      <c r="U149" s="465" t="n"/>
      <c r="V149" s="465" t="n"/>
      <c r="W149" s="465" t="n"/>
      <c r="X149" s="465" t="n"/>
      <c r="Y149" s="465" t="n"/>
      <c r="Z149" s="465" t="n"/>
      <c r="AA149" s="351" t="n"/>
      <c r="AB149" s="351" t="n"/>
      <c r="AC149" s="351" t="n"/>
    </row>
    <row r="150" ht="14.25" customHeight="1">
      <c r="A150" s="352" t="inlineStr">
        <is>
          <t>Пельмени ПГП</t>
        </is>
      </c>
      <c r="B150" s="465" t="n"/>
      <c r="C150" s="465" t="n"/>
      <c r="D150" s="465" t="n"/>
      <c r="E150" s="465" t="n"/>
      <c r="F150" s="465" t="n"/>
      <c r="G150" s="465" t="n"/>
      <c r="H150" s="465" t="n"/>
      <c r="I150" s="465" t="n"/>
      <c r="J150" s="465" t="n"/>
      <c r="K150" s="465" t="n"/>
      <c r="L150" s="465" t="n"/>
      <c r="M150" s="465" t="n"/>
      <c r="N150" s="465" t="n"/>
      <c r="O150" s="465" t="n"/>
      <c r="P150" s="465" t="n"/>
      <c r="Q150" s="465" t="n"/>
      <c r="R150" s="465" t="n"/>
      <c r="S150" s="465" t="n"/>
      <c r="T150" s="465" t="n"/>
      <c r="U150" s="465" t="n"/>
      <c r="V150" s="465" t="n"/>
      <c r="W150" s="465" t="n"/>
      <c r="X150" s="465" t="n"/>
      <c r="Y150" s="465" t="n"/>
      <c r="Z150" s="465" t="n"/>
      <c r="AA150" s="352" t="n"/>
      <c r="AB150" s="352" t="n"/>
      <c r="AC150" s="352" t="n"/>
    </row>
    <row r="151" ht="27" customHeight="1">
      <c r="A151" s="60" t="inlineStr">
        <is>
          <t>SU002177</t>
        </is>
      </c>
      <c r="B151" s="60" t="inlineStr">
        <is>
          <t>P004523</t>
        </is>
      </c>
      <c r="C151" s="34" t="n">
        <v>4301135540</v>
      </c>
      <c r="D151" s="353" t="n">
        <v>4607111035646</v>
      </c>
      <c r="E151" s="477" t="n"/>
      <c r="F151" s="516" t="n">
        <v>0.2</v>
      </c>
      <c r="G151" s="35" t="n">
        <v>8</v>
      </c>
      <c r="H151" s="516" t="n">
        <v>1.6</v>
      </c>
      <c r="I151" s="516" t="n">
        <v>2.12</v>
      </c>
      <c r="J151" s="35" t="n">
        <v>72</v>
      </c>
      <c r="K151" s="35" t="inlineStr">
        <is>
          <t>6</t>
        </is>
      </c>
      <c r="L151" s="35" t="inlineStr">
        <is>
          <t>Короб, мин. 1</t>
        </is>
      </c>
      <c r="M151" s="36" t="inlineStr">
        <is>
          <t>МГ</t>
        </is>
      </c>
      <c r="N151" s="36" t="n"/>
      <c r="O151" s="35" t="n">
        <v>180</v>
      </c>
      <c r="P151" s="571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/>
      </c>
      <c r="Q151" s="518" t="n"/>
      <c r="R151" s="518" t="n"/>
      <c r="S151" s="518" t="n"/>
      <c r="T151" s="519" t="n"/>
      <c r="U151" s="37" t="inlineStr"/>
      <c r="V151" s="37" t="inlineStr"/>
      <c r="W151" s="38" t="inlineStr">
        <is>
          <t>кор</t>
        </is>
      </c>
      <c r="X151" s="520" t="n">
        <v>0</v>
      </c>
      <c r="Y151" s="521">
        <f>IFERROR(IF(X151="","",X151),"")</f>
        <v/>
      </c>
      <c r="Z151" s="39">
        <f>IFERROR(IF(X151="","",X151*0.01157),"")</f>
        <v/>
      </c>
      <c r="AA151" s="65" t="inlineStr"/>
      <c r="AB151" s="66" t="inlineStr"/>
      <c r="AC151" s="176" t="inlineStr">
        <is>
          <t>ЕАЭС N RU Д-RU.РА02.В.69059/24</t>
        </is>
      </c>
      <c r="AG151" s="78" t="n"/>
      <c r="AJ151" s="82" t="inlineStr">
        <is>
          <t>Короб</t>
        </is>
      </c>
      <c r="AK151" s="82" t="n">
        <v>1</v>
      </c>
      <c r="BB151" s="177" t="inlineStr">
        <is>
          <t>ПГП</t>
        </is>
      </c>
      <c r="BM151" s="78">
        <f>IFERROR(X151*I151,"0")</f>
        <v/>
      </c>
      <c r="BN151" s="78">
        <f>IFERROR(Y151*I151,"0")</f>
        <v/>
      </c>
      <c r="BO151" s="78">
        <f>IFERROR(X151/J151,"0")</f>
        <v/>
      </c>
      <c r="BP151" s="78">
        <f>IFERROR(Y151/J151,"0")</f>
        <v/>
      </c>
    </row>
    <row r="152">
      <c r="A152" s="361" t="n"/>
      <c r="B152" s="465" t="n"/>
      <c r="C152" s="465" t="n"/>
      <c r="D152" s="465" t="n"/>
      <c r="E152" s="465" t="n"/>
      <c r="F152" s="465" t="n"/>
      <c r="G152" s="465" t="n"/>
      <c r="H152" s="465" t="n"/>
      <c r="I152" s="465" t="n"/>
      <c r="J152" s="465" t="n"/>
      <c r="K152" s="465" t="n"/>
      <c r="L152" s="465" t="n"/>
      <c r="M152" s="465" t="n"/>
      <c r="N152" s="465" t="n"/>
      <c r="O152" s="522" t="n"/>
      <c r="P152" s="523" t="inlineStr">
        <is>
          <t>Итого</t>
        </is>
      </c>
      <c r="Q152" s="485" t="n"/>
      <c r="R152" s="485" t="n"/>
      <c r="S152" s="485" t="n"/>
      <c r="T152" s="485" t="n"/>
      <c r="U152" s="485" t="n"/>
      <c r="V152" s="486" t="n"/>
      <c r="W152" s="40" t="inlineStr">
        <is>
          <t>кор</t>
        </is>
      </c>
      <c r="X152" s="524">
        <f>IFERROR(SUM(X151:X151),"0")</f>
        <v/>
      </c>
      <c r="Y152" s="524">
        <f>IFERROR(SUM(Y151:Y151),"0")</f>
        <v/>
      </c>
      <c r="Z152" s="524">
        <f>IFERROR(IF(Z151="",0,Z151),"0")</f>
        <v/>
      </c>
      <c r="AA152" s="525" t="n"/>
      <c r="AB152" s="525" t="n"/>
      <c r="AC152" s="525" t="n"/>
    </row>
    <row r="153">
      <c r="A153" s="465" t="n"/>
      <c r="B153" s="465" t="n"/>
      <c r="C153" s="465" t="n"/>
      <c r="D153" s="465" t="n"/>
      <c r="E153" s="465" t="n"/>
      <c r="F153" s="465" t="n"/>
      <c r="G153" s="465" t="n"/>
      <c r="H153" s="465" t="n"/>
      <c r="I153" s="465" t="n"/>
      <c r="J153" s="465" t="n"/>
      <c r="K153" s="465" t="n"/>
      <c r="L153" s="465" t="n"/>
      <c r="M153" s="465" t="n"/>
      <c r="N153" s="465" t="n"/>
      <c r="O153" s="522" t="n"/>
      <c r="P153" s="523" t="inlineStr">
        <is>
          <t>Итого</t>
        </is>
      </c>
      <c r="Q153" s="485" t="n"/>
      <c r="R153" s="485" t="n"/>
      <c r="S153" s="485" t="n"/>
      <c r="T153" s="485" t="n"/>
      <c r="U153" s="485" t="n"/>
      <c r="V153" s="486" t="n"/>
      <c r="W153" s="40" t="inlineStr">
        <is>
          <t>кг</t>
        </is>
      </c>
      <c r="X153" s="524">
        <f>IFERROR(SUMPRODUCT(X151:X151*H151:H151),"0")</f>
        <v/>
      </c>
      <c r="Y153" s="524">
        <f>IFERROR(SUMPRODUCT(Y151:Y151*H151:H151),"0")</f>
        <v/>
      </c>
      <c r="Z153" s="40" t="n"/>
      <c r="AA153" s="525" t="n"/>
      <c r="AB153" s="525" t="n"/>
      <c r="AC153" s="525" t="n"/>
    </row>
    <row r="154" ht="16.5" customHeight="1">
      <c r="A154" s="351" t="inlineStr">
        <is>
          <t>Чебуманы</t>
        </is>
      </c>
      <c r="B154" s="465" t="n"/>
      <c r="C154" s="465" t="n"/>
      <c r="D154" s="465" t="n"/>
      <c r="E154" s="465" t="n"/>
      <c r="F154" s="465" t="n"/>
      <c r="G154" s="465" t="n"/>
      <c r="H154" s="465" t="n"/>
      <c r="I154" s="465" t="n"/>
      <c r="J154" s="465" t="n"/>
      <c r="K154" s="465" t="n"/>
      <c r="L154" s="465" t="n"/>
      <c r="M154" s="465" t="n"/>
      <c r="N154" s="465" t="n"/>
      <c r="O154" s="465" t="n"/>
      <c r="P154" s="465" t="n"/>
      <c r="Q154" s="465" t="n"/>
      <c r="R154" s="465" t="n"/>
      <c r="S154" s="465" t="n"/>
      <c r="T154" s="465" t="n"/>
      <c r="U154" s="465" t="n"/>
      <c r="V154" s="465" t="n"/>
      <c r="W154" s="465" t="n"/>
      <c r="X154" s="465" t="n"/>
      <c r="Y154" s="465" t="n"/>
      <c r="Z154" s="465" t="n"/>
      <c r="AA154" s="351" t="n"/>
      <c r="AB154" s="351" t="n"/>
      <c r="AC154" s="351" t="n"/>
    </row>
    <row r="155" ht="14.25" customHeight="1">
      <c r="A155" s="352" t="inlineStr">
        <is>
          <t>Снеки</t>
        </is>
      </c>
      <c r="B155" s="465" t="n"/>
      <c r="C155" s="465" t="n"/>
      <c r="D155" s="465" t="n"/>
      <c r="E155" s="465" t="n"/>
      <c r="F155" s="465" t="n"/>
      <c r="G155" s="465" t="n"/>
      <c r="H155" s="465" t="n"/>
      <c r="I155" s="465" t="n"/>
      <c r="J155" s="465" t="n"/>
      <c r="K155" s="465" t="n"/>
      <c r="L155" s="465" t="n"/>
      <c r="M155" s="465" t="n"/>
      <c r="N155" s="465" t="n"/>
      <c r="O155" s="465" t="n"/>
      <c r="P155" s="465" t="n"/>
      <c r="Q155" s="465" t="n"/>
      <c r="R155" s="465" t="n"/>
      <c r="S155" s="465" t="n"/>
      <c r="T155" s="465" t="n"/>
      <c r="U155" s="465" t="n"/>
      <c r="V155" s="465" t="n"/>
      <c r="W155" s="465" t="n"/>
      <c r="X155" s="465" t="n"/>
      <c r="Y155" s="465" t="n"/>
      <c r="Z155" s="465" t="n"/>
      <c r="AA155" s="352" t="n"/>
      <c r="AB155" s="352" t="n"/>
      <c r="AC155" s="352" t="n"/>
    </row>
    <row r="156" ht="27" customHeight="1">
      <c r="A156" s="60" t="inlineStr">
        <is>
          <t>SU003601</t>
        </is>
      </c>
      <c r="B156" s="60" t="inlineStr">
        <is>
          <t>P004597</t>
        </is>
      </c>
      <c r="C156" s="34" t="n">
        <v>4301135591</v>
      </c>
      <c r="D156" s="353" t="n">
        <v>4607111036568</v>
      </c>
      <c r="E156" s="477" t="n"/>
      <c r="F156" s="516" t="n">
        <v>0.28</v>
      </c>
      <c r="G156" s="35" t="n">
        <v>6</v>
      </c>
      <c r="H156" s="516" t="n">
        <v>1.68</v>
      </c>
      <c r="I156" s="516" t="n">
        <v>2.1018</v>
      </c>
      <c r="J156" s="35" t="n">
        <v>140</v>
      </c>
      <c r="K156" s="35" t="inlineStr">
        <is>
          <t>14</t>
        </is>
      </c>
      <c r="L156" s="35" t="inlineStr">
        <is>
          <t>Короб, мин. 1</t>
        </is>
      </c>
      <c r="M156" s="36" t="inlineStr">
        <is>
          <t>МГ</t>
        </is>
      </c>
      <c r="N156" s="36" t="n"/>
      <c r="O156" s="35" t="n">
        <v>180</v>
      </c>
      <c r="P156" s="572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/>
      </c>
      <c r="Q156" s="518" t="n"/>
      <c r="R156" s="518" t="n"/>
      <c r="S156" s="518" t="n"/>
      <c r="T156" s="519" t="n"/>
      <c r="U156" s="37" t="inlineStr"/>
      <c r="V156" s="37" t="inlineStr"/>
      <c r="W156" s="38" t="inlineStr">
        <is>
          <t>кор</t>
        </is>
      </c>
      <c r="X156" s="520" t="n">
        <v>0</v>
      </c>
      <c r="Y156" s="521">
        <f>IFERROR(IF(X156="","",X156),"")</f>
        <v/>
      </c>
      <c r="Z156" s="39">
        <f>IFERROR(IF(X156="","",X156*0.00941),"")</f>
        <v/>
      </c>
      <c r="AA156" s="65" t="inlineStr"/>
      <c r="AB156" s="66" t="inlineStr"/>
      <c r="AC156" s="178" t="inlineStr">
        <is>
          <t>ЕАЭС N RU Д-RU.РА02.В.49579/23, ЕАЭС N RU Д-RU.РА07.В.66009/22</t>
        </is>
      </c>
      <c r="AG156" s="78" t="n"/>
      <c r="AJ156" s="82" t="inlineStr">
        <is>
          <t>Короб</t>
        </is>
      </c>
      <c r="AK156" s="82" t="n">
        <v>1</v>
      </c>
      <c r="BB156" s="179" t="inlineStr">
        <is>
          <t>ПГП</t>
        </is>
      </c>
      <c r="BM156" s="78">
        <f>IFERROR(X156*I156,"0")</f>
        <v/>
      </c>
      <c r="BN156" s="78">
        <f>IFERROR(Y156*I156,"0")</f>
        <v/>
      </c>
      <c r="BO156" s="78">
        <f>IFERROR(X156/J156,"0")</f>
        <v/>
      </c>
      <c r="BP156" s="78">
        <f>IFERROR(Y156/J156,"0")</f>
        <v/>
      </c>
    </row>
    <row r="157">
      <c r="A157" s="361" t="n"/>
      <c r="B157" s="465" t="n"/>
      <c r="C157" s="465" t="n"/>
      <c r="D157" s="465" t="n"/>
      <c r="E157" s="465" t="n"/>
      <c r="F157" s="465" t="n"/>
      <c r="G157" s="465" t="n"/>
      <c r="H157" s="465" t="n"/>
      <c r="I157" s="465" t="n"/>
      <c r="J157" s="465" t="n"/>
      <c r="K157" s="465" t="n"/>
      <c r="L157" s="465" t="n"/>
      <c r="M157" s="465" t="n"/>
      <c r="N157" s="465" t="n"/>
      <c r="O157" s="522" t="n"/>
      <c r="P157" s="523" t="inlineStr">
        <is>
          <t>Итого</t>
        </is>
      </c>
      <c r="Q157" s="485" t="n"/>
      <c r="R157" s="485" t="n"/>
      <c r="S157" s="485" t="n"/>
      <c r="T157" s="485" t="n"/>
      <c r="U157" s="485" t="n"/>
      <c r="V157" s="486" t="n"/>
      <c r="W157" s="40" t="inlineStr">
        <is>
          <t>кор</t>
        </is>
      </c>
      <c r="X157" s="524">
        <f>IFERROR(SUM(X156:X156),"0")</f>
        <v/>
      </c>
      <c r="Y157" s="524">
        <f>IFERROR(SUM(Y156:Y156),"0")</f>
        <v/>
      </c>
      <c r="Z157" s="524">
        <f>IFERROR(IF(Z156="",0,Z156),"0")</f>
        <v/>
      </c>
      <c r="AA157" s="525" t="n"/>
      <c r="AB157" s="525" t="n"/>
      <c r="AC157" s="525" t="n"/>
    </row>
    <row r="158">
      <c r="A158" s="465" t="n"/>
      <c r="B158" s="465" t="n"/>
      <c r="C158" s="465" t="n"/>
      <c r="D158" s="465" t="n"/>
      <c r="E158" s="465" t="n"/>
      <c r="F158" s="465" t="n"/>
      <c r="G158" s="465" t="n"/>
      <c r="H158" s="465" t="n"/>
      <c r="I158" s="465" t="n"/>
      <c r="J158" s="465" t="n"/>
      <c r="K158" s="465" t="n"/>
      <c r="L158" s="465" t="n"/>
      <c r="M158" s="465" t="n"/>
      <c r="N158" s="465" t="n"/>
      <c r="O158" s="522" t="n"/>
      <c r="P158" s="523" t="inlineStr">
        <is>
          <t>Итого</t>
        </is>
      </c>
      <c r="Q158" s="485" t="n"/>
      <c r="R158" s="485" t="n"/>
      <c r="S158" s="485" t="n"/>
      <c r="T158" s="485" t="n"/>
      <c r="U158" s="485" t="n"/>
      <c r="V158" s="486" t="n"/>
      <c r="W158" s="40" t="inlineStr">
        <is>
          <t>кг</t>
        </is>
      </c>
      <c r="X158" s="524">
        <f>IFERROR(SUMPRODUCT(X156:X156*H156:H156),"0")</f>
        <v/>
      </c>
      <c r="Y158" s="524">
        <f>IFERROR(SUMPRODUCT(Y156:Y156*H156:H156),"0")</f>
        <v/>
      </c>
      <c r="Z158" s="40" t="n"/>
      <c r="AA158" s="525" t="n"/>
      <c r="AB158" s="525" t="n"/>
      <c r="AC158" s="525" t="n"/>
    </row>
    <row r="159" ht="27.75" customHeight="1">
      <c r="A159" s="350" t="inlineStr">
        <is>
          <t>No Name</t>
        </is>
      </c>
      <c r="B159" s="515" t="n"/>
      <c r="C159" s="515" t="n"/>
      <c r="D159" s="515" t="n"/>
      <c r="E159" s="515" t="n"/>
      <c r="F159" s="515" t="n"/>
      <c r="G159" s="515" t="n"/>
      <c r="H159" s="515" t="n"/>
      <c r="I159" s="515" t="n"/>
      <c r="J159" s="515" t="n"/>
      <c r="K159" s="515" t="n"/>
      <c r="L159" s="515" t="n"/>
      <c r="M159" s="515" t="n"/>
      <c r="N159" s="515" t="n"/>
      <c r="O159" s="515" t="n"/>
      <c r="P159" s="515" t="n"/>
      <c r="Q159" s="515" t="n"/>
      <c r="R159" s="515" t="n"/>
      <c r="S159" s="515" t="n"/>
      <c r="T159" s="515" t="n"/>
      <c r="U159" s="515" t="n"/>
      <c r="V159" s="515" t="n"/>
      <c r="W159" s="515" t="n"/>
      <c r="X159" s="515" t="n"/>
      <c r="Y159" s="515" t="n"/>
      <c r="Z159" s="515" t="n"/>
      <c r="AA159" s="52" t="n"/>
      <c r="AB159" s="52" t="n"/>
      <c r="AC159" s="52" t="n"/>
    </row>
    <row r="160" ht="16.5" customHeight="1">
      <c r="A160" s="351" t="inlineStr">
        <is>
          <t>No Name ЗПФ</t>
        </is>
      </c>
      <c r="B160" s="465" t="n"/>
      <c r="C160" s="465" t="n"/>
      <c r="D160" s="465" t="n"/>
      <c r="E160" s="465" t="n"/>
      <c r="F160" s="465" t="n"/>
      <c r="G160" s="465" t="n"/>
      <c r="H160" s="465" t="n"/>
      <c r="I160" s="465" t="n"/>
      <c r="J160" s="465" t="n"/>
      <c r="K160" s="465" t="n"/>
      <c r="L160" s="465" t="n"/>
      <c r="M160" s="465" t="n"/>
      <c r="N160" s="465" t="n"/>
      <c r="O160" s="465" t="n"/>
      <c r="P160" s="465" t="n"/>
      <c r="Q160" s="465" t="n"/>
      <c r="R160" s="465" t="n"/>
      <c r="S160" s="465" t="n"/>
      <c r="T160" s="465" t="n"/>
      <c r="U160" s="465" t="n"/>
      <c r="V160" s="465" t="n"/>
      <c r="W160" s="465" t="n"/>
      <c r="X160" s="465" t="n"/>
      <c r="Y160" s="465" t="n"/>
      <c r="Z160" s="465" t="n"/>
      <c r="AA160" s="351" t="n"/>
      <c r="AB160" s="351" t="n"/>
      <c r="AC160" s="351" t="n"/>
    </row>
    <row r="161" ht="14.25" customHeight="1">
      <c r="A161" s="352" t="inlineStr">
        <is>
          <t>Пельмени</t>
        </is>
      </c>
      <c r="B161" s="465" t="n"/>
      <c r="C161" s="465" t="n"/>
      <c r="D161" s="465" t="n"/>
      <c r="E161" s="465" t="n"/>
      <c r="F161" s="465" t="n"/>
      <c r="G161" s="465" t="n"/>
      <c r="H161" s="465" t="n"/>
      <c r="I161" s="465" t="n"/>
      <c r="J161" s="465" t="n"/>
      <c r="K161" s="465" t="n"/>
      <c r="L161" s="465" t="n"/>
      <c r="M161" s="465" t="n"/>
      <c r="N161" s="465" t="n"/>
      <c r="O161" s="465" t="n"/>
      <c r="P161" s="465" t="n"/>
      <c r="Q161" s="465" t="n"/>
      <c r="R161" s="465" t="n"/>
      <c r="S161" s="465" t="n"/>
      <c r="T161" s="465" t="n"/>
      <c r="U161" s="465" t="n"/>
      <c r="V161" s="465" t="n"/>
      <c r="W161" s="465" t="n"/>
      <c r="X161" s="465" t="n"/>
      <c r="Y161" s="465" t="n"/>
      <c r="Z161" s="465" t="n"/>
      <c r="AA161" s="352" t="n"/>
      <c r="AB161" s="352" t="n"/>
      <c r="AC161" s="352" t="n"/>
    </row>
    <row r="162" ht="16.5" customHeight="1">
      <c r="A162" s="60" t="inlineStr">
        <is>
          <t>SU002396</t>
        </is>
      </c>
      <c r="B162" s="60" t="inlineStr">
        <is>
          <t>P004620</t>
        </is>
      </c>
      <c r="C162" s="34" t="n">
        <v>4301071062</v>
      </c>
      <c r="D162" s="353" t="n">
        <v>4607111036384</v>
      </c>
      <c r="E162" s="477" t="n"/>
      <c r="F162" s="516" t="n">
        <v>5</v>
      </c>
      <c r="G162" s="35" t="n">
        <v>1</v>
      </c>
      <c r="H162" s="516" t="n">
        <v>5</v>
      </c>
      <c r="I162" s="516" t="n">
        <v>5.2106</v>
      </c>
      <c r="J162" s="35" t="n">
        <v>144</v>
      </c>
      <c r="K162" s="35" t="inlineStr">
        <is>
          <t>12</t>
        </is>
      </c>
      <c r="L162" s="35" t="inlineStr">
        <is>
          <t>Короб, мин. 1</t>
        </is>
      </c>
      <c r="M162" s="36" t="inlineStr">
        <is>
          <t>МГ</t>
        </is>
      </c>
      <c r="N162" s="36" t="n"/>
      <c r="O162" s="35" t="n">
        <v>180</v>
      </c>
      <c r="P162" s="573" t="inlineStr">
        <is>
          <t>Пельмени «Зареченские» Весовые Сфера ТМ «No name» 5 кг</t>
        </is>
      </c>
      <c r="Q162" s="518" t="n"/>
      <c r="R162" s="518" t="n"/>
      <c r="S162" s="518" t="n"/>
      <c r="T162" s="519" t="n"/>
      <c r="U162" s="37" t="inlineStr"/>
      <c r="V162" s="37" t="inlineStr"/>
      <c r="W162" s="38" t="inlineStr">
        <is>
          <t>кор</t>
        </is>
      </c>
      <c r="X162" s="520" t="n">
        <v>0</v>
      </c>
      <c r="Y162" s="521">
        <f>IFERROR(IF(X162="","",X162),"")</f>
        <v/>
      </c>
      <c r="Z162" s="39">
        <f>IFERROR(IF(X162="","",X162*0.00866),"")</f>
        <v/>
      </c>
      <c r="AA162" s="65" t="inlineStr"/>
      <c r="AB162" s="66" t="inlineStr"/>
      <c r="AC162" s="180" t="inlineStr">
        <is>
          <t>ЕАЭС N RU Д-RU.РА05.В.15328/24</t>
        </is>
      </c>
      <c r="AG162" s="78" t="n"/>
      <c r="AJ162" s="82" t="inlineStr">
        <is>
          <t>Короб</t>
        </is>
      </c>
      <c r="AK162" s="82" t="n">
        <v>1</v>
      </c>
      <c r="BB162" s="181" t="inlineStr">
        <is>
          <t>ЗПФ</t>
        </is>
      </c>
      <c r="BM162" s="78">
        <f>IFERROR(X162*I162,"0")</f>
        <v/>
      </c>
      <c r="BN162" s="78">
        <f>IFERROR(Y162*I162,"0")</f>
        <v/>
      </c>
      <c r="BO162" s="78">
        <f>IFERROR(X162/J162,"0")</f>
        <v/>
      </c>
      <c r="BP162" s="78">
        <f>IFERROR(Y162/J162,"0")</f>
        <v/>
      </c>
    </row>
    <row r="163" ht="27" customHeight="1">
      <c r="A163" s="60" t="inlineStr">
        <is>
          <t>SU000197</t>
        </is>
      </c>
      <c r="B163" s="60" t="inlineStr">
        <is>
          <t>P004472</t>
        </is>
      </c>
      <c r="C163" s="34" t="n">
        <v>4301071050</v>
      </c>
      <c r="D163" s="353" t="n">
        <v>4607111036216</v>
      </c>
      <c r="E163" s="477" t="n"/>
      <c r="F163" s="516" t="n">
        <v>5</v>
      </c>
      <c r="G163" s="35" t="n">
        <v>1</v>
      </c>
      <c r="H163" s="516" t="n">
        <v>5</v>
      </c>
      <c r="I163" s="516" t="n">
        <v>5.2132</v>
      </c>
      <c r="J163" s="35" t="n">
        <v>144</v>
      </c>
      <c r="K163" s="35" t="inlineStr">
        <is>
          <t>12</t>
        </is>
      </c>
      <c r="L163" s="35" t="inlineStr">
        <is>
          <t>Короб, мин. 1</t>
        </is>
      </c>
      <c r="M163" s="36" t="inlineStr">
        <is>
          <t>МГ</t>
        </is>
      </c>
      <c r="N163" s="36" t="n"/>
      <c r="O163" s="35" t="n">
        <v>180</v>
      </c>
      <c r="P163" s="574">
        <f>HYPERLINK("https://abi.ru/products/Замороженные/No Name/No Name ЗПФ/Пельмени/P004472/","Пельмени «Пуговки с говядиной и свининой» Весовые Сфера ТМ «No Name» 5 кг")</f>
        <v/>
      </c>
      <c r="Q163" s="518" t="n"/>
      <c r="R163" s="518" t="n"/>
      <c r="S163" s="518" t="n"/>
      <c r="T163" s="519" t="n"/>
      <c r="U163" s="37" t="inlineStr"/>
      <c r="V163" s="37" t="inlineStr"/>
      <c r="W163" s="38" t="inlineStr">
        <is>
          <t>кор</t>
        </is>
      </c>
      <c r="X163" s="520" t="n">
        <v>0</v>
      </c>
      <c r="Y163" s="521">
        <f>IFERROR(IF(X163="","",X163),"")</f>
        <v/>
      </c>
      <c r="Z163" s="39">
        <f>IFERROR(IF(X163="","",X163*0.00866),"")</f>
        <v/>
      </c>
      <c r="AA163" s="65" t="inlineStr"/>
      <c r="AB163" s="66" t="inlineStr"/>
      <c r="AC163" s="182" t="inlineStr">
        <is>
          <t>ЕАЭС N RU Д-RU.РА08.В.65691/23</t>
        </is>
      </c>
      <c r="AG163" s="78" t="n"/>
      <c r="AJ163" s="82" t="inlineStr">
        <is>
          <t>Короб</t>
        </is>
      </c>
      <c r="AK163" s="82" t="n">
        <v>1</v>
      </c>
      <c r="BB163" s="183" t="inlineStr">
        <is>
          <t>ЗПФ</t>
        </is>
      </c>
      <c r="BM163" s="78">
        <f>IFERROR(X163*I163,"0")</f>
        <v/>
      </c>
      <c r="BN163" s="78">
        <f>IFERROR(Y163*I163,"0")</f>
        <v/>
      </c>
      <c r="BO163" s="78">
        <f>IFERROR(X163/J163,"0")</f>
        <v/>
      </c>
      <c r="BP163" s="78">
        <f>IFERROR(Y163/J163,"0")</f>
        <v/>
      </c>
    </row>
    <row r="164">
      <c r="A164" s="361" t="n"/>
      <c r="B164" s="465" t="n"/>
      <c r="C164" s="465" t="n"/>
      <c r="D164" s="465" t="n"/>
      <c r="E164" s="465" t="n"/>
      <c r="F164" s="465" t="n"/>
      <c r="G164" s="465" t="n"/>
      <c r="H164" s="465" t="n"/>
      <c r="I164" s="465" t="n"/>
      <c r="J164" s="465" t="n"/>
      <c r="K164" s="465" t="n"/>
      <c r="L164" s="465" t="n"/>
      <c r="M164" s="465" t="n"/>
      <c r="N164" s="465" t="n"/>
      <c r="O164" s="522" t="n"/>
      <c r="P164" s="523" t="inlineStr">
        <is>
          <t>Итого</t>
        </is>
      </c>
      <c r="Q164" s="485" t="n"/>
      <c r="R164" s="485" t="n"/>
      <c r="S164" s="485" t="n"/>
      <c r="T164" s="485" t="n"/>
      <c r="U164" s="485" t="n"/>
      <c r="V164" s="486" t="n"/>
      <c r="W164" s="40" t="inlineStr">
        <is>
          <t>кор</t>
        </is>
      </c>
      <c r="X164" s="524">
        <f>IFERROR(SUM(X162:X163),"0")</f>
        <v/>
      </c>
      <c r="Y164" s="524">
        <f>IFERROR(SUM(Y162:Y163),"0")</f>
        <v/>
      </c>
      <c r="Z164" s="524">
        <f>IFERROR(IF(Z162="",0,Z162),"0")+IFERROR(IF(Z163="",0,Z163),"0")</f>
        <v/>
      </c>
      <c r="AA164" s="525" t="n"/>
      <c r="AB164" s="525" t="n"/>
      <c r="AC164" s="525" t="n"/>
    </row>
    <row r="165">
      <c r="A165" s="465" t="n"/>
      <c r="B165" s="465" t="n"/>
      <c r="C165" s="465" t="n"/>
      <c r="D165" s="465" t="n"/>
      <c r="E165" s="465" t="n"/>
      <c r="F165" s="465" t="n"/>
      <c r="G165" s="465" t="n"/>
      <c r="H165" s="465" t="n"/>
      <c r="I165" s="465" t="n"/>
      <c r="J165" s="465" t="n"/>
      <c r="K165" s="465" t="n"/>
      <c r="L165" s="465" t="n"/>
      <c r="M165" s="465" t="n"/>
      <c r="N165" s="465" t="n"/>
      <c r="O165" s="522" t="n"/>
      <c r="P165" s="523" t="inlineStr">
        <is>
          <t>Итого</t>
        </is>
      </c>
      <c r="Q165" s="485" t="n"/>
      <c r="R165" s="485" t="n"/>
      <c r="S165" s="485" t="n"/>
      <c r="T165" s="485" t="n"/>
      <c r="U165" s="485" t="n"/>
      <c r="V165" s="486" t="n"/>
      <c r="W165" s="40" t="inlineStr">
        <is>
          <t>кг</t>
        </is>
      </c>
      <c r="X165" s="524">
        <f>IFERROR(SUMPRODUCT(X162:X163*H162:H163),"0")</f>
        <v/>
      </c>
      <c r="Y165" s="524">
        <f>IFERROR(SUMPRODUCT(Y162:Y163*H162:H163),"0")</f>
        <v/>
      </c>
      <c r="Z165" s="40" t="n"/>
      <c r="AA165" s="525" t="n"/>
      <c r="AB165" s="525" t="n"/>
      <c r="AC165" s="525" t="n"/>
    </row>
    <row r="166" ht="27.75" customHeight="1">
      <c r="A166" s="350" t="inlineStr">
        <is>
          <t>Вязанка</t>
        </is>
      </c>
      <c r="B166" s="515" t="n"/>
      <c r="C166" s="515" t="n"/>
      <c r="D166" s="515" t="n"/>
      <c r="E166" s="515" t="n"/>
      <c r="F166" s="515" t="n"/>
      <c r="G166" s="515" t="n"/>
      <c r="H166" s="515" t="n"/>
      <c r="I166" s="515" t="n"/>
      <c r="J166" s="515" t="n"/>
      <c r="K166" s="515" t="n"/>
      <c r="L166" s="515" t="n"/>
      <c r="M166" s="515" t="n"/>
      <c r="N166" s="515" t="n"/>
      <c r="O166" s="515" t="n"/>
      <c r="P166" s="515" t="n"/>
      <c r="Q166" s="515" t="n"/>
      <c r="R166" s="515" t="n"/>
      <c r="S166" s="515" t="n"/>
      <c r="T166" s="515" t="n"/>
      <c r="U166" s="515" t="n"/>
      <c r="V166" s="515" t="n"/>
      <c r="W166" s="515" t="n"/>
      <c r="X166" s="515" t="n"/>
      <c r="Y166" s="515" t="n"/>
      <c r="Z166" s="515" t="n"/>
      <c r="AA166" s="52" t="n"/>
      <c r="AB166" s="52" t="n"/>
      <c r="AC166" s="52" t="n"/>
    </row>
    <row r="167" ht="16.5" customHeight="1">
      <c r="A167" s="351" t="inlineStr">
        <is>
          <t>Сливушка</t>
        </is>
      </c>
      <c r="B167" s="465" t="n"/>
      <c r="C167" s="465" t="n"/>
      <c r="D167" s="465" t="n"/>
      <c r="E167" s="465" t="n"/>
      <c r="F167" s="465" t="n"/>
      <c r="G167" s="465" t="n"/>
      <c r="H167" s="465" t="n"/>
      <c r="I167" s="465" t="n"/>
      <c r="J167" s="465" t="n"/>
      <c r="K167" s="465" t="n"/>
      <c r="L167" s="465" t="n"/>
      <c r="M167" s="465" t="n"/>
      <c r="N167" s="465" t="n"/>
      <c r="O167" s="465" t="n"/>
      <c r="P167" s="465" t="n"/>
      <c r="Q167" s="465" t="n"/>
      <c r="R167" s="465" t="n"/>
      <c r="S167" s="465" t="n"/>
      <c r="T167" s="465" t="n"/>
      <c r="U167" s="465" t="n"/>
      <c r="V167" s="465" t="n"/>
      <c r="W167" s="465" t="n"/>
      <c r="X167" s="465" t="n"/>
      <c r="Y167" s="465" t="n"/>
      <c r="Z167" s="465" t="n"/>
      <c r="AA167" s="351" t="n"/>
      <c r="AB167" s="351" t="n"/>
      <c r="AC167" s="351" t="n"/>
    </row>
    <row r="168" ht="14.25" customHeight="1">
      <c r="A168" s="352" t="inlineStr">
        <is>
          <t>Наггетсы</t>
        </is>
      </c>
      <c r="B168" s="465" t="n"/>
      <c r="C168" s="465" t="n"/>
      <c r="D168" s="465" t="n"/>
      <c r="E168" s="465" t="n"/>
      <c r="F168" s="465" t="n"/>
      <c r="G168" s="465" t="n"/>
      <c r="H168" s="465" t="n"/>
      <c r="I168" s="465" t="n"/>
      <c r="J168" s="465" t="n"/>
      <c r="K168" s="465" t="n"/>
      <c r="L168" s="465" t="n"/>
      <c r="M168" s="465" t="n"/>
      <c r="N168" s="465" t="n"/>
      <c r="O168" s="465" t="n"/>
      <c r="P168" s="465" t="n"/>
      <c r="Q168" s="465" t="n"/>
      <c r="R168" s="465" t="n"/>
      <c r="S168" s="465" t="n"/>
      <c r="T168" s="465" t="n"/>
      <c r="U168" s="465" t="n"/>
      <c r="V168" s="465" t="n"/>
      <c r="W168" s="465" t="n"/>
      <c r="X168" s="465" t="n"/>
      <c r="Y168" s="465" t="n"/>
      <c r="Z168" s="465" t="n"/>
      <c r="AA168" s="352" t="n"/>
      <c r="AB168" s="352" t="n"/>
      <c r="AC168" s="352" t="n"/>
    </row>
    <row r="169" ht="16.5" customHeight="1">
      <c r="A169" s="60" t="inlineStr">
        <is>
          <t>SU003797</t>
        </is>
      </c>
      <c r="B169" s="60" t="inlineStr">
        <is>
          <t>P004497</t>
        </is>
      </c>
      <c r="C169" s="34" t="n">
        <v>4301132179</v>
      </c>
      <c r="D169" s="353" t="n">
        <v>4607111035691</v>
      </c>
      <c r="E169" s="477" t="n"/>
      <c r="F169" s="516" t="n">
        <v>0.25</v>
      </c>
      <c r="G169" s="35" t="n">
        <v>12</v>
      </c>
      <c r="H169" s="516" t="n">
        <v>3</v>
      </c>
      <c r="I169" s="516" t="n">
        <v>3.388</v>
      </c>
      <c r="J169" s="35" t="n">
        <v>70</v>
      </c>
      <c r="K169" s="35" t="inlineStr">
        <is>
          <t>14</t>
        </is>
      </c>
      <c r="L169" s="35" t="inlineStr">
        <is>
          <t>Короб, мин. 1</t>
        </is>
      </c>
      <c r="M169" s="36" t="inlineStr">
        <is>
          <t>МГ</t>
        </is>
      </c>
      <c r="N169" s="36" t="n"/>
      <c r="O169" s="35" t="n">
        <v>365</v>
      </c>
      <c r="P169" s="575">
        <f>HYPERLINK("https://abi.ru/products/Замороженные/Вязанка/Сливушка/Наггетсы/P004497/","Наггетсы «из печи» Фикс.вес 0,25 ТМ «Вязанка»")</f>
        <v/>
      </c>
      <c r="Q169" s="518" t="n"/>
      <c r="R169" s="518" t="n"/>
      <c r="S169" s="518" t="n"/>
      <c r="T169" s="519" t="n"/>
      <c r="U169" s="37" t="inlineStr"/>
      <c r="V169" s="37" t="inlineStr"/>
      <c r="W169" s="38" t="inlineStr">
        <is>
          <t>кор</t>
        </is>
      </c>
      <c r="X169" s="520" t="n">
        <v>42</v>
      </c>
      <c r="Y169" s="521">
        <f>IFERROR(IF(X169="","",X169),"")</f>
        <v/>
      </c>
      <c r="Z169" s="39">
        <f>IFERROR(IF(X169="","",X169*0.01788),"")</f>
        <v/>
      </c>
      <c r="AA169" s="65" t="inlineStr"/>
      <c r="AB169" s="66" t="inlineStr"/>
      <c r="AC169" s="184" t="inlineStr">
        <is>
          <t>ЕАЭС N RU Д-RU.РА06.В.19349/24</t>
        </is>
      </c>
      <c r="AG169" s="78" t="n"/>
      <c r="AJ169" s="82" t="inlineStr">
        <is>
          <t>Короб</t>
        </is>
      </c>
      <c r="AK169" s="82" t="n">
        <v>1</v>
      </c>
      <c r="BB169" s="185" t="inlineStr">
        <is>
          <t>ПГП</t>
        </is>
      </c>
      <c r="BM169" s="78">
        <f>IFERROR(X169*I169,"0")</f>
        <v/>
      </c>
      <c r="BN169" s="78">
        <f>IFERROR(Y169*I169,"0")</f>
        <v/>
      </c>
      <c r="BO169" s="78">
        <f>IFERROR(X169/J169,"0")</f>
        <v/>
      </c>
      <c r="BP169" s="78">
        <f>IFERROR(Y169/J169,"0")</f>
        <v/>
      </c>
    </row>
    <row r="170" ht="27" customHeight="1">
      <c r="A170" s="60" t="inlineStr">
        <is>
          <t>SU003800</t>
        </is>
      </c>
      <c r="B170" s="60" t="inlineStr">
        <is>
          <t>P004496</t>
        </is>
      </c>
      <c r="C170" s="34" t="n">
        <v>4301132182</v>
      </c>
      <c r="D170" s="353" t="n">
        <v>4607111035721</v>
      </c>
      <c r="E170" s="477" t="n"/>
      <c r="F170" s="516" t="n">
        <v>0.25</v>
      </c>
      <c r="G170" s="35" t="n">
        <v>12</v>
      </c>
      <c r="H170" s="516" t="n">
        <v>3</v>
      </c>
      <c r="I170" s="516" t="n">
        <v>3.388</v>
      </c>
      <c r="J170" s="35" t="n">
        <v>70</v>
      </c>
      <c r="K170" s="35" t="inlineStr">
        <is>
          <t>14</t>
        </is>
      </c>
      <c r="L170" s="35" t="inlineStr">
        <is>
          <t>Короб, мин. 1</t>
        </is>
      </c>
      <c r="M170" s="36" t="inlineStr">
        <is>
          <t>МГ</t>
        </is>
      </c>
      <c r="N170" s="36" t="n"/>
      <c r="O170" s="35" t="n">
        <v>365</v>
      </c>
      <c r="P170" s="576">
        <f>HYPERLINK("https://abi.ru/products/Замороженные/Вязанка/Сливушка/Наггетсы/P004496/","Наггетсы «с индейкой» Фикс.вес 0,25 ТМ «Вязанка»")</f>
        <v/>
      </c>
      <c r="Q170" s="518" t="n"/>
      <c r="R170" s="518" t="n"/>
      <c r="S170" s="518" t="n"/>
      <c r="T170" s="519" t="n"/>
      <c r="U170" s="37" t="inlineStr"/>
      <c r="V170" s="37" t="inlineStr"/>
      <c r="W170" s="38" t="inlineStr">
        <is>
          <t>кор</t>
        </is>
      </c>
      <c r="X170" s="520" t="n">
        <v>28</v>
      </c>
      <c r="Y170" s="521">
        <f>IFERROR(IF(X170="","",X170),"")</f>
        <v/>
      </c>
      <c r="Z170" s="39">
        <f>IFERROR(IF(X170="","",X170*0.01788),"")</f>
        <v/>
      </c>
      <c r="AA170" s="65" t="inlineStr"/>
      <c r="AB170" s="66" t="inlineStr"/>
      <c r="AC170" s="186" t="inlineStr">
        <is>
          <t>ЕАЭС N RU Д-RU.РА04.В.84034/24</t>
        </is>
      </c>
      <c r="AG170" s="78" t="n"/>
      <c r="AJ170" s="82" t="inlineStr">
        <is>
          <t>Короб</t>
        </is>
      </c>
      <c r="AK170" s="82" t="n">
        <v>1</v>
      </c>
      <c r="BB170" s="187" t="inlineStr">
        <is>
          <t>ПГП</t>
        </is>
      </c>
      <c r="BM170" s="78">
        <f>IFERROR(X170*I170,"0")</f>
        <v/>
      </c>
      <c r="BN170" s="78">
        <f>IFERROR(Y170*I170,"0")</f>
        <v/>
      </c>
      <c r="BO170" s="78">
        <f>IFERROR(X170/J170,"0")</f>
        <v/>
      </c>
      <c r="BP170" s="78">
        <f>IFERROR(Y170/J170,"0")</f>
        <v/>
      </c>
    </row>
    <row r="171" ht="27" customHeight="1">
      <c r="A171" s="60" t="inlineStr">
        <is>
          <t>SU003795</t>
        </is>
      </c>
      <c r="B171" s="60" t="inlineStr">
        <is>
          <t>P004535</t>
        </is>
      </c>
      <c r="C171" s="34" t="n">
        <v>4301132170</v>
      </c>
      <c r="D171" s="353" t="n">
        <v>4607111038487</v>
      </c>
      <c r="E171" s="477" t="n"/>
      <c r="F171" s="516" t="n">
        <v>0.25</v>
      </c>
      <c r="G171" s="35" t="n">
        <v>12</v>
      </c>
      <c r="H171" s="516" t="n">
        <v>3</v>
      </c>
      <c r="I171" s="516" t="n">
        <v>3.736</v>
      </c>
      <c r="J171" s="35" t="n">
        <v>70</v>
      </c>
      <c r="K171" s="35" t="inlineStr">
        <is>
          <t>14</t>
        </is>
      </c>
      <c r="L171" s="35" t="inlineStr">
        <is>
          <t>Короб, мин. 1</t>
        </is>
      </c>
      <c r="M171" s="36" t="inlineStr">
        <is>
          <t>МГ</t>
        </is>
      </c>
      <c r="N171" s="36" t="n"/>
      <c r="O171" s="35" t="n">
        <v>180</v>
      </c>
      <c r="P171" s="577">
        <f>HYPERLINK("https://abi.ru/products/Замороженные/Вязанка/Сливушка/Наггетсы/P004535/","Наггетсы «с куриным филе и сыром» Фикс.вес 0,25 ТМ «Вязанка»")</f>
        <v/>
      </c>
      <c r="Q171" s="518" t="n"/>
      <c r="R171" s="518" t="n"/>
      <c r="S171" s="518" t="n"/>
      <c r="T171" s="519" t="n"/>
      <c r="U171" s="37" t="inlineStr"/>
      <c r="V171" s="37" t="inlineStr"/>
      <c r="W171" s="38" t="inlineStr">
        <is>
          <t>кор</t>
        </is>
      </c>
      <c r="X171" s="520" t="n">
        <v>28</v>
      </c>
      <c r="Y171" s="521">
        <f>IFERROR(IF(X171="","",X171),"")</f>
        <v/>
      </c>
      <c r="Z171" s="39">
        <f>IFERROR(IF(X171="","",X171*0.01788),"")</f>
        <v/>
      </c>
      <c r="AA171" s="65" t="inlineStr"/>
      <c r="AB171" s="66" t="inlineStr"/>
      <c r="AC171" s="188" t="inlineStr">
        <is>
          <t>ЕАЭС N RU Д-RU.РА04.В.87517/24</t>
        </is>
      </c>
      <c r="AG171" s="78" t="n"/>
      <c r="AJ171" s="82" t="inlineStr">
        <is>
          <t>Короб</t>
        </is>
      </c>
      <c r="AK171" s="82" t="n">
        <v>1</v>
      </c>
      <c r="BB171" s="189" t="inlineStr">
        <is>
          <t>ПГП</t>
        </is>
      </c>
      <c r="BM171" s="78">
        <f>IFERROR(X171*I171,"0")</f>
        <v/>
      </c>
      <c r="BN171" s="78">
        <f>IFERROR(Y171*I171,"0")</f>
        <v/>
      </c>
      <c r="BO171" s="78">
        <f>IFERROR(X171/J171,"0")</f>
        <v/>
      </c>
      <c r="BP171" s="78">
        <f>IFERROR(Y171/J171,"0")</f>
        <v/>
      </c>
    </row>
    <row r="172">
      <c r="A172" s="361" t="n"/>
      <c r="B172" s="465" t="n"/>
      <c r="C172" s="465" t="n"/>
      <c r="D172" s="465" t="n"/>
      <c r="E172" s="465" t="n"/>
      <c r="F172" s="465" t="n"/>
      <c r="G172" s="465" t="n"/>
      <c r="H172" s="465" t="n"/>
      <c r="I172" s="465" t="n"/>
      <c r="J172" s="465" t="n"/>
      <c r="K172" s="465" t="n"/>
      <c r="L172" s="465" t="n"/>
      <c r="M172" s="465" t="n"/>
      <c r="N172" s="465" t="n"/>
      <c r="O172" s="522" t="n"/>
      <c r="P172" s="523" t="inlineStr">
        <is>
          <t>Итого</t>
        </is>
      </c>
      <c r="Q172" s="485" t="n"/>
      <c r="R172" s="485" t="n"/>
      <c r="S172" s="485" t="n"/>
      <c r="T172" s="485" t="n"/>
      <c r="U172" s="485" t="n"/>
      <c r="V172" s="486" t="n"/>
      <c r="W172" s="40" t="inlineStr">
        <is>
          <t>кор</t>
        </is>
      </c>
      <c r="X172" s="524">
        <f>IFERROR(SUM(X169:X171),"0")</f>
        <v/>
      </c>
      <c r="Y172" s="524">
        <f>IFERROR(SUM(Y169:Y171),"0")</f>
        <v/>
      </c>
      <c r="Z172" s="524">
        <f>IFERROR(IF(Z169="",0,Z169),"0")+IFERROR(IF(Z170="",0,Z170),"0")+IFERROR(IF(Z171="",0,Z171),"0")</f>
        <v/>
      </c>
      <c r="AA172" s="525" t="n"/>
      <c r="AB172" s="525" t="n"/>
      <c r="AC172" s="525" t="n"/>
    </row>
    <row r="173">
      <c r="A173" s="465" t="n"/>
      <c r="B173" s="465" t="n"/>
      <c r="C173" s="465" t="n"/>
      <c r="D173" s="465" t="n"/>
      <c r="E173" s="465" t="n"/>
      <c r="F173" s="465" t="n"/>
      <c r="G173" s="465" t="n"/>
      <c r="H173" s="465" t="n"/>
      <c r="I173" s="465" t="n"/>
      <c r="J173" s="465" t="n"/>
      <c r="K173" s="465" t="n"/>
      <c r="L173" s="465" t="n"/>
      <c r="M173" s="465" t="n"/>
      <c r="N173" s="465" t="n"/>
      <c r="O173" s="522" t="n"/>
      <c r="P173" s="523" t="inlineStr">
        <is>
          <t>Итого</t>
        </is>
      </c>
      <c r="Q173" s="485" t="n"/>
      <c r="R173" s="485" t="n"/>
      <c r="S173" s="485" t="n"/>
      <c r="T173" s="485" t="n"/>
      <c r="U173" s="485" t="n"/>
      <c r="V173" s="486" t="n"/>
      <c r="W173" s="40" t="inlineStr">
        <is>
          <t>кг</t>
        </is>
      </c>
      <c r="X173" s="524">
        <f>IFERROR(SUMPRODUCT(X169:X171*H169:H171),"0")</f>
        <v/>
      </c>
      <c r="Y173" s="524">
        <f>IFERROR(SUMPRODUCT(Y169:Y171*H169:H171),"0")</f>
        <v/>
      </c>
      <c r="Z173" s="40" t="n"/>
      <c r="AA173" s="525" t="n"/>
      <c r="AB173" s="525" t="n"/>
      <c r="AC173" s="525" t="n"/>
    </row>
    <row r="174" ht="14.25" customHeight="1">
      <c r="A174" s="352" t="inlineStr">
        <is>
          <t>Сосиски замороженные</t>
        </is>
      </c>
      <c r="B174" s="465" t="n"/>
      <c r="C174" s="465" t="n"/>
      <c r="D174" s="465" t="n"/>
      <c r="E174" s="465" t="n"/>
      <c r="F174" s="465" t="n"/>
      <c r="G174" s="465" t="n"/>
      <c r="H174" s="465" t="n"/>
      <c r="I174" s="465" t="n"/>
      <c r="J174" s="465" t="n"/>
      <c r="K174" s="465" t="n"/>
      <c r="L174" s="465" t="n"/>
      <c r="M174" s="465" t="n"/>
      <c r="N174" s="465" t="n"/>
      <c r="O174" s="465" t="n"/>
      <c r="P174" s="465" t="n"/>
      <c r="Q174" s="465" t="n"/>
      <c r="R174" s="465" t="n"/>
      <c r="S174" s="465" t="n"/>
      <c r="T174" s="465" t="n"/>
      <c r="U174" s="465" t="n"/>
      <c r="V174" s="465" t="n"/>
      <c r="W174" s="465" t="n"/>
      <c r="X174" s="465" t="n"/>
      <c r="Y174" s="465" t="n"/>
      <c r="Z174" s="465" t="n"/>
      <c r="AA174" s="352" t="n"/>
      <c r="AB174" s="352" t="n"/>
      <c r="AC174" s="352" t="n"/>
    </row>
    <row r="175" ht="27" customHeight="1">
      <c r="A175" s="60" t="inlineStr">
        <is>
          <t>SU003643</t>
        </is>
      </c>
      <c r="B175" s="60" t="inlineStr">
        <is>
          <t>P004612</t>
        </is>
      </c>
      <c r="C175" s="34" t="n">
        <v>4301051855</v>
      </c>
      <c r="D175" s="353" t="n">
        <v>4680115885875</v>
      </c>
      <c r="E175" s="477" t="n"/>
      <c r="F175" s="516" t="n">
        <v>1</v>
      </c>
      <c r="G175" s="35" t="n">
        <v>9</v>
      </c>
      <c r="H175" s="516" t="n">
        <v>9</v>
      </c>
      <c r="I175" s="516" t="n">
        <v>9.435</v>
      </c>
      <c r="J175" s="35" t="n">
        <v>64</v>
      </c>
      <c r="K175" s="35" t="inlineStr">
        <is>
          <t>8</t>
        </is>
      </c>
      <c r="L175" s="35" t="inlineStr">
        <is>
          <t>Короб, мин. 1</t>
        </is>
      </c>
      <c r="M175" s="36" t="inlineStr">
        <is>
          <t>СК2</t>
        </is>
      </c>
      <c r="N175" s="36" t="n"/>
      <c r="O175" s="35" t="n">
        <v>365</v>
      </c>
      <c r="P175" s="578" t="inlineStr">
        <is>
          <t>Сосиски замороженные «Сосиски с сыром» Весовой ТМ «Вязанка» для корн-догов</t>
        </is>
      </c>
      <c r="Q175" s="518" t="n"/>
      <c r="R175" s="518" t="n"/>
      <c r="S175" s="518" t="n"/>
      <c r="T175" s="519" t="n"/>
      <c r="U175" s="37" t="inlineStr"/>
      <c r="V175" s="37" t="inlineStr"/>
      <c r="W175" s="38" t="inlineStr">
        <is>
          <t>кор</t>
        </is>
      </c>
      <c r="X175" s="520" t="n">
        <v>0</v>
      </c>
      <c r="Y175" s="521">
        <f>IFERROR(IF(X175="","",X175),"")</f>
        <v/>
      </c>
      <c r="Z175" s="39">
        <f>IFERROR(IF(X175="","",X175*0.01898),"")</f>
        <v/>
      </c>
      <c r="AA175" s="65" t="inlineStr"/>
      <c r="AB175" s="66" t="inlineStr"/>
      <c r="AC175" s="190" t="inlineStr">
        <is>
          <t>ЕАЭС N RU Д-RU.РА04.В.54012/25</t>
        </is>
      </c>
      <c r="AG175" s="78" t="n"/>
      <c r="AJ175" s="82" t="inlineStr">
        <is>
          <t>Короб</t>
        </is>
      </c>
      <c r="AK175" s="82" t="n">
        <v>1</v>
      </c>
      <c r="BB175" s="191" t="inlineStr">
        <is>
          <t>КИЗ</t>
        </is>
      </c>
      <c r="BM175" s="78">
        <f>IFERROR(X175*I175,"0")</f>
        <v/>
      </c>
      <c r="BN175" s="78">
        <f>IFERROR(Y175*I175,"0")</f>
        <v/>
      </c>
      <c r="BO175" s="78">
        <f>IFERROR(X175/J175,"0")</f>
        <v/>
      </c>
      <c r="BP175" s="78">
        <f>IFERROR(Y175/J175,"0")</f>
        <v/>
      </c>
    </row>
    <row r="176">
      <c r="A176" s="361" t="n"/>
      <c r="B176" s="465" t="n"/>
      <c r="C176" s="465" t="n"/>
      <c r="D176" s="465" t="n"/>
      <c r="E176" s="465" t="n"/>
      <c r="F176" s="465" t="n"/>
      <c r="G176" s="465" t="n"/>
      <c r="H176" s="465" t="n"/>
      <c r="I176" s="465" t="n"/>
      <c r="J176" s="465" t="n"/>
      <c r="K176" s="465" t="n"/>
      <c r="L176" s="465" t="n"/>
      <c r="M176" s="465" t="n"/>
      <c r="N176" s="465" t="n"/>
      <c r="O176" s="522" t="n"/>
      <c r="P176" s="523" t="inlineStr">
        <is>
          <t>Итого</t>
        </is>
      </c>
      <c r="Q176" s="485" t="n"/>
      <c r="R176" s="485" t="n"/>
      <c r="S176" s="485" t="n"/>
      <c r="T176" s="485" t="n"/>
      <c r="U176" s="485" t="n"/>
      <c r="V176" s="486" t="n"/>
      <c r="W176" s="40" t="inlineStr">
        <is>
          <t>кор</t>
        </is>
      </c>
      <c r="X176" s="524">
        <f>IFERROR(SUM(X175:X175),"0")</f>
        <v/>
      </c>
      <c r="Y176" s="524">
        <f>IFERROR(SUM(Y175:Y175),"0")</f>
        <v/>
      </c>
      <c r="Z176" s="524">
        <f>IFERROR(IF(Z175="",0,Z175),"0")</f>
        <v/>
      </c>
      <c r="AA176" s="525" t="n"/>
      <c r="AB176" s="525" t="n"/>
      <c r="AC176" s="525" t="n"/>
    </row>
    <row r="177">
      <c r="A177" s="465" t="n"/>
      <c r="B177" s="465" t="n"/>
      <c r="C177" s="465" t="n"/>
      <c r="D177" s="465" t="n"/>
      <c r="E177" s="465" t="n"/>
      <c r="F177" s="465" t="n"/>
      <c r="G177" s="465" t="n"/>
      <c r="H177" s="465" t="n"/>
      <c r="I177" s="465" t="n"/>
      <c r="J177" s="465" t="n"/>
      <c r="K177" s="465" t="n"/>
      <c r="L177" s="465" t="n"/>
      <c r="M177" s="465" t="n"/>
      <c r="N177" s="465" t="n"/>
      <c r="O177" s="522" t="n"/>
      <c r="P177" s="523" t="inlineStr">
        <is>
          <t>Итого</t>
        </is>
      </c>
      <c r="Q177" s="485" t="n"/>
      <c r="R177" s="485" t="n"/>
      <c r="S177" s="485" t="n"/>
      <c r="T177" s="485" t="n"/>
      <c r="U177" s="485" t="n"/>
      <c r="V177" s="486" t="n"/>
      <c r="W177" s="40" t="inlineStr">
        <is>
          <t>кг</t>
        </is>
      </c>
      <c r="X177" s="524">
        <f>IFERROR(SUMPRODUCT(X175:X175*H175:H175),"0")</f>
        <v/>
      </c>
      <c r="Y177" s="524">
        <f>IFERROR(SUMPRODUCT(Y175:Y175*H175:H175),"0")</f>
        <v/>
      </c>
      <c r="Z177" s="40" t="n"/>
      <c r="AA177" s="525" t="n"/>
      <c r="AB177" s="525" t="n"/>
      <c r="AC177" s="525" t="n"/>
    </row>
    <row r="178" ht="27.75" customHeight="1">
      <c r="A178" s="350" t="inlineStr">
        <is>
          <t>Стародворье</t>
        </is>
      </c>
      <c r="B178" s="515" t="n"/>
      <c r="C178" s="515" t="n"/>
      <c r="D178" s="515" t="n"/>
      <c r="E178" s="515" t="n"/>
      <c r="F178" s="515" t="n"/>
      <c r="G178" s="515" t="n"/>
      <c r="H178" s="515" t="n"/>
      <c r="I178" s="515" t="n"/>
      <c r="J178" s="515" t="n"/>
      <c r="K178" s="515" t="n"/>
      <c r="L178" s="515" t="n"/>
      <c r="M178" s="515" t="n"/>
      <c r="N178" s="515" t="n"/>
      <c r="O178" s="515" t="n"/>
      <c r="P178" s="515" t="n"/>
      <c r="Q178" s="515" t="n"/>
      <c r="R178" s="515" t="n"/>
      <c r="S178" s="515" t="n"/>
      <c r="T178" s="515" t="n"/>
      <c r="U178" s="515" t="n"/>
      <c r="V178" s="515" t="n"/>
      <c r="W178" s="515" t="n"/>
      <c r="X178" s="515" t="n"/>
      <c r="Y178" s="515" t="n"/>
      <c r="Z178" s="515" t="n"/>
      <c r="AA178" s="52" t="n"/>
      <c r="AB178" s="52" t="n"/>
      <c r="AC178" s="52" t="n"/>
    </row>
    <row r="179" ht="16.5" customHeight="1">
      <c r="A179" s="351" t="inlineStr">
        <is>
          <t>Стародворье ПГП</t>
        </is>
      </c>
      <c r="B179" s="465" t="n"/>
      <c r="C179" s="465" t="n"/>
      <c r="D179" s="465" t="n"/>
      <c r="E179" s="465" t="n"/>
      <c r="F179" s="465" t="n"/>
      <c r="G179" s="465" t="n"/>
      <c r="H179" s="465" t="n"/>
      <c r="I179" s="465" t="n"/>
      <c r="J179" s="465" t="n"/>
      <c r="K179" s="465" t="n"/>
      <c r="L179" s="465" t="n"/>
      <c r="M179" s="465" t="n"/>
      <c r="N179" s="465" t="n"/>
      <c r="O179" s="465" t="n"/>
      <c r="P179" s="465" t="n"/>
      <c r="Q179" s="465" t="n"/>
      <c r="R179" s="465" t="n"/>
      <c r="S179" s="465" t="n"/>
      <c r="T179" s="465" t="n"/>
      <c r="U179" s="465" t="n"/>
      <c r="V179" s="465" t="n"/>
      <c r="W179" s="465" t="n"/>
      <c r="X179" s="465" t="n"/>
      <c r="Y179" s="465" t="n"/>
      <c r="Z179" s="465" t="n"/>
      <c r="AA179" s="351" t="n"/>
      <c r="AB179" s="351" t="n"/>
      <c r="AC179" s="351" t="n"/>
    </row>
    <row r="180" ht="14.25" customHeight="1">
      <c r="A180" s="352" t="inlineStr">
        <is>
          <t>Наггетсы</t>
        </is>
      </c>
      <c r="B180" s="465" t="n"/>
      <c r="C180" s="465" t="n"/>
      <c r="D180" s="465" t="n"/>
      <c r="E180" s="465" t="n"/>
      <c r="F180" s="465" t="n"/>
      <c r="G180" s="465" t="n"/>
      <c r="H180" s="465" t="n"/>
      <c r="I180" s="465" t="n"/>
      <c r="J180" s="465" t="n"/>
      <c r="K180" s="465" t="n"/>
      <c r="L180" s="465" t="n"/>
      <c r="M180" s="465" t="n"/>
      <c r="N180" s="465" t="n"/>
      <c r="O180" s="465" t="n"/>
      <c r="P180" s="465" t="n"/>
      <c r="Q180" s="465" t="n"/>
      <c r="R180" s="465" t="n"/>
      <c r="S180" s="465" t="n"/>
      <c r="T180" s="465" t="n"/>
      <c r="U180" s="465" t="n"/>
      <c r="V180" s="465" t="n"/>
      <c r="W180" s="465" t="n"/>
      <c r="X180" s="465" t="n"/>
      <c r="Y180" s="465" t="n"/>
      <c r="Z180" s="465" t="n"/>
      <c r="AA180" s="352" t="n"/>
      <c r="AB180" s="352" t="n"/>
      <c r="AC180" s="352" t="n"/>
    </row>
    <row r="181" ht="27" customHeight="1">
      <c r="A181" s="60" t="inlineStr">
        <is>
          <t>SU003930</t>
        </is>
      </c>
      <c r="B181" s="60" t="inlineStr">
        <is>
          <t>P005043</t>
        </is>
      </c>
      <c r="C181" s="34" t="n">
        <v>4301132227</v>
      </c>
      <c r="D181" s="353" t="n">
        <v>4620207491133</v>
      </c>
      <c r="E181" s="477" t="n"/>
      <c r="F181" s="516" t="n">
        <v>0.23</v>
      </c>
      <c r="G181" s="35" t="n">
        <v>12</v>
      </c>
      <c r="H181" s="516" t="n">
        <v>2.76</v>
      </c>
      <c r="I181" s="516" t="n">
        <v>2.98</v>
      </c>
      <c r="J181" s="35" t="n">
        <v>70</v>
      </c>
      <c r="K181" s="35" t="inlineStr">
        <is>
          <t>14</t>
        </is>
      </c>
      <c r="L181" s="35" t="inlineStr">
        <is>
          <t>Короб, мин. 1</t>
        </is>
      </c>
      <c r="M181" s="36" t="inlineStr">
        <is>
          <t>МГ</t>
        </is>
      </c>
      <c r="N181" s="36" t="n"/>
      <c r="O181" s="35" t="n">
        <v>180</v>
      </c>
      <c r="P181" s="579" t="inlineStr">
        <is>
          <t>Наггетсы «Хрустящие с сочной курочкой» Фикс.вес 0,23 ТМ «Стародворье»</t>
        </is>
      </c>
      <c r="Q181" s="518" t="n"/>
      <c r="R181" s="518" t="n"/>
      <c r="S181" s="518" t="n"/>
      <c r="T181" s="519" t="n"/>
      <c r="U181" s="37" t="inlineStr"/>
      <c r="V181" s="37" t="inlineStr"/>
      <c r="W181" s="38" t="inlineStr">
        <is>
          <t>кор</t>
        </is>
      </c>
      <c r="X181" s="520" t="n">
        <v>0</v>
      </c>
      <c r="Y181" s="521">
        <f>IFERROR(IF(X181="","",X181),"")</f>
        <v/>
      </c>
      <c r="Z181" s="39">
        <f>IFERROR(IF(X181="","",X181*0.01788),"")</f>
        <v/>
      </c>
      <c r="AA181" s="65" t="inlineStr"/>
      <c r="AB181" s="66" t="inlineStr"/>
      <c r="AC181" s="192" t="inlineStr">
        <is>
          <t>ЕАЭС N RU Д-RU.РА03.В.98877/23</t>
        </is>
      </c>
      <c r="AG181" s="78" t="n"/>
      <c r="AJ181" s="82" t="inlineStr">
        <is>
          <t>Короб</t>
        </is>
      </c>
      <c r="AK181" s="82" t="n">
        <v>1</v>
      </c>
      <c r="BB181" s="193" t="inlineStr">
        <is>
          <t>ПГП</t>
        </is>
      </c>
      <c r="BM181" s="78">
        <f>IFERROR(X181*I181,"0")</f>
        <v/>
      </c>
      <c r="BN181" s="78">
        <f>IFERROR(Y181*I181,"0")</f>
        <v/>
      </c>
      <c r="BO181" s="78">
        <f>IFERROR(X181/J181,"0")</f>
        <v/>
      </c>
      <c r="BP181" s="78">
        <f>IFERROR(Y181/J181,"0")</f>
        <v/>
      </c>
    </row>
    <row r="182">
      <c r="A182" s="361" t="n"/>
      <c r="B182" s="465" t="n"/>
      <c r="C182" s="465" t="n"/>
      <c r="D182" s="465" t="n"/>
      <c r="E182" s="465" t="n"/>
      <c r="F182" s="465" t="n"/>
      <c r="G182" s="465" t="n"/>
      <c r="H182" s="465" t="n"/>
      <c r="I182" s="465" t="n"/>
      <c r="J182" s="465" t="n"/>
      <c r="K182" s="465" t="n"/>
      <c r="L182" s="465" t="n"/>
      <c r="M182" s="465" t="n"/>
      <c r="N182" s="465" t="n"/>
      <c r="O182" s="522" t="n"/>
      <c r="P182" s="523" t="inlineStr">
        <is>
          <t>Итого</t>
        </is>
      </c>
      <c r="Q182" s="485" t="n"/>
      <c r="R182" s="485" t="n"/>
      <c r="S182" s="485" t="n"/>
      <c r="T182" s="485" t="n"/>
      <c r="U182" s="485" t="n"/>
      <c r="V182" s="486" t="n"/>
      <c r="W182" s="40" t="inlineStr">
        <is>
          <t>кор</t>
        </is>
      </c>
      <c r="X182" s="524">
        <f>IFERROR(SUM(X181:X181),"0")</f>
        <v/>
      </c>
      <c r="Y182" s="524">
        <f>IFERROR(SUM(Y181:Y181),"0")</f>
        <v/>
      </c>
      <c r="Z182" s="524">
        <f>IFERROR(IF(Z181="",0,Z181),"0")</f>
        <v/>
      </c>
      <c r="AA182" s="525" t="n"/>
      <c r="AB182" s="525" t="n"/>
      <c r="AC182" s="525" t="n"/>
    </row>
    <row r="183">
      <c r="A183" s="465" t="n"/>
      <c r="B183" s="465" t="n"/>
      <c r="C183" s="465" t="n"/>
      <c r="D183" s="465" t="n"/>
      <c r="E183" s="465" t="n"/>
      <c r="F183" s="465" t="n"/>
      <c r="G183" s="465" t="n"/>
      <c r="H183" s="465" t="n"/>
      <c r="I183" s="465" t="n"/>
      <c r="J183" s="465" t="n"/>
      <c r="K183" s="465" t="n"/>
      <c r="L183" s="465" t="n"/>
      <c r="M183" s="465" t="n"/>
      <c r="N183" s="465" t="n"/>
      <c r="O183" s="522" t="n"/>
      <c r="P183" s="523" t="inlineStr">
        <is>
          <t>Итого</t>
        </is>
      </c>
      <c r="Q183" s="485" t="n"/>
      <c r="R183" s="485" t="n"/>
      <c r="S183" s="485" t="n"/>
      <c r="T183" s="485" t="n"/>
      <c r="U183" s="485" t="n"/>
      <c r="V183" s="486" t="n"/>
      <c r="W183" s="40" t="inlineStr">
        <is>
          <t>кг</t>
        </is>
      </c>
      <c r="X183" s="524">
        <f>IFERROR(SUMPRODUCT(X181:X181*H181:H181),"0")</f>
        <v/>
      </c>
      <c r="Y183" s="524">
        <f>IFERROR(SUMPRODUCT(Y181:Y181*H181:H181),"0")</f>
        <v/>
      </c>
      <c r="Z183" s="40" t="n"/>
      <c r="AA183" s="525" t="n"/>
      <c r="AB183" s="525" t="n"/>
      <c r="AC183" s="525" t="n"/>
    </row>
    <row r="184" ht="14.25" customHeight="1">
      <c r="A184" s="352" t="inlineStr">
        <is>
          <t>Снеки</t>
        </is>
      </c>
      <c r="B184" s="465" t="n"/>
      <c r="C184" s="465" t="n"/>
      <c r="D184" s="465" t="n"/>
      <c r="E184" s="465" t="n"/>
      <c r="F184" s="465" t="n"/>
      <c r="G184" s="465" t="n"/>
      <c r="H184" s="465" t="n"/>
      <c r="I184" s="465" t="n"/>
      <c r="J184" s="465" t="n"/>
      <c r="K184" s="465" t="n"/>
      <c r="L184" s="465" t="n"/>
      <c r="M184" s="465" t="n"/>
      <c r="N184" s="465" t="n"/>
      <c r="O184" s="465" t="n"/>
      <c r="P184" s="465" t="n"/>
      <c r="Q184" s="465" t="n"/>
      <c r="R184" s="465" t="n"/>
      <c r="S184" s="465" t="n"/>
      <c r="T184" s="465" t="n"/>
      <c r="U184" s="465" t="n"/>
      <c r="V184" s="465" t="n"/>
      <c r="W184" s="465" t="n"/>
      <c r="X184" s="465" t="n"/>
      <c r="Y184" s="465" t="n"/>
      <c r="Z184" s="465" t="n"/>
      <c r="AA184" s="352" t="n"/>
      <c r="AB184" s="352" t="n"/>
      <c r="AC184" s="352" t="n"/>
    </row>
    <row r="185" ht="27" customHeight="1">
      <c r="A185" s="60" t="inlineStr">
        <is>
          <t>SU003777</t>
        </is>
      </c>
      <c r="B185" s="60" t="inlineStr">
        <is>
          <t>P004822</t>
        </is>
      </c>
      <c r="C185" s="34" t="n">
        <v>4301135707</v>
      </c>
      <c r="D185" s="353" t="n">
        <v>4620207490198</v>
      </c>
      <c r="E185" s="477" t="n"/>
      <c r="F185" s="516" t="n">
        <v>0.2</v>
      </c>
      <c r="G185" s="35" t="n">
        <v>12</v>
      </c>
      <c r="H185" s="516" t="n">
        <v>2.4</v>
      </c>
      <c r="I185" s="516" t="n">
        <v>3.1036</v>
      </c>
      <c r="J185" s="35" t="n">
        <v>70</v>
      </c>
      <c r="K185" s="35" t="inlineStr">
        <is>
          <t>14</t>
        </is>
      </c>
      <c r="L185" s="35" t="inlineStr">
        <is>
          <t>Короб, мин. 1</t>
        </is>
      </c>
      <c r="M185" s="36" t="inlineStr">
        <is>
          <t>МГ</t>
        </is>
      </c>
      <c r="N185" s="36" t="n"/>
      <c r="O185" s="35" t="n">
        <v>180</v>
      </c>
      <c r="P185" s="580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/>
      </c>
      <c r="Q185" s="518" t="n"/>
      <c r="R185" s="518" t="n"/>
      <c r="S185" s="518" t="n"/>
      <c r="T185" s="519" t="n"/>
      <c r="U185" s="37" t="inlineStr"/>
      <c r="V185" s="37" t="inlineStr"/>
      <c r="W185" s="38" t="inlineStr">
        <is>
          <t>кор</t>
        </is>
      </c>
      <c r="X185" s="520" t="n">
        <v>0</v>
      </c>
      <c r="Y185" s="521">
        <f>IFERROR(IF(X185="","",X185),"")</f>
        <v/>
      </c>
      <c r="Z185" s="39">
        <f>IFERROR(IF(X185="","",X185*0.01788),"")</f>
        <v/>
      </c>
      <c r="AA185" s="65" t="inlineStr"/>
      <c r="AB185" s="66" t="inlineStr"/>
      <c r="AC185" s="194" t="inlineStr">
        <is>
          <t>ЕАЭС N RU Д-RU.РА08.В.93674/24</t>
        </is>
      </c>
      <c r="AG185" s="78" t="n"/>
      <c r="AJ185" s="82" t="inlineStr">
        <is>
          <t>Короб</t>
        </is>
      </c>
      <c r="AK185" s="82" t="n">
        <v>1</v>
      </c>
      <c r="BB185" s="195" t="inlineStr">
        <is>
          <t>ПГП</t>
        </is>
      </c>
      <c r="BM185" s="78">
        <f>IFERROR(X185*I185,"0")</f>
        <v/>
      </c>
      <c r="BN185" s="78">
        <f>IFERROR(Y185*I185,"0")</f>
        <v/>
      </c>
      <c r="BO185" s="78">
        <f>IFERROR(X185/J185,"0")</f>
        <v/>
      </c>
      <c r="BP185" s="78">
        <f>IFERROR(Y185/J185,"0")</f>
        <v/>
      </c>
    </row>
    <row r="186" ht="27" customHeight="1">
      <c r="A186" s="60" t="inlineStr">
        <is>
          <t>SU003721</t>
        </is>
      </c>
      <c r="B186" s="60" t="inlineStr">
        <is>
          <t>P004811</t>
        </is>
      </c>
      <c r="C186" s="34" t="n">
        <v>4301135696</v>
      </c>
      <c r="D186" s="353" t="n">
        <v>4620207490235</v>
      </c>
      <c r="E186" s="477" t="n"/>
      <c r="F186" s="516" t="n">
        <v>0.2</v>
      </c>
      <c r="G186" s="35" t="n">
        <v>12</v>
      </c>
      <c r="H186" s="516" t="n">
        <v>2.4</v>
      </c>
      <c r="I186" s="516" t="n">
        <v>3.1036</v>
      </c>
      <c r="J186" s="35" t="n">
        <v>70</v>
      </c>
      <c r="K186" s="35" t="inlineStr">
        <is>
          <t>14</t>
        </is>
      </c>
      <c r="L186" s="35" t="inlineStr">
        <is>
          <t>Короб, мин. 1</t>
        </is>
      </c>
      <c r="M186" s="36" t="inlineStr">
        <is>
          <t>МГ</t>
        </is>
      </c>
      <c r="N186" s="36" t="n"/>
      <c r="O186" s="35" t="n">
        <v>180</v>
      </c>
      <c r="P186" s="581">
        <f>HYPERLINK("https://abi.ru/products/Замороженные/Стародворье/Стародворье ПГП/Снеки/P004811/","Снеки «ЖАР-ладушки с мясом» Фикс.вес 0,2 ТМ «Стародворье»")</f>
        <v/>
      </c>
      <c r="Q186" s="518" t="n"/>
      <c r="R186" s="518" t="n"/>
      <c r="S186" s="518" t="n"/>
      <c r="T186" s="519" t="n"/>
      <c r="U186" s="37" t="inlineStr"/>
      <c r="V186" s="37" t="inlineStr"/>
      <c r="W186" s="38" t="inlineStr">
        <is>
          <t>кор</t>
        </is>
      </c>
      <c r="X186" s="520" t="n">
        <v>0</v>
      </c>
      <c r="Y186" s="521">
        <f>IFERROR(IF(X186="","",X186),"")</f>
        <v/>
      </c>
      <c r="Z186" s="39">
        <f>IFERROR(IF(X186="","",X186*0.01788),"")</f>
        <v/>
      </c>
      <c r="AA186" s="65" t="inlineStr"/>
      <c r="AB186" s="66" t="inlineStr"/>
      <c r="AC186" s="196" t="inlineStr">
        <is>
          <t>ЕАЭС N RU Д-RU.РА09.В.00509/24</t>
        </is>
      </c>
      <c r="AG186" s="78" t="n"/>
      <c r="AJ186" s="82" t="inlineStr">
        <is>
          <t>Короб</t>
        </is>
      </c>
      <c r="AK186" s="82" t="n">
        <v>1</v>
      </c>
      <c r="BB186" s="197" t="inlineStr">
        <is>
          <t>ПГП</t>
        </is>
      </c>
      <c r="BM186" s="78">
        <f>IFERROR(X186*I186,"0")</f>
        <v/>
      </c>
      <c r="BN186" s="78">
        <f>IFERROR(Y186*I186,"0")</f>
        <v/>
      </c>
      <c r="BO186" s="78">
        <f>IFERROR(X186/J186,"0")</f>
        <v/>
      </c>
      <c r="BP186" s="78">
        <f>IFERROR(Y186/J186,"0")</f>
        <v/>
      </c>
    </row>
    <row r="187" ht="27" customHeight="1">
      <c r="A187" s="60" t="inlineStr">
        <is>
          <t>SU003722</t>
        </is>
      </c>
      <c r="B187" s="60" t="inlineStr">
        <is>
          <t>P004812</t>
        </is>
      </c>
      <c r="C187" s="34" t="n">
        <v>4301135697</v>
      </c>
      <c r="D187" s="353" t="n">
        <v>4620207490259</v>
      </c>
      <c r="E187" s="477" t="n"/>
      <c r="F187" s="516" t="n">
        <v>0.2</v>
      </c>
      <c r="G187" s="35" t="n">
        <v>12</v>
      </c>
      <c r="H187" s="516" t="n">
        <v>2.4</v>
      </c>
      <c r="I187" s="516" t="n">
        <v>3.1036</v>
      </c>
      <c r="J187" s="35" t="n">
        <v>70</v>
      </c>
      <c r="K187" s="35" t="inlineStr">
        <is>
          <t>14</t>
        </is>
      </c>
      <c r="L187" s="35" t="inlineStr">
        <is>
          <t>Короб, мин. 1</t>
        </is>
      </c>
      <c r="M187" s="36" t="inlineStr">
        <is>
          <t>МГ</t>
        </is>
      </c>
      <c r="N187" s="36" t="n"/>
      <c r="O187" s="35" t="n">
        <v>180</v>
      </c>
      <c r="P187" s="582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/>
      </c>
      <c r="Q187" s="518" t="n"/>
      <c r="R187" s="518" t="n"/>
      <c r="S187" s="518" t="n"/>
      <c r="T187" s="519" t="n"/>
      <c r="U187" s="37" t="inlineStr"/>
      <c r="V187" s="37" t="inlineStr"/>
      <c r="W187" s="38" t="inlineStr">
        <is>
          <t>кор</t>
        </is>
      </c>
      <c r="X187" s="520" t="n">
        <v>0</v>
      </c>
      <c r="Y187" s="521">
        <f>IFERROR(IF(X187="","",X187),"")</f>
        <v/>
      </c>
      <c r="Z187" s="39">
        <f>IFERROR(IF(X187="","",X187*0.01788),"")</f>
        <v/>
      </c>
      <c r="AA187" s="65" t="inlineStr"/>
      <c r="AB187" s="66" t="inlineStr"/>
      <c r="AC187" s="198" t="inlineStr">
        <is>
          <t>ЕАЭС N RU Д-RU.РА08.В.93674/24</t>
        </is>
      </c>
      <c r="AG187" s="78" t="n"/>
      <c r="AJ187" s="82" t="inlineStr">
        <is>
          <t>Короб</t>
        </is>
      </c>
      <c r="AK187" s="82" t="n">
        <v>1</v>
      </c>
      <c r="BB187" s="199" t="inlineStr">
        <is>
          <t>ПГП</t>
        </is>
      </c>
      <c r="BM187" s="78">
        <f>IFERROR(X187*I187,"0")</f>
        <v/>
      </c>
      <c r="BN187" s="78">
        <f>IFERROR(Y187*I187,"0")</f>
        <v/>
      </c>
      <c r="BO187" s="78">
        <f>IFERROR(X187/J187,"0")</f>
        <v/>
      </c>
      <c r="BP187" s="78">
        <f>IFERROR(Y187/J187,"0")</f>
        <v/>
      </c>
    </row>
    <row r="188" ht="27" customHeight="1">
      <c r="A188" s="60" t="inlineStr">
        <is>
          <t>SU003712</t>
        </is>
      </c>
      <c r="B188" s="60" t="inlineStr">
        <is>
          <t>P004785</t>
        </is>
      </c>
      <c r="C188" s="34" t="n">
        <v>4301135681</v>
      </c>
      <c r="D188" s="353" t="n">
        <v>4620207490143</v>
      </c>
      <c r="E188" s="477" t="n"/>
      <c r="F188" s="516" t="n">
        <v>0.22</v>
      </c>
      <c r="G188" s="35" t="n">
        <v>12</v>
      </c>
      <c r="H188" s="516" t="n">
        <v>2.64</v>
      </c>
      <c r="I188" s="516" t="n">
        <v>3.3436</v>
      </c>
      <c r="J188" s="35" t="n">
        <v>70</v>
      </c>
      <c r="K188" s="35" t="inlineStr">
        <is>
          <t>14</t>
        </is>
      </c>
      <c r="L188" s="35" t="inlineStr">
        <is>
          <t>Короб, мин. 1</t>
        </is>
      </c>
      <c r="M188" s="36" t="inlineStr">
        <is>
          <t>МГ</t>
        </is>
      </c>
      <c r="N188" s="36" t="n"/>
      <c r="O188" s="35" t="n">
        <v>180</v>
      </c>
      <c r="P188" s="583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/>
      </c>
      <c r="Q188" s="518" t="n"/>
      <c r="R188" s="518" t="n"/>
      <c r="S188" s="518" t="n"/>
      <c r="T188" s="519" t="n"/>
      <c r="U188" s="37" t="inlineStr"/>
      <c r="V188" s="37" t="inlineStr"/>
      <c r="W188" s="38" t="inlineStr">
        <is>
          <t>кор</t>
        </is>
      </c>
      <c r="X188" s="520" t="n">
        <v>0</v>
      </c>
      <c r="Y188" s="521">
        <f>IFERROR(IF(X188="","",X188),"")</f>
        <v/>
      </c>
      <c r="Z188" s="39">
        <f>IFERROR(IF(X188="","",X188*0.01788),"")</f>
        <v/>
      </c>
      <c r="AA188" s="65" t="inlineStr"/>
      <c r="AB188" s="66" t="inlineStr"/>
      <c r="AC188" s="200" t="inlineStr">
        <is>
          <t>ЕАЭС N RU Д-RU.РА08.В.66172/24</t>
        </is>
      </c>
      <c r="AG188" s="78" t="n"/>
      <c r="AJ188" s="82" t="inlineStr">
        <is>
          <t>Короб</t>
        </is>
      </c>
      <c r="AK188" s="82" t="n">
        <v>1</v>
      </c>
      <c r="BB188" s="201" t="inlineStr">
        <is>
          <t>ПГП</t>
        </is>
      </c>
      <c r="BM188" s="78">
        <f>IFERROR(X188*I188,"0")</f>
        <v/>
      </c>
      <c r="BN188" s="78">
        <f>IFERROR(Y188*I188,"0")</f>
        <v/>
      </c>
      <c r="BO188" s="78">
        <f>IFERROR(X188/J188,"0")</f>
        <v/>
      </c>
      <c r="BP188" s="78">
        <f>IFERROR(Y188/J188,"0")</f>
        <v/>
      </c>
    </row>
    <row r="189">
      <c r="A189" s="361" t="n"/>
      <c r="B189" s="465" t="n"/>
      <c r="C189" s="465" t="n"/>
      <c r="D189" s="465" t="n"/>
      <c r="E189" s="465" t="n"/>
      <c r="F189" s="465" t="n"/>
      <c r="G189" s="465" t="n"/>
      <c r="H189" s="465" t="n"/>
      <c r="I189" s="465" t="n"/>
      <c r="J189" s="465" t="n"/>
      <c r="K189" s="465" t="n"/>
      <c r="L189" s="465" t="n"/>
      <c r="M189" s="465" t="n"/>
      <c r="N189" s="465" t="n"/>
      <c r="O189" s="522" t="n"/>
      <c r="P189" s="523" t="inlineStr">
        <is>
          <t>Итого</t>
        </is>
      </c>
      <c r="Q189" s="485" t="n"/>
      <c r="R189" s="485" t="n"/>
      <c r="S189" s="485" t="n"/>
      <c r="T189" s="485" t="n"/>
      <c r="U189" s="485" t="n"/>
      <c r="V189" s="486" t="n"/>
      <c r="W189" s="40" t="inlineStr">
        <is>
          <t>кор</t>
        </is>
      </c>
      <c r="X189" s="524">
        <f>IFERROR(SUM(X185:X188),"0")</f>
        <v/>
      </c>
      <c r="Y189" s="524">
        <f>IFERROR(SUM(Y185:Y188),"0")</f>
        <v/>
      </c>
      <c r="Z189" s="524">
        <f>IFERROR(IF(Z185="",0,Z185),"0")+IFERROR(IF(Z186="",0,Z186),"0")+IFERROR(IF(Z187="",0,Z187),"0")+IFERROR(IF(Z188="",0,Z188),"0")</f>
        <v/>
      </c>
      <c r="AA189" s="525" t="n"/>
      <c r="AB189" s="525" t="n"/>
      <c r="AC189" s="525" t="n"/>
    </row>
    <row r="190">
      <c r="A190" s="465" t="n"/>
      <c r="B190" s="465" t="n"/>
      <c r="C190" s="465" t="n"/>
      <c r="D190" s="465" t="n"/>
      <c r="E190" s="465" t="n"/>
      <c r="F190" s="465" t="n"/>
      <c r="G190" s="465" t="n"/>
      <c r="H190" s="465" t="n"/>
      <c r="I190" s="465" t="n"/>
      <c r="J190" s="465" t="n"/>
      <c r="K190" s="465" t="n"/>
      <c r="L190" s="465" t="n"/>
      <c r="M190" s="465" t="n"/>
      <c r="N190" s="465" t="n"/>
      <c r="O190" s="522" t="n"/>
      <c r="P190" s="523" t="inlineStr">
        <is>
          <t>Итого</t>
        </is>
      </c>
      <c r="Q190" s="485" t="n"/>
      <c r="R190" s="485" t="n"/>
      <c r="S190" s="485" t="n"/>
      <c r="T190" s="485" t="n"/>
      <c r="U190" s="485" t="n"/>
      <c r="V190" s="486" t="n"/>
      <c r="W190" s="40" t="inlineStr">
        <is>
          <t>кг</t>
        </is>
      </c>
      <c r="X190" s="524">
        <f>IFERROR(SUMPRODUCT(X185:X188*H185:H188),"0")</f>
        <v/>
      </c>
      <c r="Y190" s="524">
        <f>IFERROR(SUMPRODUCT(Y185:Y188*H185:H188),"0")</f>
        <v/>
      </c>
      <c r="Z190" s="40" t="n"/>
      <c r="AA190" s="525" t="n"/>
      <c r="AB190" s="525" t="n"/>
      <c r="AC190" s="525" t="n"/>
    </row>
    <row r="191" ht="16.5" customHeight="1">
      <c r="A191" s="351" t="inlineStr">
        <is>
          <t>Медвежьи ушки</t>
        </is>
      </c>
      <c r="B191" s="465" t="n"/>
      <c r="C191" s="465" t="n"/>
      <c r="D191" s="465" t="n"/>
      <c r="E191" s="465" t="n"/>
      <c r="F191" s="465" t="n"/>
      <c r="G191" s="465" t="n"/>
      <c r="H191" s="465" t="n"/>
      <c r="I191" s="465" t="n"/>
      <c r="J191" s="465" t="n"/>
      <c r="K191" s="465" t="n"/>
      <c r="L191" s="465" t="n"/>
      <c r="M191" s="465" t="n"/>
      <c r="N191" s="465" t="n"/>
      <c r="O191" s="465" t="n"/>
      <c r="P191" s="465" t="n"/>
      <c r="Q191" s="465" t="n"/>
      <c r="R191" s="465" t="n"/>
      <c r="S191" s="465" t="n"/>
      <c r="T191" s="465" t="n"/>
      <c r="U191" s="465" t="n"/>
      <c r="V191" s="465" t="n"/>
      <c r="W191" s="465" t="n"/>
      <c r="X191" s="465" t="n"/>
      <c r="Y191" s="465" t="n"/>
      <c r="Z191" s="465" t="n"/>
      <c r="AA191" s="351" t="n"/>
      <c r="AB191" s="351" t="n"/>
      <c r="AC191" s="351" t="n"/>
    </row>
    <row r="192" ht="14.25" customHeight="1">
      <c r="A192" s="352" t="inlineStr">
        <is>
          <t>Пельмени</t>
        </is>
      </c>
      <c r="B192" s="465" t="n"/>
      <c r="C192" s="465" t="n"/>
      <c r="D192" s="465" t="n"/>
      <c r="E192" s="465" t="n"/>
      <c r="F192" s="465" t="n"/>
      <c r="G192" s="465" t="n"/>
      <c r="H192" s="465" t="n"/>
      <c r="I192" s="465" t="n"/>
      <c r="J192" s="465" t="n"/>
      <c r="K192" s="465" t="n"/>
      <c r="L192" s="465" t="n"/>
      <c r="M192" s="465" t="n"/>
      <c r="N192" s="465" t="n"/>
      <c r="O192" s="465" t="n"/>
      <c r="P192" s="465" t="n"/>
      <c r="Q192" s="465" t="n"/>
      <c r="R192" s="465" t="n"/>
      <c r="S192" s="465" t="n"/>
      <c r="T192" s="465" t="n"/>
      <c r="U192" s="465" t="n"/>
      <c r="V192" s="465" t="n"/>
      <c r="W192" s="465" t="n"/>
      <c r="X192" s="465" t="n"/>
      <c r="Y192" s="465" t="n"/>
      <c r="Z192" s="465" t="n"/>
      <c r="AA192" s="352" t="n"/>
      <c r="AB192" s="352" t="n"/>
      <c r="AC192" s="352" t="n"/>
    </row>
    <row r="193" ht="27" customHeight="1">
      <c r="A193" s="60" t="inlineStr">
        <is>
          <t>SU003260</t>
        </is>
      </c>
      <c r="B193" s="60" t="inlineStr">
        <is>
          <t>P003918</t>
        </is>
      </c>
      <c r="C193" s="34" t="n">
        <v>4301070996</v>
      </c>
      <c r="D193" s="353" t="n">
        <v>4607111038654</v>
      </c>
      <c r="E193" s="477" t="n"/>
      <c r="F193" s="516" t="n">
        <v>0.4</v>
      </c>
      <c r="G193" s="35" t="n">
        <v>16</v>
      </c>
      <c r="H193" s="516" t="n">
        <v>6.4</v>
      </c>
      <c r="I193" s="516" t="n">
        <v>6.63</v>
      </c>
      <c r="J193" s="35" t="n">
        <v>84</v>
      </c>
      <c r="K193" s="35" t="inlineStr">
        <is>
          <t>12</t>
        </is>
      </c>
      <c r="L193" s="35" t="inlineStr">
        <is>
          <t>Слой, мин. 1</t>
        </is>
      </c>
      <c r="M193" s="36" t="inlineStr">
        <is>
          <t>МГ</t>
        </is>
      </c>
      <c r="N193" s="36" t="n"/>
      <c r="O193" s="35" t="n">
        <v>180</v>
      </c>
      <c r="P193" s="584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/>
      </c>
      <c r="Q193" s="518" t="n"/>
      <c r="R193" s="518" t="n"/>
      <c r="S193" s="518" t="n"/>
      <c r="T193" s="519" t="n"/>
      <c r="U193" s="37" t="inlineStr"/>
      <c r="V193" s="37" t="inlineStr"/>
      <c r="W193" s="38" t="inlineStr">
        <is>
          <t>кор</t>
        </is>
      </c>
      <c r="X193" s="520" t="n">
        <v>0</v>
      </c>
      <c r="Y193" s="521">
        <f>IFERROR(IF(X193="","",X193),"")</f>
        <v/>
      </c>
      <c r="Z193" s="39">
        <f>IFERROR(IF(X193="","",X193*0.0155),"")</f>
        <v/>
      </c>
      <c r="AA193" s="65" t="inlineStr"/>
      <c r="AB193" s="66" t="inlineStr"/>
      <c r="AC193" s="202" t="inlineStr">
        <is>
          <t>ЕАЭС N RU Д-RU.РА10.В.37060/23</t>
        </is>
      </c>
      <c r="AG193" s="78" t="n"/>
      <c r="AJ193" s="82" t="inlineStr">
        <is>
          <t>Слой</t>
        </is>
      </c>
      <c r="AK193" s="82" t="n">
        <v>12</v>
      </c>
      <c r="BB193" s="203" t="inlineStr">
        <is>
          <t>ЗПФ</t>
        </is>
      </c>
      <c r="BM193" s="78">
        <f>IFERROR(X193*I193,"0")</f>
        <v/>
      </c>
      <c r="BN193" s="78">
        <f>IFERROR(Y193*I193,"0")</f>
        <v/>
      </c>
      <c r="BO193" s="78">
        <f>IFERROR(X193/J193,"0")</f>
        <v/>
      </c>
      <c r="BP193" s="78">
        <f>IFERROR(Y193/J193,"0")</f>
        <v/>
      </c>
    </row>
    <row r="194" ht="27" customHeight="1">
      <c r="A194" s="60" t="inlineStr">
        <is>
          <t>SU003259</t>
        </is>
      </c>
      <c r="B194" s="60" t="inlineStr">
        <is>
          <t>P003920</t>
        </is>
      </c>
      <c r="C194" s="34" t="n">
        <v>4301070997</v>
      </c>
      <c r="D194" s="353" t="n">
        <v>4607111038586</v>
      </c>
      <c r="E194" s="477" t="n"/>
      <c r="F194" s="516" t="n">
        <v>0.7</v>
      </c>
      <c r="G194" s="35" t="n">
        <v>8</v>
      </c>
      <c r="H194" s="516" t="n">
        <v>5.6</v>
      </c>
      <c r="I194" s="516" t="n">
        <v>5.83</v>
      </c>
      <c r="J194" s="35" t="n">
        <v>84</v>
      </c>
      <c r="K194" s="35" t="inlineStr">
        <is>
          <t>12</t>
        </is>
      </c>
      <c r="L194" s="35" t="inlineStr">
        <is>
          <t>Слой, мин. 1</t>
        </is>
      </c>
      <c r="M194" s="36" t="inlineStr">
        <is>
          <t>МГ</t>
        </is>
      </c>
      <c r="N194" s="36" t="n"/>
      <c r="O194" s="35" t="n">
        <v>180</v>
      </c>
      <c r="P194" s="585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/>
      </c>
      <c r="Q194" s="518" t="n"/>
      <c r="R194" s="518" t="n"/>
      <c r="S194" s="518" t="n"/>
      <c r="T194" s="519" t="n"/>
      <c r="U194" s="37" t="inlineStr"/>
      <c r="V194" s="37" t="inlineStr"/>
      <c r="W194" s="38" t="inlineStr">
        <is>
          <t>кор</t>
        </is>
      </c>
      <c r="X194" s="520" t="n">
        <v>0</v>
      </c>
      <c r="Y194" s="521">
        <f>IFERROR(IF(X194="","",X194),"")</f>
        <v/>
      </c>
      <c r="Z194" s="39">
        <f>IFERROR(IF(X194="","",X194*0.0155),"")</f>
        <v/>
      </c>
      <c r="AA194" s="65" t="inlineStr"/>
      <c r="AB194" s="66" t="inlineStr"/>
      <c r="AC194" s="204" t="inlineStr">
        <is>
          <t>ЕАЭС N RU Д-RU.РА10.В.37060/23</t>
        </is>
      </c>
      <c r="AG194" s="78" t="n"/>
      <c r="AJ194" s="82" t="inlineStr">
        <is>
          <t>Слой</t>
        </is>
      </c>
      <c r="AK194" s="82" t="n">
        <v>12</v>
      </c>
      <c r="BB194" s="205" t="inlineStr">
        <is>
          <t>ЗПФ</t>
        </is>
      </c>
      <c r="BM194" s="78">
        <f>IFERROR(X194*I194,"0")</f>
        <v/>
      </c>
      <c r="BN194" s="78">
        <f>IFERROR(Y194*I194,"0")</f>
        <v/>
      </c>
      <c r="BO194" s="78">
        <f>IFERROR(X194/J194,"0")</f>
        <v/>
      </c>
      <c r="BP194" s="78">
        <f>IFERROR(Y194/J194,"0")</f>
        <v/>
      </c>
    </row>
    <row r="195" ht="27" customHeight="1">
      <c r="A195" s="60" t="inlineStr">
        <is>
          <t>SU003064</t>
        </is>
      </c>
      <c r="B195" s="60" t="inlineStr">
        <is>
          <t>P003639</t>
        </is>
      </c>
      <c r="C195" s="34" t="n">
        <v>4301070962</v>
      </c>
      <c r="D195" s="353" t="n">
        <v>4607111038609</v>
      </c>
      <c r="E195" s="477" t="n"/>
      <c r="F195" s="516" t="n">
        <v>0.4</v>
      </c>
      <c r="G195" s="35" t="n">
        <v>16</v>
      </c>
      <c r="H195" s="516" t="n">
        <v>6.4</v>
      </c>
      <c r="I195" s="516" t="n">
        <v>6.71</v>
      </c>
      <c r="J195" s="35" t="n">
        <v>84</v>
      </c>
      <c r="K195" s="35" t="inlineStr">
        <is>
          <t>12</t>
        </is>
      </c>
      <c r="L195" s="35" t="inlineStr">
        <is>
          <t>Слой, мин. 1</t>
        </is>
      </c>
      <c r="M195" s="36" t="inlineStr">
        <is>
          <t>МГ</t>
        </is>
      </c>
      <c r="N195" s="36" t="n"/>
      <c r="O195" s="35" t="n">
        <v>180</v>
      </c>
      <c r="P195" s="586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/>
      </c>
      <c r="Q195" s="518" t="n"/>
      <c r="R195" s="518" t="n"/>
      <c r="S195" s="518" t="n"/>
      <c r="T195" s="519" t="n"/>
      <c r="U195" s="37" t="inlineStr"/>
      <c r="V195" s="37" t="inlineStr"/>
      <c r="W195" s="38" t="inlineStr">
        <is>
          <t>кор</t>
        </is>
      </c>
      <c r="X195" s="520" t="n">
        <v>0</v>
      </c>
      <c r="Y195" s="521">
        <f>IFERROR(IF(X195="","",X195),"")</f>
        <v/>
      </c>
      <c r="Z195" s="39">
        <f>IFERROR(IF(X195="","",X195*0.0155),"")</f>
        <v/>
      </c>
      <c r="AA195" s="65" t="inlineStr"/>
      <c r="AB195" s="66" t="inlineStr"/>
      <c r="AC195" s="206" t="inlineStr">
        <is>
          <t>ЕАЭС N RU Д-RU.РА02.В.30885/24</t>
        </is>
      </c>
      <c r="AG195" s="78" t="n"/>
      <c r="AJ195" s="82" t="inlineStr">
        <is>
          <t>Слой</t>
        </is>
      </c>
      <c r="AK195" s="82" t="n">
        <v>12</v>
      </c>
      <c r="BB195" s="207" t="inlineStr">
        <is>
          <t>ЗПФ</t>
        </is>
      </c>
      <c r="BM195" s="78">
        <f>IFERROR(X195*I195,"0")</f>
        <v/>
      </c>
      <c r="BN195" s="78">
        <f>IFERROR(Y195*I195,"0")</f>
        <v/>
      </c>
      <c r="BO195" s="78">
        <f>IFERROR(X195/J195,"0")</f>
        <v/>
      </c>
      <c r="BP195" s="78">
        <f>IFERROR(Y195/J195,"0")</f>
        <v/>
      </c>
    </row>
    <row r="196" ht="27" customHeight="1">
      <c r="A196" s="60" t="inlineStr">
        <is>
          <t>SU003065</t>
        </is>
      </c>
      <c r="B196" s="60" t="inlineStr">
        <is>
          <t>P003641</t>
        </is>
      </c>
      <c r="C196" s="34" t="n">
        <v>4301070963</v>
      </c>
      <c r="D196" s="353" t="n">
        <v>4607111038630</v>
      </c>
      <c r="E196" s="477" t="n"/>
      <c r="F196" s="516" t="n">
        <v>0.7</v>
      </c>
      <c r="G196" s="35" t="n">
        <v>8</v>
      </c>
      <c r="H196" s="516" t="n">
        <v>5.6</v>
      </c>
      <c r="I196" s="516" t="n">
        <v>5.87</v>
      </c>
      <c r="J196" s="35" t="n">
        <v>84</v>
      </c>
      <c r="K196" s="35" t="inlineStr">
        <is>
          <t>12</t>
        </is>
      </c>
      <c r="L196" s="35" t="inlineStr">
        <is>
          <t>Короб, мин. 1</t>
        </is>
      </c>
      <c r="M196" s="36" t="inlineStr">
        <is>
          <t>МГ</t>
        </is>
      </c>
      <c r="N196" s="36" t="n"/>
      <c r="O196" s="35" t="n">
        <v>180</v>
      </c>
      <c r="P196" s="587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/>
      </c>
      <c r="Q196" s="518" t="n"/>
      <c r="R196" s="518" t="n"/>
      <c r="S196" s="518" t="n"/>
      <c r="T196" s="519" t="n"/>
      <c r="U196" s="37" t="inlineStr"/>
      <c r="V196" s="37" t="inlineStr"/>
      <c r="W196" s="38" t="inlineStr">
        <is>
          <t>кор</t>
        </is>
      </c>
      <c r="X196" s="520" t="n">
        <v>0</v>
      </c>
      <c r="Y196" s="521">
        <f>IFERROR(IF(X196="","",X196),"")</f>
        <v/>
      </c>
      <c r="Z196" s="39">
        <f>IFERROR(IF(X196="","",X196*0.0155),"")</f>
        <v/>
      </c>
      <c r="AA196" s="65" t="inlineStr"/>
      <c r="AB196" s="66" t="inlineStr"/>
      <c r="AC196" s="208" t="inlineStr">
        <is>
          <t>ЕАЭС N RU Д-RU.РА02.В.30885/24</t>
        </is>
      </c>
      <c r="AG196" s="78" t="n"/>
      <c r="AJ196" s="82" t="inlineStr">
        <is>
          <t>Короб</t>
        </is>
      </c>
      <c r="AK196" s="82" t="n">
        <v>1</v>
      </c>
      <c r="BB196" s="209" t="inlineStr">
        <is>
          <t>ЗПФ</t>
        </is>
      </c>
      <c r="BM196" s="78">
        <f>IFERROR(X196*I196,"0")</f>
        <v/>
      </c>
      <c r="BN196" s="78">
        <f>IFERROR(Y196*I196,"0")</f>
        <v/>
      </c>
      <c r="BO196" s="78">
        <f>IFERROR(X196/J196,"0")</f>
        <v/>
      </c>
      <c r="BP196" s="78">
        <f>IFERROR(Y196/J196,"0")</f>
        <v/>
      </c>
    </row>
    <row r="197">
      <c r="A197" s="361" t="n"/>
      <c r="B197" s="465" t="n"/>
      <c r="C197" s="465" t="n"/>
      <c r="D197" s="465" t="n"/>
      <c r="E197" s="465" t="n"/>
      <c r="F197" s="465" t="n"/>
      <c r="G197" s="465" t="n"/>
      <c r="H197" s="465" t="n"/>
      <c r="I197" s="465" t="n"/>
      <c r="J197" s="465" t="n"/>
      <c r="K197" s="465" t="n"/>
      <c r="L197" s="465" t="n"/>
      <c r="M197" s="465" t="n"/>
      <c r="N197" s="465" t="n"/>
      <c r="O197" s="522" t="n"/>
      <c r="P197" s="523" t="inlineStr">
        <is>
          <t>Итого</t>
        </is>
      </c>
      <c r="Q197" s="485" t="n"/>
      <c r="R197" s="485" t="n"/>
      <c r="S197" s="485" t="n"/>
      <c r="T197" s="485" t="n"/>
      <c r="U197" s="485" t="n"/>
      <c r="V197" s="486" t="n"/>
      <c r="W197" s="40" t="inlineStr">
        <is>
          <t>кор</t>
        </is>
      </c>
      <c r="X197" s="524">
        <f>IFERROR(SUM(X193:X196),"0")</f>
        <v/>
      </c>
      <c r="Y197" s="524">
        <f>IFERROR(SUM(Y193:Y196),"0")</f>
        <v/>
      </c>
      <c r="Z197" s="524">
        <f>IFERROR(IF(Z193="",0,Z193),"0")+IFERROR(IF(Z194="",0,Z194),"0")+IFERROR(IF(Z195="",0,Z195),"0")+IFERROR(IF(Z196="",0,Z196),"0")</f>
        <v/>
      </c>
      <c r="AA197" s="525" t="n"/>
      <c r="AB197" s="525" t="n"/>
      <c r="AC197" s="525" t="n"/>
    </row>
    <row r="198">
      <c r="A198" s="465" t="n"/>
      <c r="B198" s="465" t="n"/>
      <c r="C198" s="465" t="n"/>
      <c r="D198" s="465" t="n"/>
      <c r="E198" s="465" t="n"/>
      <c r="F198" s="465" t="n"/>
      <c r="G198" s="465" t="n"/>
      <c r="H198" s="465" t="n"/>
      <c r="I198" s="465" t="n"/>
      <c r="J198" s="465" t="n"/>
      <c r="K198" s="465" t="n"/>
      <c r="L198" s="465" t="n"/>
      <c r="M198" s="465" t="n"/>
      <c r="N198" s="465" t="n"/>
      <c r="O198" s="522" t="n"/>
      <c r="P198" s="523" t="inlineStr">
        <is>
          <t>Итого</t>
        </is>
      </c>
      <c r="Q198" s="485" t="n"/>
      <c r="R198" s="485" t="n"/>
      <c r="S198" s="485" t="n"/>
      <c r="T198" s="485" t="n"/>
      <c r="U198" s="485" t="n"/>
      <c r="V198" s="486" t="n"/>
      <c r="W198" s="40" t="inlineStr">
        <is>
          <t>кг</t>
        </is>
      </c>
      <c r="X198" s="524">
        <f>IFERROR(SUMPRODUCT(X193:X196*H193:H196),"0")</f>
        <v/>
      </c>
      <c r="Y198" s="524">
        <f>IFERROR(SUMPRODUCT(Y193:Y196*H193:H196),"0")</f>
        <v/>
      </c>
      <c r="Z198" s="40" t="n"/>
      <c r="AA198" s="525" t="n"/>
      <c r="AB198" s="525" t="n"/>
      <c r="AC198" s="525" t="n"/>
    </row>
    <row r="199" ht="16.5" customHeight="1">
      <c r="A199" s="351" t="inlineStr">
        <is>
          <t>Медвежье ушко</t>
        </is>
      </c>
      <c r="B199" s="465" t="n"/>
      <c r="C199" s="465" t="n"/>
      <c r="D199" s="465" t="n"/>
      <c r="E199" s="465" t="n"/>
      <c r="F199" s="465" t="n"/>
      <c r="G199" s="465" t="n"/>
      <c r="H199" s="465" t="n"/>
      <c r="I199" s="465" t="n"/>
      <c r="J199" s="465" t="n"/>
      <c r="K199" s="465" t="n"/>
      <c r="L199" s="465" t="n"/>
      <c r="M199" s="465" t="n"/>
      <c r="N199" s="465" t="n"/>
      <c r="O199" s="465" t="n"/>
      <c r="P199" s="465" t="n"/>
      <c r="Q199" s="465" t="n"/>
      <c r="R199" s="465" t="n"/>
      <c r="S199" s="465" t="n"/>
      <c r="T199" s="465" t="n"/>
      <c r="U199" s="465" t="n"/>
      <c r="V199" s="465" t="n"/>
      <c r="W199" s="465" t="n"/>
      <c r="X199" s="465" t="n"/>
      <c r="Y199" s="465" t="n"/>
      <c r="Z199" s="465" t="n"/>
      <c r="AA199" s="351" t="n"/>
      <c r="AB199" s="351" t="n"/>
      <c r="AC199" s="351" t="n"/>
    </row>
    <row r="200" ht="14.25" customHeight="1">
      <c r="A200" s="352" t="inlineStr">
        <is>
          <t>Пельмени</t>
        </is>
      </c>
      <c r="B200" s="465" t="n"/>
      <c r="C200" s="465" t="n"/>
      <c r="D200" s="465" t="n"/>
      <c r="E200" s="465" t="n"/>
      <c r="F200" s="465" t="n"/>
      <c r="G200" s="465" t="n"/>
      <c r="H200" s="465" t="n"/>
      <c r="I200" s="465" t="n"/>
      <c r="J200" s="465" t="n"/>
      <c r="K200" s="465" t="n"/>
      <c r="L200" s="465" t="n"/>
      <c r="M200" s="465" t="n"/>
      <c r="N200" s="465" t="n"/>
      <c r="O200" s="465" t="n"/>
      <c r="P200" s="465" t="n"/>
      <c r="Q200" s="465" t="n"/>
      <c r="R200" s="465" t="n"/>
      <c r="S200" s="465" t="n"/>
      <c r="T200" s="465" t="n"/>
      <c r="U200" s="465" t="n"/>
      <c r="V200" s="465" t="n"/>
      <c r="W200" s="465" t="n"/>
      <c r="X200" s="465" t="n"/>
      <c r="Y200" s="465" t="n"/>
      <c r="Z200" s="465" t="n"/>
      <c r="AA200" s="352" t="n"/>
      <c r="AB200" s="352" t="n"/>
      <c r="AC200" s="352" t="n"/>
    </row>
    <row r="201" ht="27" customHeight="1">
      <c r="A201" s="60" t="inlineStr">
        <is>
          <t>SU002069</t>
        </is>
      </c>
      <c r="B201" s="60" t="inlineStr">
        <is>
          <t>P003001</t>
        </is>
      </c>
      <c r="C201" s="34" t="n">
        <v>4301070917</v>
      </c>
      <c r="D201" s="353" t="n">
        <v>4607111035912</v>
      </c>
      <c r="E201" s="477" t="n"/>
      <c r="F201" s="516" t="n">
        <v>0.43</v>
      </c>
      <c r="G201" s="35" t="n">
        <v>16</v>
      </c>
      <c r="H201" s="516" t="n">
        <v>6.88</v>
      </c>
      <c r="I201" s="516" t="n">
        <v>7.19</v>
      </c>
      <c r="J201" s="35" t="n">
        <v>84</v>
      </c>
      <c r="K201" s="35" t="inlineStr">
        <is>
          <t>12</t>
        </is>
      </c>
      <c r="L201" s="35" t="inlineStr">
        <is>
          <t>Короб, мин. 1</t>
        </is>
      </c>
      <c r="M201" s="36" t="inlineStr">
        <is>
          <t>МГ</t>
        </is>
      </c>
      <c r="N201" s="36" t="n"/>
      <c r="O201" s="35" t="n">
        <v>180</v>
      </c>
      <c r="P201" s="588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Q201" s="518" t="n"/>
      <c r="R201" s="518" t="n"/>
      <c r="S201" s="518" t="n"/>
      <c r="T201" s="519" t="n"/>
      <c r="U201" s="37" t="inlineStr"/>
      <c r="V201" s="37" t="inlineStr"/>
      <c r="W201" s="38" t="inlineStr">
        <is>
          <t>кор</t>
        </is>
      </c>
      <c r="X201" s="520" t="n">
        <v>0</v>
      </c>
      <c r="Y201" s="521">
        <f>IFERROR(IF(X201="","",X201),"")</f>
        <v/>
      </c>
      <c r="Z201" s="39">
        <f>IFERROR(IF(X201="","",X201*0.0155),"")</f>
        <v/>
      </c>
      <c r="AA201" s="65" t="inlineStr"/>
      <c r="AB201" s="66" t="inlineStr"/>
      <c r="AC201" s="210" t="inlineStr">
        <is>
          <t>ЕАЭС N RU Д-RU.PA01.B.06796/21</t>
        </is>
      </c>
      <c r="AG201" s="78" t="n"/>
      <c r="AJ201" s="82" t="inlineStr">
        <is>
          <t>Короб</t>
        </is>
      </c>
      <c r="AK201" s="82" t="n">
        <v>1</v>
      </c>
      <c r="BB201" s="211" t="inlineStr">
        <is>
          <t>ЗПФ</t>
        </is>
      </c>
      <c r="BM201" s="78">
        <f>IFERROR(X201*I201,"0")</f>
        <v/>
      </c>
      <c r="BN201" s="78">
        <f>IFERROR(Y201*I201,"0")</f>
        <v/>
      </c>
      <c r="BO201" s="78">
        <f>IFERROR(X201/J201,"0")</f>
        <v/>
      </c>
      <c r="BP201" s="78">
        <f>IFERROR(Y201/J201,"0")</f>
        <v/>
      </c>
    </row>
    <row r="202" ht="27" customHeight="1">
      <c r="A202" s="60" t="inlineStr">
        <is>
          <t>SU002066</t>
        </is>
      </c>
      <c r="B202" s="60" t="inlineStr">
        <is>
          <t>P003004</t>
        </is>
      </c>
      <c r="C202" s="34" t="n">
        <v>4301070920</v>
      </c>
      <c r="D202" s="353" t="n">
        <v>4607111035929</v>
      </c>
      <c r="E202" s="477" t="n"/>
      <c r="F202" s="516" t="n">
        <v>0.9</v>
      </c>
      <c r="G202" s="35" t="n">
        <v>8</v>
      </c>
      <c r="H202" s="516" t="n">
        <v>7.2</v>
      </c>
      <c r="I202" s="516" t="n">
        <v>7.47</v>
      </c>
      <c r="J202" s="35" t="n">
        <v>84</v>
      </c>
      <c r="K202" s="35" t="inlineStr">
        <is>
          <t>12</t>
        </is>
      </c>
      <c r="L202" s="35" t="inlineStr">
        <is>
          <t>Короб, мин. 1</t>
        </is>
      </c>
      <c r="M202" s="36" t="inlineStr">
        <is>
          <t>МГ</t>
        </is>
      </c>
      <c r="N202" s="36" t="n"/>
      <c r="O202" s="35" t="n">
        <v>180</v>
      </c>
      <c r="P202" s="589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Q202" s="518" t="n"/>
      <c r="R202" s="518" t="n"/>
      <c r="S202" s="518" t="n"/>
      <c r="T202" s="519" t="n"/>
      <c r="U202" s="37" t="inlineStr"/>
      <c r="V202" s="37" t="inlineStr"/>
      <c r="W202" s="38" t="inlineStr">
        <is>
          <t>кор</t>
        </is>
      </c>
      <c r="X202" s="520" t="n">
        <v>0</v>
      </c>
      <c r="Y202" s="521">
        <f>IFERROR(IF(X202="","",X202),"")</f>
        <v/>
      </c>
      <c r="Z202" s="39">
        <f>IFERROR(IF(X202="","",X202*0.0155),"")</f>
        <v/>
      </c>
      <c r="AA202" s="65" t="inlineStr"/>
      <c r="AB202" s="66" t="inlineStr"/>
      <c r="AC202" s="212" t="inlineStr">
        <is>
          <t>ЕАЭС N RU Д-RU.PA01.B.06796/21</t>
        </is>
      </c>
      <c r="AG202" s="78" t="n"/>
      <c r="AJ202" s="82" t="inlineStr">
        <is>
          <t>Короб</t>
        </is>
      </c>
      <c r="AK202" s="82" t="n">
        <v>1</v>
      </c>
      <c r="BB202" s="213" t="inlineStr">
        <is>
          <t>ЗПФ</t>
        </is>
      </c>
      <c r="BM202" s="78">
        <f>IFERROR(X202*I202,"0")</f>
        <v/>
      </c>
      <c r="BN202" s="78">
        <f>IFERROR(Y202*I202,"0")</f>
        <v/>
      </c>
      <c r="BO202" s="78">
        <f>IFERROR(X202/J202,"0")</f>
        <v/>
      </c>
      <c r="BP202" s="78">
        <f>IFERROR(Y202/J202,"0")</f>
        <v/>
      </c>
    </row>
    <row r="203" ht="27" customHeight="1">
      <c r="A203" s="60" t="inlineStr">
        <is>
          <t>SU002067</t>
        </is>
      </c>
      <c r="B203" s="60" t="inlineStr">
        <is>
          <t>P002999</t>
        </is>
      </c>
      <c r="C203" s="34" t="n">
        <v>4301070915</v>
      </c>
      <c r="D203" s="353" t="n">
        <v>4607111035882</v>
      </c>
      <c r="E203" s="477" t="n"/>
      <c r="F203" s="516" t="n">
        <v>0.43</v>
      </c>
      <c r="G203" s="35" t="n">
        <v>16</v>
      </c>
      <c r="H203" s="516" t="n">
        <v>6.88</v>
      </c>
      <c r="I203" s="516" t="n">
        <v>7.19</v>
      </c>
      <c r="J203" s="35" t="n">
        <v>84</v>
      </c>
      <c r="K203" s="35" t="inlineStr">
        <is>
          <t>12</t>
        </is>
      </c>
      <c r="L203" s="35" t="inlineStr">
        <is>
          <t>Короб, мин. 1</t>
        </is>
      </c>
      <c r="M203" s="36" t="inlineStr">
        <is>
          <t>МГ</t>
        </is>
      </c>
      <c r="N203" s="36" t="n"/>
      <c r="O203" s="35" t="n">
        <v>180</v>
      </c>
      <c r="P203" s="590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Q203" s="518" t="n"/>
      <c r="R203" s="518" t="n"/>
      <c r="S203" s="518" t="n"/>
      <c r="T203" s="519" t="n"/>
      <c r="U203" s="37" t="inlineStr"/>
      <c r="V203" s="37" t="inlineStr"/>
      <c r="W203" s="38" t="inlineStr">
        <is>
          <t>кор</t>
        </is>
      </c>
      <c r="X203" s="520" t="n">
        <v>0</v>
      </c>
      <c r="Y203" s="521">
        <f>IFERROR(IF(X203="","",X203),"")</f>
        <v/>
      </c>
      <c r="Z203" s="39">
        <f>IFERROR(IF(X203="","",X203*0.0155),"")</f>
        <v/>
      </c>
      <c r="AA203" s="65" t="inlineStr"/>
      <c r="AB203" s="66" t="inlineStr"/>
      <c r="AC203" s="214" t="inlineStr">
        <is>
          <t>ЕАЭС N RU Д-RU.PA01.B.05295/21</t>
        </is>
      </c>
      <c r="AG203" s="78" t="n"/>
      <c r="AJ203" s="82" t="inlineStr">
        <is>
          <t>Короб</t>
        </is>
      </c>
      <c r="AK203" s="82" t="n">
        <v>1</v>
      </c>
      <c r="BB203" s="215" t="inlineStr">
        <is>
          <t>ЗПФ</t>
        </is>
      </c>
      <c r="BM203" s="78">
        <f>IFERROR(X203*I203,"0")</f>
        <v/>
      </c>
      <c r="BN203" s="78">
        <f>IFERROR(Y203*I203,"0")</f>
        <v/>
      </c>
      <c r="BO203" s="78">
        <f>IFERROR(X203/J203,"0")</f>
        <v/>
      </c>
      <c r="BP203" s="78">
        <f>IFERROR(Y203/J203,"0")</f>
        <v/>
      </c>
    </row>
    <row r="204" ht="27" customHeight="1">
      <c r="A204" s="60" t="inlineStr">
        <is>
          <t>SU002068</t>
        </is>
      </c>
      <c r="B204" s="60" t="inlineStr">
        <is>
          <t>P003005</t>
        </is>
      </c>
      <c r="C204" s="34" t="n">
        <v>4301070921</v>
      </c>
      <c r="D204" s="353" t="n">
        <v>4607111035905</v>
      </c>
      <c r="E204" s="477" t="n"/>
      <c r="F204" s="516" t="n">
        <v>0.9</v>
      </c>
      <c r="G204" s="35" t="n">
        <v>8</v>
      </c>
      <c r="H204" s="516" t="n">
        <v>7.2</v>
      </c>
      <c r="I204" s="516" t="n">
        <v>7.47</v>
      </c>
      <c r="J204" s="35" t="n">
        <v>84</v>
      </c>
      <c r="K204" s="35" t="inlineStr">
        <is>
          <t>12</t>
        </is>
      </c>
      <c r="L204" s="35" t="inlineStr">
        <is>
          <t>Короб, мин. 1</t>
        </is>
      </c>
      <c r="M204" s="36" t="inlineStr">
        <is>
          <t>МГ</t>
        </is>
      </c>
      <c r="N204" s="36" t="n"/>
      <c r="O204" s="35" t="n">
        <v>180</v>
      </c>
      <c r="P204" s="591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Q204" s="518" t="n"/>
      <c r="R204" s="518" t="n"/>
      <c r="S204" s="518" t="n"/>
      <c r="T204" s="519" t="n"/>
      <c r="U204" s="37" t="inlineStr"/>
      <c r="V204" s="37" t="inlineStr"/>
      <c r="W204" s="38" t="inlineStr">
        <is>
          <t>кор</t>
        </is>
      </c>
      <c r="X204" s="520" t="n">
        <v>0</v>
      </c>
      <c r="Y204" s="521">
        <f>IFERROR(IF(X204="","",X204),"")</f>
        <v/>
      </c>
      <c r="Z204" s="39">
        <f>IFERROR(IF(X204="","",X204*0.0155),"")</f>
        <v/>
      </c>
      <c r="AA204" s="65" t="inlineStr"/>
      <c r="AB204" s="66" t="inlineStr"/>
      <c r="AC204" s="216" t="inlineStr">
        <is>
          <t>ЕАЭС N RU Д-RU.PA01.B.05295/21</t>
        </is>
      </c>
      <c r="AG204" s="78" t="n"/>
      <c r="AJ204" s="82" t="inlineStr">
        <is>
          <t>Короб</t>
        </is>
      </c>
      <c r="AK204" s="82" t="n">
        <v>1</v>
      </c>
      <c r="BB204" s="217" t="inlineStr">
        <is>
          <t>ЗПФ</t>
        </is>
      </c>
      <c r="BM204" s="78">
        <f>IFERROR(X204*I204,"0")</f>
        <v/>
      </c>
      <c r="BN204" s="78">
        <f>IFERROR(Y204*I204,"0")</f>
        <v/>
      </c>
      <c r="BO204" s="78">
        <f>IFERROR(X204/J204,"0")</f>
        <v/>
      </c>
      <c r="BP204" s="78">
        <f>IFERROR(Y204/J204,"0")</f>
        <v/>
      </c>
    </row>
    <row r="205">
      <c r="A205" s="361" t="n"/>
      <c r="B205" s="465" t="n"/>
      <c r="C205" s="465" t="n"/>
      <c r="D205" s="465" t="n"/>
      <c r="E205" s="465" t="n"/>
      <c r="F205" s="465" t="n"/>
      <c r="G205" s="465" t="n"/>
      <c r="H205" s="465" t="n"/>
      <c r="I205" s="465" t="n"/>
      <c r="J205" s="465" t="n"/>
      <c r="K205" s="465" t="n"/>
      <c r="L205" s="465" t="n"/>
      <c r="M205" s="465" t="n"/>
      <c r="N205" s="465" t="n"/>
      <c r="O205" s="522" t="n"/>
      <c r="P205" s="523" t="inlineStr">
        <is>
          <t>Итого</t>
        </is>
      </c>
      <c r="Q205" s="485" t="n"/>
      <c r="R205" s="485" t="n"/>
      <c r="S205" s="485" t="n"/>
      <c r="T205" s="485" t="n"/>
      <c r="U205" s="485" t="n"/>
      <c r="V205" s="486" t="n"/>
      <c r="W205" s="40" t="inlineStr">
        <is>
          <t>кор</t>
        </is>
      </c>
      <c r="X205" s="524">
        <f>IFERROR(SUM(X201:X204),"0")</f>
        <v/>
      </c>
      <c r="Y205" s="524">
        <f>IFERROR(SUM(Y201:Y204),"0")</f>
        <v/>
      </c>
      <c r="Z205" s="524">
        <f>IFERROR(IF(Z201="",0,Z201),"0")+IFERROR(IF(Z202="",0,Z202),"0")+IFERROR(IF(Z203="",0,Z203),"0")+IFERROR(IF(Z204="",0,Z204),"0")</f>
        <v/>
      </c>
      <c r="AA205" s="525" t="n"/>
      <c r="AB205" s="525" t="n"/>
      <c r="AC205" s="525" t="n"/>
    </row>
    <row r="206">
      <c r="A206" s="465" t="n"/>
      <c r="B206" s="465" t="n"/>
      <c r="C206" s="465" t="n"/>
      <c r="D206" s="465" t="n"/>
      <c r="E206" s="465" t="n"/>
      <c r="F206" s="465" t="n"/>
      <c r="G206" s="465" t="n"/>
      <c r="H206" s="465" t="n"/>
      <c r="I206" s="465" t="n"/>
      <c r="J206" s="465" t="n"/>
      <c r="K206" s="465" t="n"/>
      <c r="L206" s="465" t="n"/>
      <c r="M206" s="465" t="n"/>
      <c r="N206" s="465" t="n"/>
      <c r="O206" s="522" t="n"/>
      <c r="P206" s="523" t="inlineStr">
        <is>
          <t>Итого</t>
        </is>
      </c>
      <c r="Q206" s="485" t="n"/>
      <c r="R206" s="485" t="n"/>
      <c r="S206" s="485" t="n"/>
      <c r="T206" s="485" t="n"/>
      <c r="U206" s="485" t="n"/>
      <c r="V206" s="486" t="n"/>
      <c r="W206" s="40" t="inlineStr">
        <is>
          <t>кг</t>
        </is>
      </c>
      <c r="X206" s="524">
        <f>IFERROR(SUMPRODUCT(X201:X204*H201:H204),"0")</f>
        <v/>
      </c>
      <c r="Y206" s="524">
        <f>IFERROR(SUMPRODUCT(Y201:Y204*H201:H204),"0")</f>
        <v/>
      </c>
      <c r="Z206" s="40" t="n"/>
      <c r="AA206" s="525" t="n"/>
      <c r="AB206" s="525" t="n"/>
      <c r="AC206" s="525" t="n"/>
    </row>
    <row r="207" ht="16.5" customHeight="1">
      <c r="A207" s="351" t="inlineStr">
        <is>
          <t>Стародворские</t>
        </is>
      </c>
      <c r="B207" s="465" t="n"/>
      <c r="C207" s="465" t="n"/>
      <c r="D207" s="465" t="n"/>
      <c r="E207" s="465" t="n"/>
      <c r="F207" s="465" t="n"/>
      <c r="G207" s="465" t="n"/>
      <c r="H207" s="465" t="n"/>
      <c r="I207" s="465" t="n"/>
      <c r="J207" s="465" t="n"/>
      <c r="K207" s="465" t="n"/>
      <c r="L207" s="465" t="n"/>
      <c r="M207" s="465" t="n"/>
      <c r="N207" s="465" t="n"/>
      <c r="O207" s="465" t="n"/>
      <c r="P207" s="465" t="n"/>
      <c r="Q207" s="465" t="n"/>
      <c r="R207" s="465" t="n"/>
      <c r="S207" s="465" t="n"/>
      <c r="T207" s="465" t="n"/>
      <c r="U207" s="465" t="n"/>
      <c r="V207" s="465" t="n"/>
      <c r="W207" s="465" t="n"/>
      <c r="X207" s="465" t="n"/>
      <c r="Y207" s="465" t="n"/>
      <c r="Z207" s="465" t="n"/>
      <c r="AA207" s="351" t="n"/>
      <c r="AB207" s="351" t="n"/>
      <c r="AC207" s="351" t="n"/>
    </row>
    <row r="208" ht="14.25" customHeight="1">
      <c r="A208" s="352" t="inlineStr">
        <is>
          <t>Пельмени</t>
        </is>
      </c>
      <c r="B208" s="465" t="n"/>
      <c r="C208" s="465" t="n"/>
      <c r="D208" s="465" t="n"/>
      <c r="E208" s="465" t="n"/>
      <c r="F208" s="465" t="n"/>
      <c r="G208" s="465" t="n"/>
      <c r="H208" s="465" t="n"/>
      <c r="I208" s="465" t="n"/>
      <c r="J208" s="465" t="n"/>
      <c r="K208" s="465" t="n"/>
      <c r="L208" s="465" t="n"/>
      <c r="M208" s="465" t="n"/>
      <c r="N208" s="465" t="n"/>
      <c r="O208" s="465" t="n"/>
      <c r="P208" s="465" t="n"/>
      <c r="Q208" s="465" t="n"/>
      <c r="R208" s="465" t="n"/>
      <c r="S208" s="465" t="n"/>
      <c r="T208" s="465" t="n"/>
      <c r="U208" s="465" t="n"/>
      <c r="V208" s="465" t="n"/>
      <c r="W208" s="465" t="n"/>
      <c r="X208" s="465" t="n"/>
      <c r="Y208" s="465" t="n"/>
      <c r="Z208" s="465" t="n"/>
      <c r="AA208" s="352" t="n"/>
      <c r="AB208" s="352" t="n"/>
      <c r="AC208" s="352" t="n"/>
    </row>
    <row r="209" ht="27" customHeight="1">
      <c r="A209" s="60" t="inlineStr">
        <is>
          <t>SU003935</t>
        </is>
      </c>
      <c r="B209" s="60" t="inlineStr">
        <is>
          <t>P005048</t>
        </is>
      </c>
      <c r="C209" s="34" t="n">
        <v>4301071097</v>
      </c>
      <c r="D209" s="353" t="n">
        <v>4620207491096</v>
      </c>
      <c r="E209" s="477" t="n"/>
      <c r="F209" s="516" t="n">
        <v>1</v>
      </c>
      <c r="G209" s="35" t="n">
        <v>5</v>
      </c>
      <c r="H209" s="516" t="n">
        <v>5</v>
      </c>
      <c r="I209" s="516" t="n">
        <v>5.23</v>
      </c>
      <c r="J209" s="35" t="n">
        <v>84</v>
      </c>
      <c r="K209" s="35" t="inlineStr">
        <is>
          <t>12</t>
        </is>
      </c>
      <c r="L209" s="35" t="inlineStr">
        <is>
          <t>Короб, мин. 1</t>
        </is>
      </c>
      <c r="M209" s="36" t="inlineStr">
        <is>
          <t>МГ</t>
        </is>
      </c>
      <c r="N209" s="36" t="n"/>
      <c r="O209" s="35" t="n">
        <v>180</v>
      </c>
      <c r="P209" s="592" t="inlineStr">
        <is>
          <t>Пельмени «Мясные с говядиной» Фикс.вес 1 сфера ТМ «Стародворье»</t>
        </is>
      </c>
      <c r="Q209" s="518" t="n"/>
      <c r="R209" s="518" t="n"/>
      <c r="S209" s="518" t="n"/>
      <c r="T209" s="519" t="n"/>
      <c r="U209" s="37" t="inlineStr"/>
      <c r="V209" s="37" t="inlineStr"/>
      <c r="W209" s="38" t="inlineStr">
        <is>
          <t>кор</t>
        </is>
      </c>
      <c r="X209" s="520" t="n">
        <v>0</v>
      </c>
      <c r="Y209" s="521">
        <f>IFERROR(IF(X209="","",X209),"")</f>
        <v/>
      </c>
      <c r="Z209" s="39">
        <f>IFERROR(IF(X209="","",X209*0.0155),"")</f>
        <v/>
      </c>
      <c r="AA209" s="65" t="inlineStr"/>
      <c r="AB209" s="66" t="inlineStr"/>
      <c r="AC209" s="218" t="inlineStr">
        <is>
          <t>ЕАЭС N RU Д-RU.РА02.В.24375/25</t>
        </is>
      </c>
      <c r="AG209" s="78" t="n"/>
      <c r="AJ209" s="82" t="inlineStr">
        <is>
          <t>Короб</t>
        </is>
      </c>
      <c r="AK209" s="82" t="n">
        <v>1</v>
      </c>
      <c r="BB209" s="219" t="inlineStr">
        <is>
          <t>ЗПФ</t>
        </is>
      </c>
      <c r="BM209" s="78">
        <f>IFERROR(X209*I209,"0")</f>
        <v/>
      </c>
      <c r="BN209" s="78">
        <f>IFERROR(Y209*I209,"0")</f>
        <v/>
      </c>
      <c r="BO209" s="78">
        <f>IFERROR(X209/J209,"0")</f>
        <v/>
      </c>
      <c r="BP209" s="78">
        <f>IFERROR(Y209/J209,"0")</f>
        <v/>
      </c>
    </row>
    <row r="210">
      <c r="A210" s="361" t="n"/>
      <c r="B210" s="465" t="n"/>
      <c r="C210" s="465" t="n"/>
      <c r="D210" s="465" t="n"/>
      <c r="E210" s="465" t="n"/>
      <c r="F210" s="465" t="n"/>
      <c r="G210" s="465" t="n"/>
      <c r="H210" s="465" t="n"/>
      <c r="I210" s="465" t="n"/>
      <c r="J210" s="465" t="n"/>
      <c r="K210" s="465" t="n"/>
      <c r="L210" s="465" t="n"/>
      <c r="M210" s="465" t="n"/>
      <c r="N210" s="465" t="n"/>
      <c r="O210" s="522" t="n"/>
      <c r="P210" s="523" t="inlineStr">
        <is>
          <t>Итого</t>
        </is>
      </c>
      <c r="Q210" s="485" t="n"/>
      <c r="R210" s="485" t="n"/>
      <c r="S210" s="485" t="n"/>
      <c r="T210" s="485" t="n"/>
      <c r="U210" s="485" t="n"/>
      <c r="V210" s="486" t="n"/>
      <c r="W210" s="40" t="inlineStr">
        <is>
          <t>кор</t>
        </is>
      </c>
      <c r="X210" s="524">
        <f>IFERROR(SUM(X209:X209),"0")</f>
        <v/>
      </c>
      <c r="Y210" s="524">
        <f>IFERROR(SUM(Y209:Y209),"0")</f>
        <v/>
      </c>
      <c r="Z210" s="524">
        <f>IFERROR(IF(Z209="",0,Z209),"0")</f>
        <v/>
      </c>
      <c r="AA210" s="525" t="n"/>
      <c r="AB210" s="525" t="n"/>
      <c r="AC210" s="525" t="n"/>
    </row>
    <row r="211">
      <c r="A211" s="465" t="n"/>
      <c r="B211" s="465" t="n"/>
      <c r="C211" s="465" t="n"/>
      <c r="D211" s="465" t="n"/>
      <c r="E211" s="465" t="n"/>
      <c r="F211" s="465" t="n"/>
      <c r="G211" s="465" t="n"/>
      <c r="H211" s="465" t="n"/>
      <c r="I211" s="465" t="n"/>
      <c r="J211" s="465" t="n"/>
      <c r="K211" s="465" t="n"/>
      <c r="L211" s="465" t="n"/>
      <c r="M211" s="465" t="n"/>
      <c r="N211" s="465" t="n"/>
      <c r="O211" s="522" t="n"/>
      <c r="P211" s="523" t="inlineStr">
        <is>
          <t>Итого</t>
        </is>
      </c>
      <c r="Q211" s="485" t="n"/>
      <c r="R211" s="485" t="n"/>
      <c r="S211" s="485" t="n"/>
      <c r="T211" s="485" t="n"/>
      <c r="U211" s="485" t="n"/>
      <c r="V211" s="486" t="n"/>
      <c r="W211" s="40" t="inlineStr">
        <is>
          <t>кг</t>
        </is>
      </c>
      <c r="X211" s="524">
        <f>IFERROR(SUMPRODUCT(X209:X209*H209:H209),"0")</f>
        <v/>
      </c>
      <c r="Y211" s="524">
        <f>IFERROR(SUMPRODUCT(Y209:Y209*H209:H209),"0")</f>
        <v/>
      </c>
      <c r="Z211" s="40" t="n"/>
      <c r="AA211" s="525" t="n"/>
      <c r="AB211" s="525" t="n"/>
      <c r="AC211" s="525" t="n"/>
    </row>
    <row r="212" ht="16.5" customHeight="1">
      <c r="A212" s="351" t="inlineStr">
        <is>
          <t>Добросельские ЭТМ</t>
        </is>
      </c>
      <c r="B212" s="465" t="n"/>
      <c r="C212" s="465" t="n"/>
      <c r="D212" s="465" t="n"/>
      <c r="E212" s="465" t="n"/>
      <c r="F212" s="465" t="n"/>
      <c r="G212" s="465" t="n"/>
      <c r="H212" s="465" t="n"/>
      <c r="I212" s="465" t="n"/>
      <c r="J212" s="465" t="n"/>
      <c r="K212" s="465" t="n"/>
      <c r="L212" s="465" t="n"/>
      <c r="M212" s="465" t="n"/>
      <c r="N212" s="465" t="n"/>
      <c r="O212" s="465" t="n"/>
      <c r="P212" s="465" t="n"/>
      <c r="Q212" s="465" t="n"/>
      <c r="R212" s="465" t="n"/>
      <c r="S212" s="465" t="n"/>
      <c r="T212" s="465" t="n"/>
      <c r="U212" s="465" t="n"/>
      <c r="V212" s="465" t="n"/>
      <c r="W212" s="465" t="n"/>
      <c r="X212" s="465" t="n"/>
      <c r="Y212" s="465" t="n"/>
      <c r="Z212" s="465" t="n"/>
      <c r="AA212" s="351" t="n"/>
      <c r="AB212" s="351" t="n"/>
      <c r="AC212" s="351" t="n"/>
    </row>
    <row r="213" ht="14.25" customHeight="1">
      <c r="A213" s="352" t="inlineStr">
        <is>
          <t>Пельмени</t>
        </is>
      </c>
      <c r="B213" s="465" t="n"/>
      <c r="C213" s="465" t="n"/>
      <c r="D213" s="465" t="n"/>
      <c r="E213" s="465" t="n"/>
      <c r="F213" s="465" t="n"/>
      <c r="G213" s="465" t="n"/>
      <c r="H213" s="465" t="n"/>
      <c r="I213" s="465" t="n"/>
      <c r="J213" s="465" t="n"/>
      <c r="K213" s="465" t="n"/>
      <c r="L213" s="465" t="n"/>
      <c r="M213" s="465" t="n"/>
      <c r="N213" s="465" t="n"/>
      <c r="O213" s="465" t="n"/>
      <c r="P213" s="465" t="n"/>
      <c r="Q213" s="465" t="n"/>
      <c r="R213" s="465" t="n"/>
      <c r="S213" s="465" t="n"/>
      <c r="T213" s="465" t="n"/>
      <c r="U213" s="465" t="n"/>
      <c r="V213" s="465" t="n"/>
      <c r="W213" s="465" t="n"/>
      <c r="X213" s="465" t="n"/>
      <c r="Y213" s="465" t="n"/>
      <c r="Z213" s="465" t="n"/>
      <c r="AA213" s="352" t="n"/>
      <c r="AB213" s="352" t="n"/>
      <c r="AC213" s="352" t="n"/>
    </row>
    <row r="214" ht="27" customHeight="1">
      <c r="A214" s="60" t="inlineStr">
        <is>
          <t>SU003841</t>
        </is>
      </c>
      <c r="B214" s="60" t="inlineStr">
        <is>
          <t>P004905</t>
        </is>
      </c>
      <c r="C214" s="34" t="n">
        <v>4301071093</v>
      </c>
      <c r="D214" s="353" t="n">
        <v>4620207490709</v>
      </c>
      <c r="E214" s="477" t="n"/>
      <c r="F214" s="516" t="n">
        <v>0.65</v>
      </c>
      <c r="G214" s="35" t="n">
        <v>8</v>
      </c>
      <c r="H214" s="516" t="n">
        <v>5.2</v>
      </c>
      <c r="I214" s="516" t="n">
        <v>5.47</v>
      </c>
      <c r="J214" s="35" t="n">
        <v>84</v>
      </c>
      <c r="K214" s="35" t="inlineStr">
        <is>
          <t>12</t>
        </is>
      </c>
      <c r="L214" s="35" t="inlineStr">
        <is>
          <t>Короб, мин. 1</t>
        </is>
      </c>
      <c r="M214" s="36" t="inlineStr">
        <is>
          <t>МГ</t>
        </is>
      </c>
      <c r="N214" s="36" t="n"/>
      <c r="O214" s="35" t="n">
        <v>180</v>
      </c>
      <c r="P214" s="593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/>
      </c>
      <c r="Q214" s="518" t="n"/>
      <c r="R214" s="518" t="n"/>
      <c r="S214" s="518" t="n"/>
      <c r="T214" s="519" t="n"/>
      <c r="U214" s="37" t="inlineStr"/>
      <c r="V214" s="37" t="inlineStr"/>
      <c r="W214" s="38" t="inlineStr">
        <is>
          <t>кор</t>
        </is>
      </c>
      <c r="X214" s="520" t="n">
        <v>0</v>
      </c>
      <c r="Y214" s="521">
        <f>IFERROR(IF(X214="","",X214),"")</f>
        <v/>
      </c>
      <c r="Z214" s="39">
        <f>IFERROR(IF(X214="","",X214*0.0155),"")</f>
        <v/>
      </c>
      <c r="AA214" s="65" t="inlineStr"/>
      <c r="AB214" s="66" t="inlineStr"/>
      <c r="AC214" s="220" t="inlineStr">
        <is>
          <t>ЕАЭС N RU Д-RU.РА10.В.54690/24</t>
        </is>
      </c>
      <c r="AG214" s="78" t="n"/>
      <c r="AJ214" s="82" t="inlineStr">
        <is>
          <t>Короб</t>
        </is>
      </c>
      <c r="AK214" s="82" t="n">
        <v>1</v>
      </c>
      <c r="BB214" s="221" t="inlineStr">
        <is>
          <t>ЗПФ</t>
        </is>
      </c>
      <c r="BM214" s="78">
        <f>IFERROR(X214*I214,"0")</f>
        <v/>
      </c>
      <c r="BN214" s="78">
        <f>IFERROR(Y214*I214,"0")</f>
        <v/>
      </c>
      <c r="BO214" s="78">
        <f>IFERROR(X214/J214,"0")</f>
        <v/>
      </c>
      <c r="BP214" s="78">
        <f>IFERROR(Y214/J214,"0")</f>
        <v/>
      </c>
    </row>
    <row r="215">
      <c r="A215" s="361" t="n"/>
      <c r="B215" s="465" t="n"/>
      <c r="C215" s="465" t="n"/>
      <c r="D215" s="465" t="n"/>
      <c r="E215" s="465" t="n"/>
      <c r="F215" s="465" t="n"/>
      <c r="G215" s="465" t="n"/>
      <c r="H215" s="465" t="n"/>
      <c r="I215" s="465" t="n"/>
      <c r="J215" s="465" t="n"/>
      <c r="K215" s="465" t="n"/>
      <c r="L215" s="465" t="n"/>
      <c r="M215" s="465" t="n"/>
      <c r="N215" s="465" t="n"/>
      <c r="O215" s="522" t="n"/>
      <c r="P215" s="523" t="inlineStr">
        <is>
          <t>Итого</t>
        </is>
      </c>
      <c r="Q215" s="485" t="n"/>
      <c r="R215" s="485" t="n"/>
      <c r="S215" s="485" t="n"/>
      <c r="T215" s="485" t="n"/>
      <c r="U215" s="485" t="n"/>
      <c r="V215" s="486" t="n"/>
      <c r="W215" s="40" t="inlineStr">
        <is>
          <t>кор</t>
        </is>
      </c>
      <c r="X215" s="524">
        <f>IFERROR(SUM(X214:X214),"0")</f>
        <v/>
      </c>
      <c r="Y215" s="524">
        <f>IFERROR(SUM(Y214:Y214),"0")</f>
        <v/>
      </c>
      <c r="Z215" s="524">
        <f>IFERROR(IF(Z214="",0,Z214),"0")</f>
        <v/>
      </c>
      <c r="AA215" s="525" t="n"/>
      <c r="AB215" s="525" t="n"/>
      <c r="AC215" s="525" t="n"/>
    </row>
    <row r="216">
      <c r="A216" s="465" t="n"/>
      <c r="B216" s="465" t="n"/>
      <c r="C216" s="465" t="n"/>
      <c r="D216" s="465" t="n"/>
      <c r="E216" s="465" t="n"/>
      <c r="F216" s="465" t="n"/>
      <c r="G216" s="465" t="n"/>
      <c r="H216" s="465" t="n"/>
      <c r="I216" s="465" t="n"/>
      <c r="J216" s="465" t="n"/>
      <c r="K216" s="465" t="n"/>
      <c r="L216" s="465" t="n"/>
      <c r="M216" s="465" t="n"/>
      <c r="N216" s="465" t="n"/>
      <c r="O216" s="522" t="n"/>
      <c r="P216" s="523" t="inlineStr">
        <is>
          <t>Итого</t>
        </is>
      </c>
      <c r="Q216" s="485" t="n"/>
      <c r="R216" s="485" t="n"/>
      <c r="S216" s="485" t="n"/>
      <c r="T216" s="485" t="n"/>
      <c r="U216" s="485" t="n"/>
      <c r="V216" s="486" t="n"/>
      <c r="W216" s="40" t="inlineStr">
        <is>
          <t>кг</t>
        </is>
      </c>
      <c r="X216" s="524">
        <f>IFERROR(SUMPRODUCT(X214:X214*H214:H214),"0")</f>
        <v/>
      </c>
      <c r="Y216" s="524">
        <f>IFERROR(SUMPRODUCT(Y214:Y214*H214:H214),"0")</f>
        <v/>
      </c>
      <c r="Z216" s="40" t="n"/>
      <c r="AA216" s="525" t="n"/>
      <c r="AB216" s="525" t="n"/>
      <c r="AC216" s="525" t="n"/>
    </row>
    <row r="217" ht="14.25" customHeight="1">
      <c r="A217" s="352" t="inlineStr">
        <is>
          <t>Снеки</t>
        </is>
      </c>
      <c r="B217" s="465" t="n"/>
      <c r="C217" s="465" t="n"/>
      <c r="D217" s="465" t="n"/>
      <c r="E217" s="465" t="n"/>
      <c r="F217" s="465" t="n"/>
      <c r="G217" s="465" t="n"/>
      <c r="H217" s="465" t="n"/>
      <c r="I217" s="465" t="n"/>
      <c r="J217" s="465" t="n"/>
      <c r="K217" s="465" t="n"/>
      <c r="L217" s="465" t="n"/>
      <c r="M217" s="465" t="n"/>
      <c r="N217" s="465" t="n"/>
      <c r="O217" s="465" t="n"/>
      <c r="P217" s="465" t="n"/>
      <c r="Q217" s="465" t="n"/>
      <c r="R217" s="465" t="n"/>
      <c r="S217" s="465" t="n"/>
      <c r="T217" s="465" t="n"/>
      <c r="U217" s="465" t="n"/>
      <c r="V217" s="465" t="n"/>
      <c r="W217" s="465" t="n"/>
      <c r="X217" s="465" t="n"/>
      <c r="Y217" s="465" t="n"/>
      <c r="Z217" s="465" t="n"/>
      <c r="AA217" s="352" t="n"/>
      <c r="AB217" s="352" t="n"/>
      <c r="AC217" s="352" t="n"/>
    </row>
    <row r="218" ht="27" customHeight="1">
      <c r="A218" s="60" t="inlineStr">
        <is>
          <t>SU003708</t>
        </is>
      </c>
      <c r="B218" s="60" t="inlineStr">
        <is>
          <t>P004806</t>
        </is>
      </c>
      <c r="C218" s="34" t="n">
        <v>4301135692</v>
      </c>
      <c r="D218" s="353" t="n">
        <v>4620207490570</v>
      </c>
      <c r="E218" s="477" t="n"/>
      <c r="F218" s="516" t="n">
        <v>0.2</v>
      </c>
      <c r="G218" s="35" t="n">
        <v>12</v>
      </c>
      <c r="H218" s="516" t="n">
        <v>2.4</v>
      </c>
      <c r="I218" s="516" t="n">
        <v>3.1036</v>
      </c>
      <c r="J218" s="35" t="n">
        <v>70</v>
      </c>
      <c r="K218" s="35" t="inlineStr">
        <is>
          <t>14</t>
        </is>
      </c>
      <c r="L218" s="35" t="inlineStr">
        <is>
          <t>Короб, мин. 1</t>
        </is>
      </c>
      <c r="M218" s="36" t="inlineStr">
        <is>
          <t>МГ</t>
        </is>
      </c>
      <c r="N218" s="36" t="n"/>
      <c r="O218" s="35" t="n">
        <v>180</v>
      </c>
      <c r="P218" s="594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/>
      </c>
      <c r="Q218" s="518" t="n"/>
      <c r="R218" s="518" t="n"/>
      <c r="S218" s="518" t="n"/>
      <c r="T218" s="519" t="n"/>
      <c r="U218" s="37" t="inlineStr"/>
      <c r="V218" s="37" t="inlineStr"/>
      <c r="W218" s="38" t="inlineStr">
        <is>
          <t>кор</t>
        </is>
      </c>
      <c r="X218" s="520" t="n">
        <v>0</v>
      </c>
      <c r="Y218" s="521">
        <f>IFERROR(IF(X218="","",X218),"")</f>
        <v/>
      </c>
      <c r="Z218" s="39">
        <f>IFERROR(IF(X218="","",X218*0.01788),"")</f>
        <v/>
      </c>
      <c r="AA218" s="65" t="inlineStr"/>
      <c r="AB218" s="66" t="inlineStr"/>
      <c r="AC218" s="222" t="inlineStr">
        <is>
          <t>ЕАЭС N RU Д-RU.РА10.В.24095/24</t>
        </is>
      </c>
      <c r="AG218" s="78" t="n"/>
      <c r="AJ218" s="82" t="inlineStr">
        <is>
          <t>Короб</t>
        </is>
      </c>
      <c r="AK218" s="82" t="n">
        <v>1</v>
      </c>
      <c r="BB218" s="223" t="inlineStr">
        <is>
          <t>ПГП</t>
        </is>
      </c>
      <c r="BM218" s="78">
        <f>IFERROR(X218*I218,"0")</f>
        <v/>
      </c>
      <c r="BN218" s="78">
        <f>IFERROR(Y218*I218,"0")</f>
        <v/>
      </c>
      <c r="BO218" s="78">
        <f>IFERROR(X218/J218,"0")</f>
        <v/>
      </c>
      <c r="BP218" s="78">
        <f>IFERROR(Y218/J218,"0")</f>
        <v/>
      </c>
    </row>
    <row r="219" ht="27" customHeight="1">
      <c r="A219" s="60" t="inlineStr">
        <is>
          <t>SU003706</t>
        </is>
      </c>
      <c r="B219" s="60" t="inlineStr">
        <is>
          <t>P004804</t>
        </is>
      </c>
      <c r="C219" s="34" t="n">
        <v>4301135691</v>
      </c>
      <c r="D219" s="353" t="n">
        <v>4620207490549</v>
      </c>
      <c r="E219" s="477" t="n"/>
      <c r="F219" s="516" t="n">
        <v>0.2</v>
      </c>
      <c r="G219" s="35" t="n">
        <v>12</v>
      </c>
      <c r="H219" s="516" t="n">
        <v>2.4</v>
      </c>
      <c r="I219" s="516" t="n">
        <v>3.1036</v>
      </c>
      <c r="J219" s="35" t="n">
        <v>70</v>
      </c>
      <c r="K219" s="35" t="inlineStr">
        <is>
          <t>14</t>
        </is>
      </c>
      <c r="L219" s="35" t="inlineStr">
        <is>
          <t>Короб, мин. 1</t>
        </is>
      </c>
      <c r="M219" s="36" t="inlineStr">
        <is>
          <t>МГ</t>
        </is>
      </c>
      <c r="N219" s="36" t="n"/>
      <c r="O219" s="35" t="n">
        <v>180</v>
      </c>
      <c r="P219" s="595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/>
      </c>
      <c r="Q219" s="518" t="n"/>
      <c r="R219" s="518" t="n"/>
      <c r="S219" s="518" t="n"/>
      <c r="T219" s="519" t="n"/>
      <c r="U219" s="37" t="inlineStr"/>
      <c r="V219" s="37" t="inlineStr"/>
      <c r="W219" s="38" t="inlineStr">
        <is>
          <t>кор</t>
        </is>
      </c>
      <c r="X219" s="520" t="n">
        <v>0</v>
      </c>
      <c r="Y219" s="521">
        <f>IFERROR(IF(X219="","",X219),"")</f>
        <v/>
      </c>
      <c r="Z219" s="39">
        <f>IFERROR(IF(X219="","",X219*0.01788),"")</f>
        <v/>
      </c>
      <c r="AA219" s="65" t="inlineStr"/>
      <c r="AB219" s="66" t="inlineStr"/>
      <c r="AC219" s="224" t="inlineStr">
        <is>
          <t>ЕАЭС N RU Д-RU.РА10.В.24095/24</t>
        </is>
      </c>
      <c r="AG219" s="78" t="n"/>
      <c r="AJ219" s="82" t="inlineStr">
        <is>
          <t>Короб</t>
        </is>
      </c>
      <c r="AK219" s="82" t="n">
        <v>1</v>
      </c>
      <c r="BB219" s="225" t="inlineStr">
        <is>
          <t>ПГП</t>
        </is>
      </c>
      <c r="BM219" s="78">
        <f>IFERROR(X219*I219,"0")</f>
        <v/>
      </c>
      <c r="BN219" s="78">
        <f>IFERROR(Y219*I219,"0")</f>
        <v/>
      </c>
      <c r="BO219" s="78">
        <f>IFERROR(X219/J219,"0")</f>
        <v/>
      </c>
      <c r="BP219" s="78">
        <f>IFERROR(Y219/J219,"0")</f>
        <v/>
      </c>
    </row>
    <row r="220" ht="27" customHeight="1">
      <c r="A220" s="60" t="inlineStr">
        <is>
          <t>SU003707</t>
        </is>
      </c>
      <c r="B220" s="60" t="inlineStr">
        <is>
          <t>P004805</t>
        </is>
      </c>
      <c r="C220" s="34" t="n">
        <v>4301135694</v>
      </c>
      <c r="D220" s="353" t="n">
        <v>4620207490501</v>
      </c>
      <c r="E220" s="477" t="n"/>
      <c r="F220" s="516" t="n">
        <v>0.2</v>
      </c>
      <c r="G220" s="35" t="n">
        <v>12</v>
      </c>
      <c r="H220" s="516" t="n">
        <v>2.4</v>
      </c>
      <c r="I220" s="516" t="n">
        <v>3.1036</v>
      </c>
      <c r="J220" s="35" t="n">
        <v>70</v>
      </c>
      <c r="K220" s="35" t="inlineStr">
        <is>
          <t>14</t>
        </is>
      </c>
      <c r="L220" s="35" t="inlineStr">
        <is>
          <t>Короб, мин. 1</t>
        </is>
      </c>
      <c r="M220" s="36" t="inlineStr">
        <is>
          <t>МГ</t>
        </is>
      </c>
      <c r="N220" s="36" t="n"/>
      <c r="O220" s="35" t="n">
        <v>180</v>
      </c>
      <c r="P220" s="596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/>
      </c>
      <c r="Q220" s="518" t="n"/>
      <c r="R220" s="518" t="n"/>
      <c r="S220" s="518" t="n"/>
      <c r="T220" s="519" t="n"/>
      <c r="U220" s="37" t="inlineStr"/>
      <c r="V220" s="37" t="inlineStr"/>
      <c r="W220" s="38" t="inlineStr">
        <is>
          <t>кор</t>
        </is>
      </c>
      <c r="X220" s="520" t="n">
        <v>0</v>
      </c>
      <c r="Y220" s="521">
        <f>IFERROR(IF(X220="","",X220),"")</f>
        <v/>
      </c>
      <c r="Z220" s="39">
        <f>IFERROR(IF(X220="","",X220*0.01788),"")</f>
        <v/>
      </c>
      <c r="AA220" s="65" t="inlineStr"/>
      <c r="AB220" s="66" t="inlineStr"/>
      <c r="AC220" s="226" t="inlineStr">
        <is>
          <t>ЕАЭС N RU Д-RU.РА10.В.24095/24</t>
        </is>
      </c>
      <c r="AG220" s="78" t="n"/>
      <c r="AJ220" s="82" t="inlineStr">
        <is>
          <t>Короб</t>
        </is>
      </c>
      <c r="AK220" s="82" t="n">
        <v>1</v>
      </c>
      <c r="BB220" s="227" t="inlineStr">
        <is>
          <t>ПГП</t>
        </is>
      </c>
      <c r="BM220" s="78">
        <f>IFERROR(X220*I220,"0")</f>
        <v/>
      </c>
      <c r="BN220" s="78">
        <f>IFERROR(Y220*I220,"0")</f>
        <v/>
      </c>
      <c r="BO220" s="78">
        <f>IFERROR(X220/J220,"0")</f>
        <v/>
      </c>
      <c r="BP220" s="78">
        <f>IFERROR(Y220/J220,"0")</f>
        <v/>
      </c>
    </row>
    <row r="221">
      <c r="A221" s="361" t="n"/>
      <c r="B221" s="465" t="n"/>
      <c r="C221" s="465" t="n"/>
      <c r="D221" s="465" t="n"/>
      <c r="E221" s="465" t="n"/>
      <c r="F221" s="465" t="n"/>
      <c r="G221" s="465" t="n"/>
      <c r="H221" s="465" t="n"/>
      <c r="I221" s="465" t="n"/>
      <c r="J221" s="465" t="n"/>
      <c r="K221" s="465" t="n"/>
      <c r="L221" s="465" t="n"/>
      <c r="M221" s="465" t="n"/>
      <c r="N221" s="465" t="n"/>
      <c r="O221" s="522" t="n"/>
      <c r="P221" s="523" t="inlineStr">
        <is>
          <t>Итого</t>
        </is>
      </c>
      <c r="Q221" s="485" t="n"/>
      <c r="R221" s="485" t="n"/>
      <c r="S221" s="485" t="n"/>
      <c r="T221" s="485" t="n"/>
      <c r="U221" s="485" t="n"/>
      <c r="V221" s="486" t="n"/>
      <c r="W221" s="40" t="inlineStr">
        <is>
          <t>кор</t>
        </is>
      </c>
      <c r="X221" s="524">
        <f>IFERROR(SUM(X218:X220),"0")</f>
        <v/>
      </c>
      <c r="Y221" s="524">
        <f>IFERROR(SUM(Y218:Y220),"0")</f>
        <v/>
      </c>
      <c r="Z221" s="524">
        <f>IFERROR(IF(Z218="",0,Z218),"0")+IFERROR(IF(Z219="",0,Z219),"0")+IFERROR(IF(Z220="",0,Z220),"0")</f>
        <v/>
      </c>
      <c r="AA221" s="525" t="n"/>
      <c r="AB221" s="525" t="n"/>
      <c r="AC221" s="525" t="n"/>
    </row>
    <row r="222">
      <c r="A222" s="465" t="n"/>
      <c r="B222" s="465" t="n"/>
      <c r="C222" s="465" t="n"/>
      <c r="D222" s="465" t="n"/>
      <c r="E222" s="465" t="n"/>
      <c r="F222" s="465" t="n"/>
      <c r="G222" s="465" t="n"/>
      <c r="H222" s="465" t="n"/>
      <c r="I222" s="465" t="n"/>
      <c r="J222" s="465" t="n"/>
      <c r="K222" s="465" t="n"/>
      <c r="L222" s="465" t="n"/>
      <c r="M222" s="465" t="n"/>
      <c r="N222" s="465" t="n"/>
      <c r="O222" s="522" t="n"/>
      <c r="P222" s="523" t="inlineStr">
        <is>
          <t>Итого</t>
        </is>
      </c>
      <c r="Q222" s="485" t="n"/>
      <c r="R222" s="485" t="n"/>
      <c r="S222" s="485" t="n"/>
      <c r="T222" s="485" t="n"/>
      <c r="U222" s="485" t="n"/>
      <c r="V222" s="486" t="n"/>
      <c r="W222" s="40" t="inlineStr">
        <is>
          <t>кг</t>
        </is>
      </c>
      <c r="X222" s="524">
        <f>IFERROR(SUMPRODUCT(X218:X220*H218:H220),"0")</f>
        <v/>
      </c>
      <c r="Y222" s="524">
        <f>IFERROR(SUMPRODUCT(Y218:Y220*H218:H220),"0")</f>
        <v/>
      </c>
      <c r="Z222" s="40" t="n"/>
      <c r="AA222" s="525" t="n"/>
      <c r="AB222" s="525" t="n"/>
      <c r="AC222" s="525" t="n"/>
    </row>
    <row r="223" ht="16.5" customHeight="1">
      <c r="A223" s="351" t="inlineStr">
        <is>
          <t>Сочные</t>
        </is>
      </c>
      <c r="B223" s="465" t="n"/>
      <c r="C223" s="465" t="n"/>
      <c r="D223" s="465" t="n"/>
      <c r="E223" s="465" t="n"/>
      <c r="F223" s="465" t="n"/>
      <c r="G223" s="465" t="n"/>
      <c r="H223" s="465" t="n"/>
      <c r="I223" s="465" t="n"/>
      <c r="J223" s="465" t="n"/>
      <c r="K223" s="465" t="n"/>
      <c r="L223" s="465" t="n"/>
      <c r="M223" s="465" t="n"/>
      <c r="N223" s="465" t="n"/>
      <c r="O223" s="465" t="n"/>
      <c r="P223" s="465" t="n"/>
      <c r="Q223" s="465" t="n"/>
      <c r="R223" s="465" t="n"/>
      <c r="S223" s="465" t="n"/>
      <c r="T223" s="465" t="n"/>
      <c r="U223" s="465" t="n"/>
      <c r="V223" s="465" t="n"/>
      <c r="W223" s="465" t="n"/>
      <c r="X223" s="465" t="n"/>
      <c r="Y223" s="465" t="n"/>
      <c r="Z223" s="465" t="n"/>
      <c r="AA223" s="351" t="n"/>
      <c r="AB223" s="351" t="n"/>
      <c r="AC223" s="351" t="n"/>
    </row>
    <row r="224" ht="14.25" customHeight="1">
      <c r="A224" s="352" t="inlineStr">
        <is>
          <t>Пельмени</t>
        </is>
      </c>
      <c r="B224" s="465" t="n"/>
      <c r="C224" s="465" t="n"/>
      <c r="D224" s="465" t="n"/>
      <c r="E224" s="465" t="n"/>
      <c r="F224" s="465" t="n"/>
      <c r="G224" s="465" t="n"/>
      <c r="H224" s="465" t="n"/>
      <c r="I224" s="465" t="n"/>
      <c r="J224" s="465" t="n"/>
      <c r="K224" s="465" t="n"/>
      <c r="L224" s="465" t="n"/>
      <c r="M224" s="465" t="n"/>
      <c r="N224" s="465" t="n"/>
      <c r="O224" s="465" t="n"/>
      <c r="P224" s="465" t="n"/>
      <c r="Q224" s="465" t="n"/>
      <c r="R224" s="465" t="n"/>
      <c r="S224" s="465" t="n"/>
      <c r="T224" s="465" t="n"/>
      <c r="U224" s="465" t="n"/>
      <c r="V224" s="465" t="n"/>
      <c r="W224" s="465" t="n"/>
      <c r="X224" s="465" t="n"/>
      <c r="Y224" s="465" t="n"/>
      <c r="Z224" s="465" t="n"/>
      <c r="AA224" s="352" t="n"/>
      <c r="AB224" s="352" t="n"/>
      <c r="AC224" s="352" t="n"/>
    </row>
    <row r="225" ht="16.5" customHeight="1">
      <c r="A225" s="60" t="inlineStr">
        <is>
          <t>SU001859</t>
        </is>
      </c>
      <c r="B225" s="60" t="inlineStr">
        <is>
          <t>P004634</t>
        </is>
      </c>
      <c r="C225" s="34" t="n">
        <v>4301071063</v>
      </c>
      <c r="D225" s="353" t="n">
        <v>4607111039019</v>
      </c>
      <c r="E225" s="477" t="n"/>
      <c r="F225" s="516" t="n">
        <v>0.43</v>
      </c>
      <c r="G225" s="35" t="n">
        <v>16</v>
      </c>
      <c r="H225" s="516" t="n">
        <v>6.88</v>
      </c>
      <c r="I225" s="516" t="n">
        <v>7.206</v>
      </c>
      <c r="J225" s="35" t="n">
        <v>84</v>
      </c>
      <c r="K225" s="35" t="inlineStr">
        <is>
          <t>12</t>
        </is>
      </c>
      <c r="L225" s="35" t="inlineStr">
        <is>
          <t>Короб, мин. 1</t>
        </is>
      </c>
      <c r="M225" s="36" t="inlineStr">
        <is>
          <t>МГ</t>
        </is>
      </c>
      <c r="N225" s="36" t="n"/>
      <c r="O225" s="35" t="n">
        <v>180</v>
      </c>
      <c r="P225" s="597">
        <f>HYPERLINK("https://abi.ru/products/Замороженные/Стародворье/Сочные/Пельмени/P004634/","Пельмени «Сочные» 0,43 ТМ «Стародворье»")</f>
        <v/>
      </c>
      <c r="Q225" s="518" t="n"/>
      <c r="R225" s="518" t="n"/>
      <c r="S225" s="518" t="n"/>
      <c r="T225" s="519" t="n"/>
      <c r="U225" s="37" t="inlineStr"/>
      <c r="V225" s="37" t="inlineStr"/>
      <c r="W225" s="38" t="inlineStr">
        <is>
          <t>кор</t>
        </is>
      </c>
      <c r="X225" s="520" t="n">
        <v>0</v>
      </c>
      <c r="Y225" s="521">
        <f>IFERROR(IF(X225="","",X225),"")</f>
        <v/>
      </c>
      <c r="Z225" s="39">
        <f>IFERROR(IF(X225="","",X225*0.0155),"")</f>
        <v/>
      </c>
      <c r="AA225" s="65" t="inlineStr"/>
      <c r="AB225" s="66" t="inlineStr"/>
      <c r="AC225" s="228" t="inlineStr">
        <is>
          <t>ЕАЭС N RU Д-RU.РА01.В.86265/24</t>
        </is>
      </c>
      <c r="AG225" s="78" t="n"/>
      <c r="AJ225" s="82" t="inlineStr">
        <is>
          <t>Короб</t>
        </is>
      </c>
      <c r="AK225" s="82" t="n">
        <v>1</v>
      </c>
      <c r="BB225" s="229" t="inlineStr">
        <is>
          <t>ЗПФ</t>
        </is>
      </c>
      <c r="BM225" s="78">
        <f>IFERROR(X225*I225,"0")</f>
        <v/>
      </c>
      <c r="BN225" s="78">
        <f>IFERROR(Y225*I225,"0")</f>
        <v/>
      </c>
      <c r="BO225" s="78">
        <f>IFERROR(X225/J225,"0")</f>
        <v/>
      </c>
      <c r="BP225" s="78">
        <f>IFERROR(Y225/J225,"0")</f>
        <v/>
      </c>
    </row>
    <row r="226" ht="16.5" customHeight="1">
      <c r="A226" s="60" t="inlineStr">
        <is>
          <t>SU003291</t>
        </is>
      </c>
      <c r="B226" s="60" t="inlineStr">
        <is>
          <t>P004009</t>
        </is>
      </c>
      <c r="C226" s="34" t="n">
        <v>4301071000</v>
      </c>
      <c r="D226" s="353" t="n">
        <v>4607111038708</v>
      </c>
      <c r="E226" s="477" t="n"/>
      <c r="F226" s="516" t="n">
        <v>0.8</v>
      </c>
      <c r="G226" s="35" t="n">
        <v>8</v>
      </c>
      <c r="H226" s="516" t="n">
        <v>6.4</v>
      </c>
      <c r="I226" s="516" t="n">
        <v>6.67</v>
      </c>
      <c r="J226" s="35" t="n">
        <v>84</v>
      </c>
      <c r="K226" s="35" t="inlineStr">
        <is>
          <t>12</t>
        </is>
      </c>
      <c r="L226" s="35" t="inlineStr">
        <is>
          <t>Короб, мин. 1</t>
        </is>
      </c>
      <c r="M226" s="36" t="inlineStr">
        <is>
          <t>МГ</t>
        </is>
      </c>
      <c r="N226" s="36" t="n"/>
      <c r="O226" s="35" t="n">
        <v>180</v>
      </c>
      <c r="P226" s="598">
        <f>HYPERLINK("https://abi.ru/products/Замороженные/Стародворье/Сочные/Пельмени/P004009/","Пельмени Сочные Сочные 0,8 Сфера Стародворье")</f>
        <v/>
      </c>
      <c r="Q226" s="518" t="n"/>
      <c r="R226" s="518" t="n"/>
      <c r="S226" s="518" t="n"/>
      <c r="T226" s="519" t="n"/>
      <c r="U226" s="37" t="inlineStr"/>
      <c r="V226" s="37" t="inlineStr"/>
      <c r="W226" s="38" t="inlineStr">
        <is>
          <t>кор</t>
        </is>
      </c>
      <c r="X226" s="520" t="n">
        <v>0</v>
      </c>
      <c r="Y226" s="521">
        <f>IFERROR(IF(X226="","",X226),"")</f>
        <v/>
      </c>
      <c r="Z226" s="39">
        <f>IFERROR(IF(X226="","",X226*0.0155),"")</f>
        <v/>
      </c>
      <c r="AA226" s="65" t="inlineStr"/>
      <c r="AB226" s="66" t="inlineStr"/>
      <c r="AC226" s="230" t="inlineStr">
        <is>
          <t>ЕАЭС N RU Д-RU.РА01.В.86265/24</t>
        </is>
      </c>
      <c r="AG226" s="78" t="n"/>
      <c r="AJ226" s="82" t="inlineStr">
        <is>
          <t>Короб</t>
        </is>
      </c>
      <c r="AK226" s="82" t="n">
        <v>1</v>
      </c>
      <c r="BB226" s="231" t="inlineStr">
        <is>
          <t>ЗПФ</t>
        </is>
      </c>
      <c r="BM226" s="78">
        <f>IFERROR(X226*I226,"0")</f>
        <v/>
      </c>
      <c r="BN226" s="78">
        <f>IFERROR(Y226*I226,"0")</f>
        <v/>
      </c>
      <c r="BO226" s="78">
        <f>IFERROR(X226/J226,"0")</f>
        <v/>
      </c>
      <c r="BP226" s="78">
        <f>IFERROR(Y226/J226,"0")</f>
        <v/>
      </c>
    </row>
    <row r="227">
      <c r="A227" s="361" t="n"/>
      <c r="B227" s="465" t="n"/>
      <c r="C227" s="465" t="n"/>
      <c r="D227" s="465" t="n"/>
      <c r="E227" s="465" t="n"/>
      <c r="F227" s="465" t="n"/>
      <c r="G227" s="465" t="n"/>
      <c r="H227" s="465" t="n"/>
      <c r="I227" s="465" t="n"/>
      <c r="J227" s="465" t="n"/>
      <c r="K227" s="465" t="n"/>
      <c r="L227" s="465" t="n"/>
      <c r="M227" s="465" t="n"/>
      <c r="N227" s="465" t="n"/>
      <c r="O227" s="522" t="n"/>
      <c r="P227" s="523" t="inlineStr">
        <is>
          <t>Итого</t>
        </is>
      </c>
      <c r="Q227" s="485" t="n"/>
      <c r="R227" s="485" t="n"/>
      <c r="S227" s="485" t="n"/>
      <c r="T227" s="485" t="n"/>
      <c r="U227" s="485" t="n"/>
      <c r="V227" s="486" t="n"/>
      <c r="W227" s="40" t="inlineStr">
        <is>
          <t>кор</t>
        </is>
      </c>
      <c r="X227" s="524">
        <f>IFERROR(SUM(X225:X226),"0")</f>
        <v/>
      </c>
      <c r="Y227" s="524">
        <f>IFERROR(SUM(Y225:Y226),"0")</f>
        <v/>
      </c>
      <c r="Z227" s="524">
        <f>IFERROR(IF(Z225="",0,Z225),"0")+IFERROR(IF(Z226="",0,Z226),"0")</f>
        <v/>
      </c>
      <c r="AA227" s="525" t="n"/>
      <c r="AB227" s="525" t="n"/>
      <c r="AC227" s="525" t="n"/>
    </row>
    <row r="228">
      <c r="A228" s="465" t="n"/>
      <c r="B228" s="465" t="n"/>
      <c r="C228" s="465" t="n"/>
      <c r="D228" s="465" t="n"/>
      <c r="E228" s="465" t="n"/>
      <c r="F228" s="465" t="n"/>
      <c r="G228" s="465" t="n"/>
      <c r="H228" s="465" t="n"/>
      <c r="I228" s="465" t="n"/>
      <c r="J228" s="465" t="n"/>
      <c r="K228" s="465" t="n"/>
      <c r="L228" s="465" t="n"/>
      <c r="M228" s="465" t="n"/>
      <c r="N228" s="465" t="n"/>
      <c r="O228" s="522" t="n"/>
      <c r="P228" s="523" t="inlineStr">
        <is>
          <t>Итого</t>
        </is>
      </c>
      <c r="Q228" s="485" t="n"/>
      <c r="R228" s="485" t="n"/>
      <c r="S228" s="485" t="n"/>
      <c r="T228" s="485" t="n"/>
      <c r="U228" s="485" t="n"/>
      <c r="V228" s="486" t="n"/>
      <c r="W228" s="40" t="inlineStr">
        <is>
          <t>кг</t>
        </is>
      </c>
      <c r="X228" s="524">
        <f>IFERROR(SUMPRODUCT(X225:X226*H225:H226),"0")</f>
        <v/>
      </c>
      <c r="Y228" s="524">
        <f>IFERROR(SUMPRODUCT(Y225:Y226*H225:H226),"0")</f>
        <v/>
      </c>
      <c r="Z228" s="40" t="n"/>
      <c r="AA228" s="525" t="n"/>
      <c r="AB228" s="525" t="n"/>
      <c r="AC228" s="525" t="n"/>
    </row>
    <row r="229" ht="27.75" customHeight="1">
      <c r="A229" s="350" t="inlineStr">
        <is>
          <t>Колбасный стандарт</t>
        </is>
      </c>
      <c r="B229" s="515" t="n"/>
      <c r="C229" s="515" t="n"/>
      <c r="D229" s="515" t="n"/>
      <c r="E229" s="515" t="n"/>
      <c r="F229" s="515" t="n"/>
      <c r="G229" s="515" t="n"/>
      <c r="H229" s="515" t="n"/>
      <c r="I229" s="515" t="n"/>
      <c r="J229" s="515" t="n"/>
      <c r="K229" s="515" t="n"/>
      <c r="L229" s="515" t="n"/>
      <c r="M229" s="515" t="n"/>
      <c r="N229" s="515" t="n"/>
      <c r="O229" s="515" t="n"/>
      <c r="P229" s="515" t="n"/>
      <c r="Q229" s="515" t="n"/>
      <c r="R229" s="515" t="n"/>
      <c r="S229" s="515" t="n"/>
      <c r="T229" s="515" t="n"/>
      <c r="U229" s="515" t="n"/>
      <c r="V229" s="515" t="n"/>
      <c r="W229" s="515" t="n"/>
      <c r="X229" s="515" t="n"/>
      <c r="Y229" s="515" t="n"/>
      <c r="Z229" s="515" t="n"/>
      <c r="AA229" s="52" t="n"/>
      <c r="AB229" s="52" t="n"/>
      <c r="AC229" s="52" t="n"/>
    </row>
    <row r="230" ht="16.5" customHeight="1">
      <c r="A230" s="351" t="inlineStr">
        <is>
          <t>Владимирский Стандарт ЗПФ</t>
        </is>
      </c>
      <c r="B230" s="465" t="n"/>
      <c r="C230" s="465" t="n"/>
      <c r="D230" s="465" t="n"/>
      <c r="E230" s="465" t="n"/>
      <c r="F230" s="465" t="n"/>
      <c r="G230" s="465" t="n"/>
      <c r="H230" s="465" t="n"/>
      <c r="I230" s="465" t="n"/>
      <c r="J230" s="465" t="n"/>
      <c r="K230" s="465" t="n"/>
      <c r="L230" s="465" t="n"/>
      <c r="M230" s="465" t="n"/>
      <c r="N230" s="465" t="n"/>
      <c r="O230" s="465" t="n"/>
      <c r="P230" s="465" t="n"/>
      <c r="Q230" s="465" t="n"/>
      <c r="R230" s="465" t="n"/>
      <c r="S230" s="465" t="n"/>
      <c r="T230" s="465" t="n"/>
      <c r="U230" s="465" t="n"/>
      <c r="V230" s="465" t="n"/>
      <c r="W230" s="465" t="n"/>
      <c r="X230" s="465" t="n"/>
      <c r="Y230" s="465" t="n"/>
      <c r="Z230" s="465" t="n"/>
      <c r="AA230" s="351" t="n"/>
      <c r="AB230" s="351" t="n"/>
      <c r="AC230" s="351" t="n"/>
    </row>
    <row r="231" ht="14.25" customHeight="1">
      <c r="A231" s="352" t="inlineStr">
        <is>
          <t>Пельмени</t>
        </is>
      </c>
      <c r="B231" s="465" t="n"/>
      <c r="C231" s="465" t="n"/>
      <c r="D231" s="465" t="n"/>
      <c r="E231" s="465" t="n"/>
      <c r="F231" s="465" t="n"/>
      <c r="G231" s="465" t="n"/>
      <c r="H231" s="465" t="n"/>
      <c r="I231" s="465" t="n"/>
      <c r="J231" s="465" t="n"/>
      <c r="K231" s="465" t="n"/>
      <c r="L231" s="465" t="n"/>
      <c r="M231" s="465" t="n"/>
      <c r="N231" s="465" t="n"/>
      <c r="O231" s="465" t="n"/>
      <c r="P231" s="465" t="n"/>
      <c r="Q231" s="465" t="n"/>
      <c r="R231" s="465" t="n"/>
      <c r="S231" s="465" t="n"/>
      <c r="T231" s="465" t="n"/>
      <c r="U231" s="465" t="n"/>
      <c r="V231" s="465" t="n"/>
      <c r="W231" s="465" t="n"/>
      <c r="X231" s="465" t="n"/>
      <c r="Y231" s="465" t="n"/>
      <c r="Z231" s="465" t="n"/>
      <c r="AA231" s="352" t="n"/>
      <c r="AB231" s="352" t="n"/>
      <c r="AC231" s="352" t="n"/>
    </row>
    <row r="232" ht="27" customHeight="1">
      <c r="A232" s="60" t="inlineStr">
        <is>
          <t>SU002267</t>
        </is>
      </c>
      <c r="B232" s="60" t="inlineStr">
        <is>
          <t>P004241</t>
        </is>
      </c>
      <c r="C232" s="34" t="n">
        <v>4301071036</v>
      </c>
      <c r="D232" s="353" t="n">
        <v>4607111036162</v>
      </c>
      <c r="E232" s="477" t="n"/>
      <c r="F232" s="516" t="n">
        <v>0.8</v>
      </c>
      <c r="G232" s="35" t="n">
        <v>8</v>
      </c>
      <c r="H232" s="516" t="n">
        <v>6.4</v>
      </c>
      <c r="I232" s="516" t="n">
        <v>6.6812</v>
      </c>
      <c r="J232" s="35" t="n">
        <v>84</v>
      </c>
      <c r="K232" s="35" t="inlineStr">
        <is>
          <t>12</t>
        </is>
      </c>
      <c r="L232" s="35" t="inlineStr">
        <is>
          <t>Короб, мин. 1</t>
        </is>
      </c>
      <c r="M232" s="36" t="inlineStr">
        <is>
          <t>МГ</t>
        </is>
      </c>
      <c r="N232" s="36" t="n"/>
      <c r="O232" s="35" t="n">
        <v>90</v>
      </c>
      <c r="P232" s="599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/>
      </c>
      <c r="Q232" s="518" t="n"/>
      <c r="R232" s="518" t="n"/>
      <c r="S232" s="518" t="n"/>
      <c r="T232" s="519" t="n"/>
      <c r="U232" s="37" t="inlineStr"/>
      <c r="V232" s="37" t="inlineStr"/>
      <c r="W232" s="38" t="inlineStr">
        <is>
          <t>кор</t>
        </is>
      </c>
      <c r="X232" s="520" t="n">
        <v>0</v>
      </c>
      <c r="Y232" s="521">
        <f>IFERROR(IF(X232="","",X232),"")</f>
        <v/>
      </c>
      <c r="Z232" s="39">
        <f>IFERROR(IF(X232="","",X232*0.0155),"")</f>
        <v/>
      </c>
      <c r="AA232" s="65" t="inlineStr"/>
      <c r="AB232" s="66" t="inlineStr"/>
      <c r="AC232" s="232" t="inlineStr">
        <is>
          <t>ЕАЭС N RU Д-RU.РА01.В.86313/24</t>
        </is>
      </c>
      <c r="AG232" s="78" t="n"/>
      <c r="AJ232" s="82" t="inlineStr">
        <is>
          <t>Короб</t>
        </is>
      </c>
      <c r="AK232" s="82" t="n">
        <v>1</v>
      </c>
      <c r="BB232" s="233" t="inlineStr">
        <is>
          <t>ЗПФ</t>
        </is>
      </c>
      <c r="BM232" s="78">
        <f>IFERROR(X232*I232,"0")</f>
        <v/>
      </c>
      <c r="BN232" s="78">
        <f>IFERROR(Y232*I232,"0")</f>
        <v/>
      </c>
      <c r="BO232" s="78">
        <f>IFERROR(X232/J232,"0")</f>
        <v/>
      </c>
      <c r="BP232" s="78">
        <f>IFERROR(Y232/J232,"0")</f>
        <v/>
      </c>
    </row>
    <row r="233">
      <c r="A233" s="361" t="n"/>
      <c r="B233" s="465" t="n"/>
      <c r="C233" s="465" t="n"/>
      <c r="D233" s="465" t="n"/>
      <c r="E233" s="465" t="n"/>
      <c r="F233" s="465" t="n"/>
      <c r="G233" s="465" t="n"/>
      <c r="H233" s="465" t="n"/>
      <c r="I233" s="465" t="n"/>
      <c r="J233" s="465" t="n"/>
      <c r="K233" s="465" t="n"/>
      <c r="L233" s="465" t="n"/>
      <c r="M233" s="465" t="n"/>
      <c r="N233" s="465" t="n"/>
      <c r="O233" s="522" t="n"/>
      <c r="P233" s="523" t="inlineStr">
        <is>
          <t>Итого</t>
        </is>
      </c>
      <c r="Q233" s="485" t="n"/>
      <c r="R233" s="485" t="n"/>
      <c r="S233" s="485" t="n"/>
      <c r="T233" s="485" t="n"/>
      <c r="U233" s="485" t="n"/>
      <c r="V233" s="486" t="n"/>
      <c r="W233" s="40" t="inlineStr">
        <is>
          <t>кор</t>
        </is>
      </c>
      <c r="X233" s="524">
        <f>IFERROR(SUM(X232:X232),"0")</f>
        <v/>
      </c>
      <c r="Y233" s="524">
        <f>IFERROR(SUM(Y232:Y232),"0")</f>
        <v/>
      </c>
      <c r="Z233" s="524">
        <f>IFERROR(IF(Z232="",0,Z232),"0")</f>
        <v/>
      </c>
      <c r="AA233" s="525" t="n"/>
      <c r="AB233" s="525" t="n"/>
      <c r="AC233" s="525" t="n"/>
    </row>
    <row r="234">
      <c r="A234" s="465" t="n"/>
      <c r="B234" s="465" t="n"/>
      <c r="C234" s="465" t="n"/>
      <c r="D234" s="465" t="n"/>
      <c r="E234" s="465" t="n"/>
      <c r="F234" s="465" t="n"/>
      <c r="G234" s="465" t="n"/>
      <c r="H234" s="465" t="n"/>
      <c r="I234" s="465" t="n"/>
      <c r="J234" s="465" t="n"/>
      <c r="K234" s="465" t="n"/>
      <c r="L234" s="465" t="n"/>
      <c r="M234" s="465" t="n"/>
      <c r="N234" s="465" t="n"/>
      <c r="O234" s="522" t="n"/>
      <c r="P234" s="523" t="inlineStr">
        <is>
          <t>Итого</t>
        </is>
      </c>
      <c r="Q234" s="485" t="n"/>
      <c r="R234" s="485" t="n"/>
      <c r="S234" s="485" t="n"/>
      <c r="T234" s="485" t="n"/>
      <c r="U234" s="485" t="n"/>
      <c r="V234" s="486" t="n"/>
      <c r="W234" s="40" t="inlineStr">
        <is>
          <t>кг</t>
        </is>
      </c>
      <c r="X234" s="524">
        <f>IFERROR(SUMPRODUCT(X232:X232*H232:H232),"0")</f>
        <v/>
      </c>
      <c r="Y234" s="524">
        <f>IFERROR(SUMPRODUCT(Y232:Y232*H232:H232),"0")</f>
        <v/>
      </c>
      <c r="Z234" s="40" t="n"/>
      <c r="AA234" s="525" t="n"/>
      <c r="AB234" s="525" t="n"/>
      <c r="AC234" s="525" t="n"/>
    </row>
    <row r="235" ht="27.75" customHeight="1">
      <c r="A235" s="350" t="inlineStr">
        <is>
          <t>Особый рецепт</t>
        </is>
      </c>
      <c r="B235" s="515" t="n"/>
      <c r="C235" s="515" t="n"/>
      <c r="D235" s="515" t="n"/>
      <c r="E235" s="515" t="n"/>
      <c r="F235" s="515" t="n"/>
      <c r="G235" s="515" t="n"/>
      <c r="H235" s="515" t="n"/>
      <c r="I235" s="515" t="n"/>
      <c r="J235" s="515" t="n"/>
      <c r="K235" s="515" t="n"/>
      <c r="L235" s="515" t="n"/>
      <c r="M235" s="515" t="n"/>
      <c r="N235" s="515" t="n"/>
      <c r="O235" s="515" t="n"/>
      <c r="P235" s="515" t="n"/>
      <c r="Q235" s="515" t="n"/>
      <c r="R235" s="515" t="n"/>
      <c r="S235" s="515" t="n"/>
      <c r="T235" s="515" t="n"/>
      <c r="U235" s="515" t="n"/>
      <c r="V235" s="515" t="n"/>
      <c r="W235" s="515" t="n"/>
      <c r="X235" s="515" t="n"/>
      <c r="Y235" s="515" t="n"/>
      <c r="Z235" s="515" t="n"/>
      <c r="AA235" s="52" t="n"/>
      <c r="AB235" s="52" t="n"/>
      <c r="AC235" s="52" t="n"/>
    </row>
    <row r="236" ht="16.5" customHeight="1">
      <c r="A236" s="351" t="inlineStr">
        <is>
          <t>Любимая ложка</t>
        </is>
      </c>
      <c r="B236" s="465" t="n"/>
      <c r="C236" s="465" t="n"/>
      <c r="D236" s="465" t="n"/>
      <c r="E236" s="465" t="n"/>
      <c r="F236" s="465" t="n"/>
      <c r="G236" s="465" t="n"/>
      <c r="H236" s="465" t="n"/>
      <c r="I236" s="465" t="n"/>
      <c r="J236" s="465" t="n"/>
      <c r="K236" s="465" t="n"/>
      <c r="L236" s="465" t="n"/>
      <c r="M236" s="465" t="n"/>
      <c r="N236" s="465" t="n"/>
      <c r="O236" s="465" t="n"/>
      <c r="P236" s="465" t="n"/>
      <c r="Q236" s="465" t="n"/>
      <c r="R236" s="465" t="n"/>
      <c r="S236" s="465" t="n"/>
      <c r="T236" s="465" t="n"/>
      <c r="U236" s="465" t="n"/>
      <c r="V236" s="465" t="n"/>
      <c r="W236" s="465" t="n"/>
      <c r="X236" s="465" t="n"/>
      <c r="Y236" s="465" t="n"/>
      <c r="Z236" s="465" t="n"/>
      <c r="AA236" s="351" t="n"/>
      <c r="AB236" s="351" t="n"/>
      <c r="AC236" s="351" t="n"/>
    </row>
    <row r="237" ht="14.25" customHeight="1">
      <c r="A237" s="352" t="inlineStr">
        <is>
          <t>Пельмени</t>
        </is>
      </c>
      <c r="B237" s="465" t="n"/>
      <c r="C237" s="465" t="n"/>
      <c r="D237" s="465" t="n"/>
      <c r="E237" s="465" t="n"/>
      <c r="F237" s="465" t="n"/>
      <c r="G237" s="465" t="n"/>
      <c r="H237" s="465" t="n"/>
      <c r="I237" s="465" t="n"/>
      <c r="J237" s="465" t="n"/>
      <c r="K237" s="465" t="n"/>
      <c r="L237" s="465" t="n"/>
      <c r="M237" s="465" t="n"/>
      <c r="N237" s="465" t="n"/>
      <c r="O237" s="465" t="n"/>
      <c r="P237" s="465" t="n"/>
      <c r="Q237" s="465" t="n"/>
      <c r="R237" s="465" t="n"/>
      <c r="S237" s="465" t="n"/>
      <c r="T237" s="465" t="n"/>
      <c r="U237" s="465" t="n"/>
      <c r="V237" s="465" t="n"/>
      <c r="W237" s="465" t="n"/>
      <c r="X237" s="465" t="n"/>
      <c r="Y237" s="465" t="n"/>
      <c r="Z237" s="465" t="n"/>
      <c r="AA237" s="352" t="n"/>
      <c r="AB237" s="352" t="n"/>
      <c r="AC237" s="352" t="n"/>
    </row>
    <row r="238" ht="27" customHeight="1">
      <c r="A238" s="60" t="inlineStr">
        <is>
          <t>SU002268</t>
        </is>
      </c>
      <c r="B238" s="60" t="inlineStr">
        <is>
          <t>P004081</t>
        </is>
      </c>
      <c r="C238" s="34" t="n">
        <v>4301071029</v>
      </c>
      <c r="D238" s="353" t="n">
        <v>4607111035899</v>
      </c>
      <c r="E238" s="477" t="n"/>
      <c r="F238" s="516" t="n">
        <v>1</v>
      </c>
      <c r="G238" s="35" t="n">
        <v>5</v>
      </c>
      <c r="H238" s="516" t="n">
        <v>5</v>
      </c>
      <c r="I238" s="516" t="n">
        <v>5.262</v>
      </c>
      <c r="J238" s="35" t="n">
        <v>84</v>
      </c>
      <c r="K238" s="35" t="inlineStr">
        <is>
          <t>12</t>
        </is>
      </c>
      <c r="L238" s="35" t="inlineStr">
        <is>
          <t>Короб, мин. 1</t>
        </is>
      </c>
      <c r="M238" s="36" t="inlineStr">
        <is>
          <t>МГ</t>
        </is>
      </c>
      <c r="N238" s="36" t="n"/>
      <c r="O238" s="35" t="n">
        <v>180</v>
      </c>
      <c r="P238" s="600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/>
      </c>
      <c r="Q238" s="518" t="n"/>
      <c r="R238" s="518" t="n"/>
      <c r="S238" s="518" t="n"/>
      <c r="T238" s="519" t="n"/>
      <c r="U238" s="37" t="inlineStr"/>
      <c r="V238" s="37" t="inlineStr"/>
      <c r="W238" s="38" t="inlineStr">
        <is>
          <t>кор</t>
        </is>
      </c>
      <c r="X238" s="520" t="n">
        <v>0</v>
      </c>
      <c r="Y238" s="521">
        <f>IFERROR(IF(X238="","",X238),"")</f>
        <v/>
      </c>
      <c r="Z238" s="39">
        <f>IFERROR(IF(X238="","",X238*0.0155),"")</f>
        <v/>
      </c>
      <c r="AA238" s="65" t="inlineStr"/>
      <c r="AB238" s="66" t="inlineStr"/>
      <c r="AC238" s="234" t="inlineStr">
        <is>
          <t>ЕАЭС N RU Д-RU.РА08.В.65691/23</t>
        </is>
      </c>
      <c r="AG238" s="78" t="n"/>
      <c r="AJ238" s="82" t="inlineStr">
        <is>
          <t>Короб</t>
        </is>
      </c>
      <c r="AK238" s="82" t="n">
        <v>1</v>
      </c>
      <c r="BB238" s="235" t="inlineStr">
        <is>
          <t>ЗПФ</t>
        </is>
      </c>
      <c r="BM238" s="78">
        <f>IFERROR(X238*I238,"0")</f>
        <v/>
      </c>
      <c r="BN238" s="78">
        <f>IFERROR(Y238*I238,"0")</f>
        <v/>
      </c>
      <c r="BO238" s="78">
        <f>IFERROR(X238/J238,"0")</f>
        <v/>
      </c>
      <c r="BP238" s="78">
        <f>IFERROR(Y238/J238,"0")</f>
        <v/>
      </c>
    </row>
    <row r="239">
      <c r="A239" s="361" t="n"/>
      <c r="B239" s="465" t="n"/>
      <c r="C239" s="465" t="n"/>
      <c r="D239" s="465" t="n"/>
      <c r="E239" s="465" t="n"/>
      <c r="F239" s="465" t="n"/>
      <c r="G239" s="465" t="n"/>
      <c r="H239" s="465" t="n"/>
      <c r="I239" s="465" t="n"/>
      <c r="J239" s="465" t="n"/>
      <c r="K239" s="465" t="n"/>
      <c r="L239" s="465" t="n"/>
      <c r="M239" s="465" t="n"/>
      <c r="N239" s="465" t="n"/>
      <c r="O239" s="522" t="n"/>
      <c r="P239" s="523" t="inlineStr">
        <is>
          <t>Итого</t>
        </is>
      </c>
      <c r="Q239" s="485" t="n"/>
      <c r="R239" s="485" t="n"/>
      <c r="S239" s="485" t="n"/>
      <c r="T239" s="485" t="n"/>
      <c r="U239" s="485" t="n"/>
      <c r="V239" s="486" t="n"/>
      <c r="W239" s="40" t="inlineStr">
        <is>
          <t>кор</t>
        </is>
      </c>
      <c r="X239" s="524">
        <f>IFERROR(SUM(X238:X238),"0")</f>
        <v/>
      </c>
      <c r="Y239" s="524">
        <f>IFERROR(SUM(Y238:Y238),"0")</f>
        <v/>
      </c>
      <c r="Z239" s="524">
        <f>IFERROR(IF(Z238="",0,Z238),"0")</f>
        <v/>
      </c>
      <c r="AA239" s="525" t="n"/>
      <c r="AB239" s="525" t="n"/>
      <c r="AC239" s="525" t="n"/>
    </row>
    <row r="240">
      <c r="A240" s="465" t="n"/>
      <c r="B240" s="465" t="n"/>
      <c r="C240" s="465" t="n"/>
      <c r="D240" s="465" t="n"/>
      <c r="E240" s="465" t="n"/>
      <c r="F240" s="465" t="n"/>
      <c r="G240" s="465" t="n"/>
      <c r="H240" s="465" t="n"/>
      <c r="I240" s="465" t="n"/>
      <c r="J240" s="465" t="n"/>
      <c r="K240" s="465" t="n"/>
      <c r="L240" s="465" t="n"/>
      <c r="M240" s="465" t="n"/>
      <c r="N240" s="465" t="n"/>
      <c r="O240" s="522" t="n"/>
      <c r="P240" s="523" t="inlineStr">
        <is>
          <t>Итого</t>
        </is>
      </c>
      <c r="Q240" s="485" t="n"/>
      <c r="R240" s="485" t="n"/>
      <c r="S240" s="485" t="n"/>
      <c r="T240" s="485" t="n"/>
      <c r="U240" s="485" t="n"/>
      <c r="V240" s="486" t="n"/>
      <c r="W240" s="40" t="inlineStr">
        <is>
          <t>кг</t>
        </is>
      </c>
      <c r="X240" s="524">
        <f>IFERROR(SUMPRODUCT(X238:X238*H238:H238),"0")</f>
        <v/>
      </c>
      <c r="Y240" s="524">
        <f>IFERROR(SUMPRODUCT(Y238:Y238*H238:H238),"0")</f>
        <v/>
      </c>
      <c r="Z240" s="40" t="n"/>
      <c r="AA240" s="525" t="n"/>
      <c r="AB240" s="525" t="n"/>
      <c r="AC240" s="525" t="n"/>
    </row>
    <row r="241" ht="27.75" customHeight="1">
      <c r="A241" s="350" t="inlineStr">
        <is>
          <t>Владимирский стандарт</t>
        </is>
      </c>
      <c r="B241" s="515" t="n"/>
      <c r="C241" s="515" t="n"/>
      <c r="D241" s="515" t="n"/>
      <c r="E241" s="515" t="n"/>
      <c r="F241" s="515" t="n"/>
      <c r="G241" s="515" t="n"/>
      <c r="H241" s="515" t="n"/>
      <c r="I241" s="515" t="n"/>
      <c r="J241" s="515" t="n"/>
      <c r="K241" s="515" t="n"/>
      <c r="L241" s="515" t="n"/>
      <c r="M241" s="515" t="n"/>
      <c r="N241" s="515" t="n"/>
      <c r="O241" s="515" t="n"/>
      <c r="P241" s="515" t="n"/>
      <c r="Q241" s="515" t="n"/>
      <c r="R241" s="515" t="n"/>
      <c r="S241" s="515" t="n"/>
      <c r="T241" s="515" t="n"/>
      <c r="U241" s="515" t="n"/>
      <c r="V241" s="515" t="n"/>
      <c r="W241" s="515" t="n"/>
      <c r="X241" s="515" t="n"/>
      <c r="Y241" s="515" t="n"/>
      <c r="Z241" s="515" t="n"/>
      <c r="AA241" s="52" t="n"/>
      <c r="AB241" s="52" t="n"/>
      <c r="AC241" s="52" t="n"/>
    </row>
    <row r="242" ht="16.5" customHeight="1">
      <c r="A242" s="351" t="inlineStr">
        <is>
          <t>Владимирский Стандарт ПГП</t>
        </is>
      </c>
      <c r="B242" s="465" t="n"/>
      <c r="C242" s="465" t="n"/>
      <c r="D242" s="465" t="n"/>
      <c r="E242" s="465" t="n"/>
      <c r="F242" s="465" t="n"/>
      <c r="G242" s="465" t="n"/>
      <c r="H242" s="465" t="n"/>
      <c r="I242" s="465" t="n"/>
      <c r="J242" s="465" t="n"/>
      <c r="K242" s="465" t="n"/>
      <c r="L242" s="465" t="n"/>
      <c r="M242" s="465" t="n"/>
      <c r="N242" s="465" t="n"/>
      <c r="O242" s="465" t="n"/>
      <c r="P242" s="465" t="n"/>
      <c r="Q242" s="465" t="n"/>
      <c r="R242" s="465" t="n"/>
      <c r="S242" s="465" t="n"/>
      <c r="T242" s="465" t="n"/>
      <c r="U242" s="465" t="n"/>
      <c r="V242" s="465" t="n"/>
      <c r="W242" s="465" t="n"/>
      <c r="X242" s="465" t="n"/>
      <c r="Y242" s="465" t="n"/>
      <c r="Z242" s="465" t="n"/>
      <c r="AA242" s="351" t="n"/>
      <c r="AB242" s="351" t="n"/>
      <c r="AC242" s="351" t="n"/>
    </row>
    <row r="243" ht="14.25" customHeight="1">
      <c r="A243" s="352" t="inlineStr">
        <is>
          <t>Печеные пельмени</t>
        </is>
      </c>
      <c r="B243" s="465" t="n"/>
      <c r="C243" s="465" t="n"/>
      <c r="D243" s="465" t="n"/>
      <c r="E243" s="465" t="n"/>
      <c r="F243" s="465" t="n"/>
      <c r="G243" s="465" t="n"/>
      <c r="H243" s="465" t="n"/>
      <c r="I243" s="465" t="n"/>
      <c r="J243" s="465" t="n"/>
      <c r="K243" s="465" t="n"/>
      <c r="L243" s="465" t="n"/>
      <c r="M243" s="465" t="n"/>
      <c r="N243" s="465" t="n"/>
      <c r="O243" s="465" t="n"/>
      <c r="P243" s="465" t="n"/>
      <c r="Q243" s="465" t="n"/>
      <c r="R243" s="465" t="n"/>
      <c r="S243" s="465" t="n"/>
      <c r="T243" s="465" t="n"/>
      <c r="U243" s="465" t="n"/>
      <c r="V243" s="465" t="n"/>
      <c r="W243" s="465" t="n"/>
      <c r="X243" s="465" t="n"/>
      <c r="Y243" s="465" t="n"/>
      <c r="Z243" s="465" t="n"/>
      <c r="AA243" s="352" t="n"/>
      <c r="AB243" s="352" t="n"/>
      <c r="AC243" s="352" t="n"/>
    </row>
    <row r="244" ht="27" customHeight="1">
      <c r="A244" s="60" t="inlineStr">
        <is>
          <t>SU003457</t>
        </is>
      </c>
      <c r="B244" s="60" t="inlineStr">
        <is>
          <t>P004382</t>
        </is>
      </c>
      <c r="C244" s="34" t="n">
        <v>4301133004</v>
      </c>
      <c r="D244" s="353" t="n">
        <v>4607111039774</v>
      </c>
      <c r="E244" s="477" t="n"/>
      <c r="F244" s="516" t="n">
        <v>0.25</v>
      </c>
      <c r="G244" s="35" t="n">
        <v>12</v>
      </c>
      <c r="H244" s="516" t="n">
        <v>3</v>
      </c>
      <c r="I244" s="516" t="n">
        <v>3.22</v>
      </c>
      <c r="J244" s="35" t="n">
        <v>70</v>
      </c>
      <c r="K244" s="35" t="inlineStr">
        <is>
          <t>14</t>
        </is>
      </c>
      <c r="L244" s="35" t="inlineStr">
        <is>
          <t>Короб, мин. 1</t>
        </is>
      </c>
      <c r="M244" s="36" t="inlineStr">
        <is>
          <t>МГ</t>
        </is>
      </c>
      <c r="N244" s="36" t="n"/>
      <c r="O244" s="35" t="n">
        <v>180</v>
      </c>
      <c r="P244" s="601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/>
      </c>
      <c r="Q244" s="518" t="n"/>
      <c r="R244" s="518" t="n"/>
      <c r="S244" s="518" t="n"/>
      <c r="T244" s="519" t="n"/>
      <c r="U244" s="37" t="inlineStr"/>
      <c r="V244" s="37" t="inlineStr"/>
      <c r="W244" s="38" t="inlineStr">
        <is>
          <t>кор</t>
        </is>
      </c>
      <c r="X244" s="520" t="n">
        <v>0</v>
      </c>
      <c r="Y244" s="521">
        <f>IFERROR(IF(X244="","",X244),"")</f>
        <v/>
      </c>
      <c r="Z244" s="39">
        <f>IFERROR(IF(X244="","",X244*0.01788),"")</f>
        <v/>
      </c>
      <c r="AA244" s="65" t="inlineStr"/>
      <c r="AB244" s="66" t="inlineStr"/>
      <c r="AC244" s="236" t="inlineStr">
        <is>
          <t>ЕАЭС N RU Д-RU.РА04.В.81528/24</t>
        </is>
      </c>
      <c r="AG244" s="78" t="n"/>
      <c r="AJ244" s="82" t="inlineStr">
        <is>
          <t>Короб</t>
        </is>
      </c>
      <c r="AK244" s="82" t="n">
        <v>1</v>
      </c>
      <c r="BB244" s="237" t="inlineStr">
        <is>
          <t>ПГП</t>
        </is>
      </c>
      <c r="BM244" s="78">
        <f>IFERROR(X244*I244,"0")</f>
        <v/>
      </c>
      <c r="BN244" s="78">
        <f>IFERROR(Y244*I244,"0")</f>
        <v/>
      </c>
      <c r="BO244" s="78">
        <f>IFERROR(X244/J244,"0")</f>
        <v/>
      </c>
      <c r="BP244" s="78">
        <f>IFERROR(Y244/J244,"0")</f>
        <v/>
      </c>
    </row>
    <row r="245">
      <c r="A245" s="361" t="n"/>
      <c r="B245" s="465" t="n"/>
      <c r="C245" s="465" t="n"/>
      <c r="D245" s="465" t="n"/>
      <c r="E245" s="465" t="n"/>
      <c r="F245" s="465" t="n"/>
      <c r="G245" s="465" t="n"/>
      <c r="H245" s="465" t="n"/>
      <c r="I245" s="465" t="n"/>
      <c r="J245" s="465" t="n"/>
      <c r="K245" s="465" t="n"/>
      <c r="L245" s="465" t="n"/>
      <c r="M245" s="465" t="n"/>
      <c r="N245" s="465" t="n"/>
      <c r="O245" s="522" t="n"/>
      <c r="P245" s="523" t="inlineStr">
        <is>
          <t>Итого</t>
        </is>
      </c>
      <c r="Q245" s="485" t="n"/>
      <c r="R245" s="485" t="n"/>
      <c r="S245" s="485" t="n"/>
      <c r="T245" s="485" t="n"/>
      <c r="U245" s="485" t="n"/>
      <c r="V245" s="486" t="n"/>
      <c r="W245" s="40" t="inlineStr">
        <is>
          <t>кор</t>
        </is>
      </c>
      <c r="X245" s="524">
        <f>IFERROR(SUM(X244:X244),"0")</f>
        <v/>
      </c>
      <c r="Y245" s="524">
        <f>IFERROR(SUM(Y244:Y244),"0")</f>
        <v/>
      </c>
      <c r="Z245" s="524">
        <f>IFERROR(IF(Z244="",0,Z244),"0")</f>
        <v/>
      </c>
      <c r="AA245" s="525" t="n"/>
      <c r="AB245" s="525" t="n"/>
      <c r="AC245" s="525" t="n"/>
    </row>
    <row r="246">
      <c r="A246" s="465" t="n"/>
      <c r="B246" s="465" t="n"/>
      <c r="C246" s="465" t="n"/>
      <c r="D246" s="465" t="n"/>
      <c r="E246" s="465" t="n"/>
      <c r="F246" s="465" t="n"/>
      <c r="G246" s="465" t="n"/>
      <c r="H246" s="465" t="n"/>
      <c r="I246" s="465" t="n"/>
      <c r="J246" s="465" t="n"/>
      <c r="K246" s="465" t="n"/>
      <c r="L246" s="465" t="n"/>
      <c r="M246" s="465" t="n"/>
      <c r="N246" s="465" t="n"/>
      <c r="O246" s="522" t="n"/>
      <c r="P246" s="523" t="inlineStr">
        <is>
          <t>Итого</t>
        </is>
      </c>
      <c r="Q246" s="485" t="n"/>
      <c r="R246" s="485" t="n"/>
      <c r="S246" s="485" t="n"/>
      <c r="T246" s="485" t="n"/>
      <c r="U246" s="485" t="n"/>
      <c r="V246" s="486" t="n"/>
      <c r="W246" s="40" t="inlineStr">
        <is>
          <t>кг</t>
        </is>
      </c>
      <c r="X246" s="524">
        <f>IFERROR(SUMPRODUCT(X244:X244*H244:H244),"0")</f>
        <v/>
      </c>
      <c r="Y246" s="524">
        <f>IFERROR(SUMPRODUCT(Y244:Y244*H244:H244),"0")</f>
        <v/>
      </c>
      <c r="Z246" s="40" t="n"/>
      <c r="AA246" s="525" t="n"/>
      <c r="AB246" s="525" t="n"/>
      <c r="AC246" s="525" t="n"/>
    </row>
    <row r="247" ht="14.25" customHeight="1">
      <c r="A247" s="352" t="inlineStr">
        <is>
          <t>Снеки</t>
        </is>
      </c>
      <c r="B247" s="465" t="n"/>
      <c r="C247" s="465" t="n"/>
      <c r="D247" s="465" t="n"/>
      <c r="E247" s="465" t="n"/>
      <c r="F247" s="465" t="n"/>
      <c r="G247" s="465" t="n"/>
      <c r="H247" s="465" t="n"/>
      <c r="I247" s="465" t="n"/>
      <c r="J247" s="465" t="n"/>
      <c r="K247" s="465" t="n"/>
      <c r="L247" s="465" t="n"/>
      <c r="M247" s="465" t="n"/>
      <c r="N247" s="465" t="n"/>
      <c r="O247" s="465" t="n"/>
      <c r="P247" s="465" t="n"/>
      <c r="Q247" s="465" t="n"/>
      <c r="R247" s="465" t="n"/>
      <c r="S247" s="465" t="n"/>
      <c r="T247" s="465" t="n"/>
      <c r="U247" s="465" t="n"/>
      <c r="V247" s="465" t="n"/>
      <c r="W247" s="465" t="n"/>
      <c r="X247" s="465" t="n"/>
      <c r="Y247" s="465" t="n"/>
      <c r="Z247" s="465" t="n"/>
      <c r="AA247" s="352" t="n"/>
      <c r="AB247" s="352" t="n"/>
      <c r="AC247" s="352" t="n"/>
    </row>
    <row r="248" ht="37.5" customHeight="1">
      <c r="A248" s="60" t="inlineStr">
        <is>
          <t>SU003458</t>
        </is>
      </c>
      <c r="B248" s="60" t="inlineStr">
        <is>
          <t>P004385</t>
        </is>
      </c>
      <c r="C248" s="34" t="n">
        <v>4301135400</v>
      </c>
      <c r="D248" s="353" t="n">
        <v>4607111039361</v>
      </c>
      <c r="E248" s="477" t="n"/>
      <c r="F248" s="516" t="n">
        <v>0.25</v>
      </c>
      <c r="G248" s="35" t="n">
        <v>12</v>
      </c>
      <c r="H248" s="516" t="n">
        <v>3</v>
      </c>
      <c r="I248" s="516" t="n">
        <v>3.7036</v>
      </c>
      <c r="J248" s="35" t="n">
        <v>70</v>
      </c>
      <c r="K248" s="35" t="inlineStr">
        <is>
          <t>14</t>
        </is>
      </c>
      <c r="L248" s="35" t="inlineStr">
        <is>
          <t>Короб, мин. 1</t>
        </is>
      </c>
      <c r="M248" s="36" t="inlineStr">
        <is>
          <t>МГ</t>
        </is>
      </c>
      <c r="N248" s="36" t="n"/>
      <c r="O248" s="35" t="n">
        <v>180</v>
      </c>
      <c r="P248" s="602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/>
      </c>
      <c r="Q248" s="518" t="n"/>
      <c r="R248" s="518" t="n"/>
      <c r="S248" s="518" t="n"/>
      <c r="T248" s="519" t="n"/>
      <c r="U248" s="37" t="inlineStr"/>
      <c r="V248" s="37" t="inlineStr"/>
      <c r="W248" s="38" t="inlineStr">
        <is>
          <t>кор</t>
        </is>
      </c>
      <c r="X248" s="520" t="n">
        <v>0</v>
      </c>
      <c r="Y248" s="521">
        <f>IFERROR(IF(X248="","",X248),"")</f>
        <v/>
      </c>
      <c r="Z248" s="39">
        <f>IFERROR(IF(X248="","",X248*0.01788),"")</f>
        <v/>
      </c>
      <c r="AA248" s="65" t="inlineStr"/>
      <c r="AB248" s="66" t="inlineStr"/>
      <c r="AC248" s="238" t="inlineStr">
        <is>
          <t>ЕАЭС N RU Д-RU.РА04.В.81528/24</t>
        </is>
      </c>
      <c r="AG248" s="78" t="n"/>
      <c r="AJ248" s="82" t="inlineStr">
        <is>
          <t>Короб</t>
        </is>
      </c>
      <c r="AK248" s="82" t="n">
        <v>1</v>
      </c>
      <c r="BB248" s="239" t="inlineStr">
        <is>
          <t>ПГП</t>
        </is>
      </c>
      <c r="BM248" s="78">
        <f>IFERROR(X248*I248,"0")</f>
        <v/>
      </c>
      <c r="BN248" s="78">
        <f>IFERROR(Y248*I248,"0")</f>
        <v/>
      </c>
      <c r="BO248" s="78">
        <f>IFERROR(X248/J248,"0")</f>
        <v/>
      </c>
      <c r="BP248" s="78">
        <f>IFERROR(Y248/J248,"0")</f>
        <v/>
      </c>
    </row>
    <row r="249">
      <c r="A249" s="361" t="n"/>
      <c r="B249" s="465" t="n"/>
      <c r="C249" s="465" t="n"/>
      <c r="D249" s="465" t="n"/>
      <c r="E249" s="465" t="n"/>
      <c r="F249" s="465" t="n"/>
      <c r="G249" s="465" t="n"/>
      <c r="H249" s="465" t="n"/>
      <c r="I249" s="465" t="n"/>
      <c r="J249" s="465" t="n"/>
      <c r="K249" s="465" t="n"/>
      <c r="L249" s="465" t="n"/>
      <c r="M249" s="465" t="n"/>
      <c r="N249" s="465" t="n"/>
      <c r="O249" s="522" t="n"/>
      <c r="P249" s="523" t="inlineStr">
        <is>
          <t>Итого</t>
        </is>
      </c>
      <c r="Q249" s="485" t="n"/>
      <c r="R249" s="485" t="n"/>
      <c r="S249" s="485" t="n"/>
      <c r="T249" s="485" t="n"/>
      <c r="U249" s="485" t="n"/>
      <c r="V249" s="486" t="n"/>
      <c r="W249" s="40" t="inlineStr">
        <is>
          <t>кор</t>
        </is>
      </c>
      <c r="X249" s="524">
        <f>IFERROR(SUM(X248:X248),"0")</f>
        <v/>
      </c>
      <c r="Y249" s="524">
        <f>IFERROR(SUM(Y248:Y248),"0")</f>
        <v/>
      </c>
      <c r="Z249" s="524">
        <f>IFERROR(IF(Z248="",0,Z248),"0")</f>
        <v/>
      </c>
      <c r="AA249" s="525" t="n"/>
      <c r="AB249" s="525" t="n"/>
      <c r="AC249" s="525" t="n"/>
    </row>
    <row r="250">
      <c r="A250" s="465" t="n"/>
      <c r="B250" s="465" t="n"/>
      <c r="C250" s="465" t="n"/>
      <c r="D250" s="465" t="n"/>
      <c r="E250" s="465" t="n"/>
      <c r="F250" s="465" t="n"/>
      <c r="G250" s="465" t="n"/>
      <c r="H250" s="465" t="n"/>
      <c r="I250" s="465" t="n"/>
      <c r="J250" s="465" t="n"/>
      <c r="K250" s="465" t="n"/>
      <c r="L250" s="465" t="n"/>
      <c r="M250" s="465" t="n"/>
      <c r="N250" s="465" t="n"/>
      <c r="O250" s="522" t="n"/>
      <c r="P250" s="523" t="inlineStr">
        <is>
          <t>Итого</t>
        </is>
      </c>
      <c r="Q250" s="485" t="n"/>
      <c r="R250" s="485" t="n"/>
      <c r="S250" s="485" t="n"/>
      <c r="T250" s="485" t="n"/>
      <c r="U250" s="485" t="n"/>
      <c r="V250" s="486" t="n"/>
      <c r="W250" s="40" t="inlineStr">
        <is>
          <t>кг</t>
        </is>
      </c>
      <c r="X250" s="524">
        <f>IFERROR(SUMPRODUCT(X248:X248*H248:H248),"0")</f>
        <v/>
      </c>
      <c r="Y250" s="524">
        <f>IFERROR(SUMPRODUCT(Y248:Y248*H248:H248),"0")</f>
        <v/>
      </c>
      <c r="Z250" s="40" t="n"/>
      <c r="AA250" s="525" t="n"/>
      <c r="AB250" s="525" t="n"/>
      <c r="AC250" s="525" t="n"/>
    </row>
    <row r="251" ht="27.75" customHeight="1">
      <c r="A251" s="350" t="inlineStr">
        <is>
          <t>Зареченские продукты</t>
        </is>
      </c>
      <c r="B251" s="515" t="n"/>
      <c r="C251" s="515" t="n"/>
      <c r="D251" s="515" t="n"/>
      <c r="E251" s="515" t="n"/>
      <c r="F251" s="515" t="n"/>
      <c r="G251" s="515" t="n"/>
      <c r="H251" s="515" t="n"/>
      <c r="I251" s="515" t="n"/>
      <c r="J251" s="515" t="n"/>
      <c r="K251" s="515" t="n"/>
      <c r="L251" s="515" t="n"/>
      <c r="M251" s="515" t="n"/>
      <c r="N251" s="515" t="n"/>
      <c r="O251" s="515" t="n"/>
      <c r="P251" s="515" t="n"/>
      <c r="Q251" s="515" t="n"/>
      <c r="R251" s="515" t="n"/>
      <c r="S251" s="515" t="n"/>
      <c r="T251" s="515" t="n"/>
      <c r="U251" s="515" t="n"/>
      <c r="V251" s="515" t="n"/>
      <c r="W251" s="515" t="n"/>
      <c r="X251" s="515" t="n"/>
      <c r="Y251" s="515" t="n"/>
      <c r="Z251" s="515" t="n"/>
      <c r="AA251" s="52" t="n"/>
      <c r="AB251" s="52" t="n"/>
      <c r="AC251" s="52" t="n"/>
    </row>
    <row r="252" ht="16.5" customHeight="1">
      <c r="A252" s="351" t="inlineStr">
        <is>
          <t>Зареченские продукты</t>
        </is>
      </c>
      <c r="B252" s="465" t="n"/>
      <c r="C252" s="465" t="n"/>
      <c r="D252" s="465" t="n"/>
      <c r="E252" s="465" t="n"/>
      <c r="F252" s="465" t="n"/>
      <c r="G252" s="465" t="n"/>
      <c r="H252" s="465" t="n"/>
      <c r="I252" s="465" t="n"/>
      <c r="J252" s="465" t="n"/>
      <c r="K252" s="465" t="n"/>
      <c r="L252" s="465" t="n"/>
      <c r="M252" s="465" t="n"/>
      <c r="N252" s="465" t="n"/>
      <c r="O252" s="465" t="n"/>
      <c r="P252" s="465" t="n"/>
      <c r="Q252" s="465" t="n"/>
      <c r="R252" s="465" t="n"/>
      <c r="S252" s="465" t="n"/>
      <c r="T252" s="465" t="n"/>
      <c r="U252" s="465" t="n"/>
      <c r="V252" s="465" t="n"/>
      <c r="W252" s="465" t="n"/>
      <c r="X252" s="465" t="n"/>
      <c r="Y252" s="465" t="n"/>
      <c r="Z252" s="465" t="n"/>
      <c r="AA252" s="351" t="n"/>
      <c r="AB252" s="351" t="n"/>
      <c r="AC252" s="351" t="n"/>
    </row>
    <row r="253" ht="14.25" customHeight="1">
      <c r="A253" s="352" t="inlineStr">
        <is>
          <t>Пельмени</t>
        </is>
      </c>
      <c r="B253" s="465" t="n"/>
      <c r="C253" s="465" t="n"/>
      <c r="D253" s="465" t="n"/>
      <c r="E253" s="465" t="n"/>
      <c r="F253" s="465" t="n"/>
      <c r="G253" s="465" t="n"/>
      <c r="H253" s="465" t="n"/>
      <c r="I253" s="465" t="n"/>
      <c r="J253" s="465" t="n"/>
      <c r="K253" s="465" t="n"/>
      <c r="L253" s="465" t="n"/>
      <c r="M253" s="465" t="n"/>
      <c r="N253" s="465" t="n"/>
      <c r="O253" s="465" t="n"/>
      <c r="P253" s="465" t="n"/>
      <c r="Q253" s="465" t="n"/>
      <c r="R253" s="465" t="n"/>
      <c r="S253" s="465" t="n"/>
      <c r="T253" s="465" t="n"/>
      <c r="U253" s="465" t="n"/>
      <c r="V253" s="465" t="n"/>
      <c r="W253" s="465" t="n"/>
      <c r="X253" s="465" t="n"/>
      <c r="Y253" s="465" t="n"/>
      <c r="Z253" s="465" t="n"/>
      <c r="AA253" s="352" t="n"/>
      <c r="AB253" s="352" t="n"/>
      <c r="AC253" s="352" t="n"/>
    </row>
    <row r="254" ht="27" customHeight="1">
      <c r="A254" s="60" t="inlineStr">
        <is>
          <t>SU003319</t>
        </is>
      </c>
      <c r="B254" s="60" t="inlineStr">
        <is>
          <t>P004053</t>
        </is>
      </c>
      <c r="C254" s="34" t="n">
        <v>4301071014</v>
      </c>
      <c r="D254" s="353" t="n">
        <v>4640242181264</v>
      </c>
      <c r="E254" s="477" t="n"/>
      <c r="F254" s="516" t="n">
        <v>0.7</v>
      </c>
      <c r="G254" s="35" t="n">
        <v>10</v>
      </c>
      <c r="H254" s="516" t="n">
        <v>7</v>
      </c>
      <c r="I254" s="516" t="n">
        <v>7.28</v>
      </c>
      <c r="J254" s="35" t="n">
        <v>84</v>
      </c>
      <c r="K254" s="35" t="inlineStr">
        <is>
          <t>12</t>
        </is>
      </c>
      <c r="L254" s="35" t="inlineStr">
        <is>
          <t>Короб, мин. 1</t>
        </is>
      </c>
      <c r="M254" s="36" t="inlineStr">
        <is>
          <t>МГ</t>
        </is>
      </c>
      <c r="N254" s="36" t="n"/>
      <c r="O254" s="35" t="n">
        <v>180</v>
      </c>
      <c r="P254" s="603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/>
      </c>
      <c r="Q254" s="518" t="n"/>
      <c r="R254" s="518" t="n"/>
      <c r="S254" s="518" t="n"/>
      <c r="T254" s="519" t="n"/>
      <c r="U254" s="37" t="inlineStr"/>
      <c r="V254" s="37" t="inlineStr"/>
      <c r="W254" s="38" t="inlineStr">
        <is>
          <t>кор</t>
        </is>
      </c>
      <c r="X254" s="520" t="n">
        <v>0</v>
      </c>
      <c r="Y254" s="521">
        <f>IFERROR(IF(X254="","",X254),"")</f>
        <v/>
      </c>
      <c r="Z254" s="39">
        <f>IFERROR(IF(X254="","",X254*0.0155),"")</f>
        <v/>
      </c>
      <c r="AA254" s="65" t="inlineStr"/>
      <c r="AB254" s="66" t="inlineStr"/>
      <c r="AC254" s="240" t="inlineStr">
        <is>
          <t>ЕАЭС N RU Д-RU.РА01.В.15225/24</t>
        </is>
      </c>
      <c r="AG254" s="78" t="n"/>
      <c r="AJ254" s="82" t="inlineStr">
        <is>
          <t>Короб</t>
        </is>
      </c>
      <c r="AK254" s="82" t="n">
        <v>1</v>
      </c>
      <c r="BB254" s="241" t="inlineStr">
        <is>
          <t>ЗПФ</t>
        </is>
      </c>
      <c r="BM254" s="78">
        <f>IFERROR(X254*I254,"0")</f>
        <v/>
      </c>
      <c r="BN254" s="78">
        <f>IFERROR(Y254*I254,"0")</f>
        <v/>
      </c>
      <c r="BO254" s="78">
        <f>IFERROR(X254/J254,"0")</f>
        <v/>
      </c>
      <c r="BP254" s="78">
        <f>IFERROR(Y254/J254,"0")</f>
        <v/>
      </c>
    </row>
    <row r="255" ht="27" customHeight="1">
      <c r="A255" s="60" t="inlineStr">
        <is>
          <t>SU003320</t>
        </is>
      </c>
      <c r="B255" s="60" t="inlineStr">
        <is>
          <t>P004060</t>
        </is>
      </c>
      <c r="C255" s="34" t="n">
        <v>4301071021</v>
      </c>
      <c r="D255" s="353" t="n">
        <v>4640242181325</v>
      </c>
      <c r="E255" s="477" t="n"/>
      <c r="F255" s="516" t="n">
        <v>0.7</v>
      </c>
      <c r="G255" s="35" t="n">
        <v>10</v>
      </c>
      <c r="H255" s="516" t="n">
        <v>7</v>
      </c>
      <c r="I255" s="516" t="n">
        <v>7.28</v>
      </c>
      <c r="J255" s="35" t="n">
        <v>84</v>
      </c>
      <c r="K255" s="35" t="inlineStr">
        <is>
          <t>12</t>
        </is>
      </c>
      <c r="L255" s="35" t="inlineStr">
        <is>
          <t>Короб, мин. 1</t>
        </is>
      </c>
      <c r="M255" s="36" t="inlineStr">
        <is>
          <t>МГ</t>
        </is>
      </c>
      <c r="N255" s="36" t="n"/>
      <c r="O255" s="35" t="n">
        <v>180</v>
      </c>
      <c r="P255" s="604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/>
      </c>
      <c r="Q255" s="518" t="n"/>
      <c r="R255" s="518" t="n"/>
      <c r="S255" s="518" t="n"/>
      <c r="T255" s="519" t="n"/>
      <c r="U255" s="37" t="inlineStr"/>
      <c r="V255" s="37" t="inlineStr"/>
      <c r="W255" s="38" t="inlineStr">
        <is>
          <t>кор</t>
        </is>
      </c>
      <c r="X255" s="520" t="n">
        <v>0</v>
      </c>
      <c r="Y255" s="521">
        <f>IFERROR(IF(X255="","",X255),"")</f>
        <v/>
      </c>
      <c r="Z255" s="39">
        <f>IFERROR(IF(X255="","",X255*0.0155),"")</f>
        <v/>
      </c>
      <c r="AA255" s="65" t="inlineStr"/>
      <c r="AB255" s="66" t="inlineStr"/>
      <c r="AC255" s="242" t="inlineStr">
        <is>
          <t>ЕАЭС N RU Д-RU.РА01.В.15225/24</t>
        </is>
      </c>
      <c r="AG255" s="78" t="n"/>
      <c r="AJ255" s="82" t="inlineStr">
        <is>
          <t>Короб</t>
        </is>
      </c>
      <c r="AK255" s="82" t="n">
        <v>1</v>
      </c>
      <c r="BB255" s="243" t="inlineStr">
        <is>
          <t>ЗПФ</t>
        </is>
      </c>
      <c r="BM255" s="78">
        <f>IFERROR(X255*I255,"0")</f>
        <v/>
      </c>
      <c r="BN255" s="78">
        <f>IFERROR(Y255*I255,"0")</f>
        <v/>
      </c>
      <c r="BO255" s="78">
        <f>IFERROR(X255/J255,"0")</f>
        <v/>
      </c>
      <c r="BP255" s="78">
        <f>IFERROR(Y255/J255,"0")</f>
        <v/>
      </c>
    </row>
    <row r="256" ht="27" customHeight="1">
      <c r="A256" s="60" t="inlineStr">
        <is>
          <t>SU003086</t>
        </is>
      </c>
      <c r="B256" s="60" t="inlineStr">
        <is>
          <t>P003803</t>
        </is>
      </c>
      <c r="C256" s="34" t="n">
        <v>4301070993</v>
      </c>
      <c r="D256" s="353" t="n">
        <v>4640242180670</v>
      </c>
      <c r="E256" s="477" t="n"/>
      <c r="F256" s="516" t="n">
        <v>1</v>
      </c>
      <c r="G256" s="35" t="n">
        <v>6</v>
      </c>
      <c r="H256" s="516" t="n">
        <v>6</v>
      </c>
      <c r="I256" s="516" t="n">
        <v>6.23</v>
      </c>
      <c r="J256" s="35" t="n">
        <v>84</v>
      </c>
      <c r="K256" s="35" t="inlineStr">
        <is>
          <t>12</t>
        </is>
      </c>
      <c r="L256" s="35" t="inlineStr">
        <is>
          <t>Короб, мин. 1</t>
        </is>
      </c>
      <c r="M256" s="36" t="inlineStr">
        <is>
          <t>МГ</t>
        </is>
      </c>
      <c r="N256" s="36" t="n"/>
      <c r="O256" s="35" t="n">
        <v>180</v>
      </c>
      <c r="P256" s="605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/>
      </c>
      <c r="Q256" s="518" t="n"/>
      <c r="R256" s="518" t="n"/>
      <c r="S256" s="518" t="n"/>
      <c r="T256" s="519" t="n"/>
      <c r="U256" s="37" t="inlineStr"/>
      <c r="V256" s="37" t="inlineStr"/>
      <c r="W256" s="38" t="inlineStr">
        <is>
          <t>кор</t>
        </is>
      </c>
      <c r="X256" s="520" t="n">
        <v>0</v>
      </c>
      <c r="Y256" s="521">
        <f>IFERROR(IF(X256="","",X256),"")</f>
        <v/>
      </c>
      <c r="Z256" s="39">
        <f>IFERROR(IF(X256="","",X256*0.0155),"")</f>
        <v/>
      </c>
      <c r="AA256" s="65" t="inlineStr"/>
      <c r="AB256" s="66" t="inlineStr"/>
      <c r="AC256" s="244" t="inlineStr">
        <is>
          <t>ЕАЭС N RU Д-RU.РА05.В.31150/22</t>
        </is>
      </c>
      <c r="AG256" s="78" t="n"/>
      <c r="AJ256" s="82" t="inlineStr">
        <is>
          <t>Короб</t>
        </is>
      </c>
      <c r="AK256" s="82" t="n">
        <v>1</v>
      </c>
      <c r="BB256" s="245" t="inlineStr">
        <is>
          <t>ЗПФ</t>
        </is>
      </c>
      <c r="BM256" s="78">
        <f>IFERROR(X256*I256,"0")</f>
        <v/>
      </c>
      <c r="BN256" s="78">
        <f>IFERROR(Y256*I256,"0")</f>
        <v/>
      </c>
      <c r="BO256" s="78">
        <f>IFERROR(X256/J256,"0")</f>
        <v/>
      </c>
      <c r="BP256" s="78">
        <f>IFERROR(Y256/J256,"0")</f>
        <v/>
      </c>
    </row>
    <row r="257">
      <c r="A257" s="361" t="n"/>
      <c r="B257" s="465" t="n"/>
      <c r="C257" s="465" t="n"/>
      <c r="D257" s="465" t="n"/>
      <c r="E257" s="465" t="n"/>
      <c r="F257" s="465" t="n"/>
      <c r="G257" s="465" t="n"/>
      <c r="H257" s="465" t="n"/>
      <c r="I257" s="465" t="n"/>
      <c r="J257" s="465" t="n"/>
      <c r="K257" s="465" t="n"/>
      <c r="L257" s="465" t="n"/>
      <c r="M257" s="465" t="n"/>
      <c r="N257" s="465" t="n"/>
      <c r="O257" s="522" t="n"/>
      <c r="P257" s="523" t="inlineStr">
        <is>
          <t>Итого</t>
        </is>
      </c>
      <c r="Q257" s="485" t="n"/>
      <c r="R257" s="485" t="n"/>
      <c r="S257" s="485" t="n"/>
      <c r="T257" s="485" t="n"/>
      <c r="U257" s="485" t="n"/>
      <c r="V257" s="486" t="n"/>
      <c r="W257" s="40" t="inlineStr">
        <is>
          <t>кор</t>
        </is>
      </c>
      <c r="X257" s="524">
        <f>IFERROR(SUM(X254:X256),"0")</f>
        <v/>
      </c>
      <c r="Y257" s="524">
        <f>IFERROR(SUM(Y254:Y256),"0")</f>
        <v/>
      </c>
      <c r="Z257" s="524">
        <f>IFERROR(IF(Z254="",0,Z254),"0")+IFERROR(IF(Z255="",0,Z255),"0")+IFERROR(IF(Z256="",0,Z256),"0")</f>
        <v/>
      </c>
      <c r="AA257" s="525" t="n"/>
      <c r="AB257" s="525" t="n"/>
      <c r="AC257" s="525" t="n"/>
    </row>
    <row r="258">
      <c r="A258" s="465" t="n"/>
      <c r="B258" s="465" t="n"/>
      <c r="C258" s="465" t="n"/>
      <c r="D258" s="465" t="n"/>
      <c r="E258" s="465" t="n"/>
      <c r="F258" s="465" t="n"/>
      <c r="G258" s="465" t="n"/>
      <c r="H258" s="465" t="n"/>
      <c r="I258" s="465" t="n"/>
      <c r="J258" s="465" t="n"/>
      <c r="K258" s="465" t="n"/>
      <c r="L258" s="465" t="n"/>
      <c r="M258" s="465" t="n"/>
      <c r="N258" s="465" t="n"/>
      <c r="O258" s="522" t="n"/>
      <c r="P258" s="523" t="inlineStr">
        <is>
          <t>Итого</t>
        </is>
      </c>
      <c r="Q258" s="485" t="n"/>
      <c r="R258" s="485" t="n"/>
      <c r="S258" s="485" t="n"/>
      <c r="T258" s="485" t="n"/>
      <c r="U258" s="485" t="n"/>
      <c r="V258" s="486" t="n"/>
      <c r="W258" s="40" t="inlineStr">
        <is>
          <t>кг</t>
        </is>
      </c>
      <c r="X258" s="524">
        <f>IFERROR(SUMPRODUCT(X254:X256*H254:H256),"0")</f>
        <v/>
      </c>
      <c r="Y258" s="524">
        <f>IFERROR(SUMPRODUCT(Y254:Y256*H254:H256),"0")</f>
        <v/>
      </c>
      <c r="Z258" s="40" t="n"/>
      <c r="AA258" s="525" t="n"/>
      <c r="AB258" s="525" t="n"/>
      <c r="AC258" s="525" t="n"/>
    </row>
    <row r="259" ht="14.25" customHeight="1">
      <c r="A259" s="352" t="inlineStr">
        <is>
          <t>Наггетсы</t>
        </is>
      </c>
      <c r="B259" s="465" t="n"/>
      <c r="C259" s="465" t="n"/>
      <c r="D259" s="465" t="n"/>
      <c r="E259" s="465" t="n"/>
      <c r="F259" s="465" t="n"/>
      <c r="G259" s="465" t="n"/>
      <c r="H259" s="465" t="n"/>
      <c r="I259" s="465" t="n"/>
      <c r="J259" s="465" t="n"/>
      <c r="K259" s="465" t="n"/>
      <c r="L259" s="465" t="n"/>
      <c r="M259" s="465" t="n"/>
      <c r="N259" s="465" t="n"/>
      <c r="O259" s="465" t="n"/>
      <c r="P259" s="465" t="n"/>
      <c r="Q259" s="465" t="n"/>
      <c r="R259" s="465" t="n"/>
      <c r="S259" s="465" t="n"/>
      <c r="T259" s="465" t="n"/>
      <c r="U259" s="465" t="n"/>
      <c r="V259" s="465" t="n"/>
      <c r="W259" s="465" t="n"/>
      <c r="X259" s="465" t="n"/>
      <c r="Y259" s="465" t="n"/>
      <c r="Z259" s="465" t="n"/>
      <c r="AA259" s="352" t="n"/>
      <c r="AB259" s="352" t="n"/>
      <c r="AC259" s="352" t="n"/>
    </row>
    <row r="260" ht="27" customHeight="1">
      <c r="A260" s="60" t="inlineStr">
        <is>
          <t>SU003020</t>
        </is>
      </c>
      <c r="B260" s="60" t="inlineStr">
        <is>
          <t>P003486</t>
        </is>
      </c>
      <c r="C260" s="34" t="n">
        <v>4301132080</v>
      </c>
      <c r="D260" s="353" t="n">
        <v>4640242180397</v>
      </c>
      <c r="E260" s="477" t="n"/>
      <c r="F260" s="516" t="n">
        <v>1</v>
      </c>
      <c r="G260" s="35" t="n">
        <v>6</v>
      </c>
      <c r="H260" s="516" t="n">
        <v>6</v>
      </c>
      <c r="I260" s="516" t="n">
        <v>6.26</v>
      </c>
      <c r="J260" s="35" t="n">
        <v>84</v>
      </c>
      <c r="K260" s="35" t="inlineStr">
        <is>
          <t>12</t>
        </is>
      </c>
      <c r="L260" s="35" t="inlineStr">
        <is>
          <t>Слой, мин. 1</t>
        </is>
      </c>
      <c r="M260" s="36" t="inlineStr">
        <is>
          <t>МГ</t>
        </is>
      </c>
      <c r="N260" s="36" t="n"/>
      <c r="O260" s="35" t="n">
        <v>180</v>
      </c>
      <c r="P260" s="606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/>
      </c>
      <c r="Q260" s="518" t="n"/>
      <c r="R260" s="518" t="n"/>
      <c r="S260" s="518" t="n"/>
      <c r="T260" s="519" t="n"/>
      <c r="U260" s="37" t="inlineStr"/>
      <c r="V260" s="37" t="inlineStr"/>
      <c r="W260" s="38" t="inlineStr">
        <is>
          <t>кор</t>
        </is>
      </c>
      <c r="X260" s="520" t="n">
        <v>48</v>
      </c>
      <c r="Y260" s="521">
        <f>IFERROR(IF(X260="","",X260),"")</f>
        <v/>
      </c>
      <c r="Z260" s="39">
        <f>IFERROR(IF(X260="","",X260*0.0155),"")</f>
        <v/>
      </c>
      <c r="AA260" s="65" t="inlineStr"/>
      <c r="AB260" s="66" t="inlineStr"/>
      <c r="AC260" s="246" t="inlineStr">
        <is>
          <t>ЕАЭС N RU Д-RU. РА04.В.81113/23</t>
        </is>
      </c>
      <c r="AG260" s="78" t="n"/>
      <c r="AJ260" s="82" t="inlineStr">
        <is>
          <t>Слой</t>
        </is>
      </c>
      <c r="AK260" s="82" t="n">
        <v>12</v>
      </c>
      <c r="BB260" s="247" t="inlineStr">
        <is>
          <t>ПГП</t>
        </is>
      </c>
      <c r="BM260" s="78">
        <f>IFERROR(X260*I260,"0")</f>
        <v/>
      </c>
      <c r="BN260" s="78">
        <f>IFERROR(Y260*I260,"0")</f>
        <v/>
      </c>
      <c r="BO260" s="78">
        <f>IFERROR(X260/J260,"0")</f>
        <v/>
      </c>
      <c r="BP260" s="78">
        <f>IFERROR(Y260/J260,"0")</f>
        <v/>
      </c>
    </row>
    <row r="261" ht="27" customHeight="1">
      <c r="A261" s="60" t="inlineStr">
        <is>
          <t>SU003381</t>
        </is>
      </c>
      <c r="B261" s="60" t="inlineStr">
        <is>
          <t>P004190</t>
        </is>
      </c>
      <c r="C261" s="34" t="n">
        <v>4301132104</v>
      </c>
      <c r="D261" s="353" t="n">
        <v>4640242181219</v>
      </c>
      <c r="E261" s="477" t="n"/>
      <c r="F261" s="516" t="n">
        <v>0.3</v>
      </c>
      <c r="G261" s="35" t="n">
        <v>9</v>
      </c>
      <c r="H261" s="516" t="n">
        <v>2.7</v>
      </c>
      <c r="I261" s="516" t="n">
        <v>2.845</v>
      </c>
      <c r="J261" s="35" t="n">
        <v>234</v>
      </c>
      <c r="K261" s="35" t="inlineStr">
        <is>
          <t>18</t>
        </is>
      </c>
      <c r="L261" s="35" t="inlineStr">
        <is>
          <t>Короб, мин. 1</t>
        </is>
      </c>
      <c r="M261" s="36" t="inlineStr">
        <is>
          <t>МГ</t>
        </is>
      </c>
      <c r="N261" s="36" t="n"/>
      <c r="O261" s="35" t="n">
        <v>180</v>
      </c>
      <c r="P261" s="607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/>
      </c>
      <c r="Q261" s="518" t="n"/>
      <c r="R261" s="518" t="n"/>
      <c r="S261" s="518" t="n"/>
      <c r="T261" s="519" t="n"/>
      <c r="U261" s="37" t="inlineStr"/>
      <c r="V261" s="37" t="inlineStr"/>
      <c r="W261" s="38" t="inlineStr">
        <is>
          <t>кор</t>
        </is>
      </c>
      <c r="X261" s="520" t="n">
        <v>0</v>
      </c>
      <c r="Y261" s="521">
        <f>IFERROR(IF(X261="","",X261),"")</f>
        <v/>
      </c>
      <c r="Z261" s="39">
        <f>IFERROR(IF(X261="","",X261*0.00502),"")</f>
        <v/>
      </c>
      <c r="AA261" s="65" t="inlineStr"/>
      <c r="AB261" s="66" t="inlineStr"/>
      <c r="AC261" s="248" t="inlineStr">
        <is>
          <t>ЕАЭС N RU Д-RU. РА04.В.81113/23</t>
        </is>
      </c>
      <c r="AG261" s="78" t="n"/>
      <c r="AJ261" s="82" t="inlineStr">
        <is>
          <t>Короб</t>
        </is>
      </c>
      <c r="AK261" s="82" t="n">
        <v>1</v>
      </c>
      <c r="BB261" s="249" t="inlineStr">
        <is>
          <t>ПГП</t>
        </is>
      </c>
      <c r="BM261" s="78">
        <f>IFERROR(X261*I261,"0")</f>
        <v/>
      </c>
      <c r="BN261" s="78">
        <f>IFERROR(Y261*I261,"0")</f>
        <v/>
      </c>
      <c r="BO261" s="78">
        <f>IFERROR(X261/J261,"0")</f>
        <v/>
      </c>
      <c r="BP261" s="78">
        <f>IFERROR(Y261/J261,"0")</f>
        <v/>
      </c>
    </row>
    <row r="262">
      <c r="A262" s="361" t="n"/>
      <c r="B262" s="465" t="n"/>
      <c r="C262" s="465" t="n"/>
      <c r="D262" s="465" t="n"/>
      <c r="E262" s="465" t="n"/>
      <c r="F262" s="465" t="n"/>
      <c r="G262" s="465" t="n"/>
      <c r="H262" s="465" t="n"/>
      <c r="I262" s="465" t="n"/>
      <c r="J262" s="465" t="n"/>
      <c r="K262" s="465" t="n"/>
      <c r="L262" s="465" t="n"/>
      <c r="M262" s="465" t="n"/>
      <c r="N262" s="465" t="n"/>
      <c r="O262" s="522" t="n"/>
      <c r="P262" s="523" t="inlineStr">
        <is>
          <t>Итого</t>
        </is>
      </c>
      <c r="Q262" s="485" t="n"/>
      <c r="R262" s="485" t="n"/>
      <c r="S262" s="485" t="n"/>
      <c r="T262" s="485" t="n"/>
      <c r="U262" s="485" t="n"/>
      <c r="V262" s="486" t="n"/>
      <c r="W262" s="40" t="inlineStr">
        <is>
          <t>кор</t>
        </is>
      </c>
      <c r="X262" s="524">
        <f>IFERROR(SUM(X260:X261),"0")</f>
        <v/>
      </c>
      <c r="Y262" s="524">
        <f>IFERROR(SUM(Y260:Y261),"0")</f>
        <v/>
      </c>
      <c r="Z262" s="524">
        <f>IFERROR(IF(Z260="",0,Z260),"0")+IFERROR(IF(Z261="",0,Z261),"0")</f>
        <v/>
      </c>
      <c r="AA262" s="525" t="n"/>
      <c r="AB262" s="525" t="n"/>
      <c r="AC262" s="525" t="n"/>
    </row>
    <row r="263">
      <c r="A263" s="465" t="n"/>
      <c r="B263" s="465" t="n"/>
      <c r="C263" s="465" t="n"/>
      <c r="D263" s="465" t="n"/>
      <c r="E263" s="465" t="n"/>
      <c r="F263" s="465" t="n"/>
      <c r="G263" s="465" t="n"/>
      <c r="H263" s="465" t="n"/>
      <c r="I263" s="465" t="n"/>
      <c r="J263" s="465" t="n"/>
      <c r="K263" s="465" t="n"/>
      <c r="L263" s="465" t="n"/>
      <c r="M263" s="465" t="n"/>
      <c r="N263" s="465" t="n"/>
      <c r="O263" s="522" t="n"/>
      <c r="P263" s="523" t="inlineStr">
        <is>
          <t>Итого</t>
        </is>
      </c>
      <c r="Q263" s="485" t="n"/>
      <c r="R263" s="485" t="n"/>
      <c r="S263" s="485" t="n"/>
      <c r="T263" s="485" t="n"/>
      <c r="U263" s="485" t="n"/>
      <c r="V263" s="486" t="n"/>
      <c r="W263" s="40" t="inlineStr">
        <is>
          <t>кг</t>
        </is>
      </c>
      <c r="X263" s="524">
        <f>IFERROR(SUMPRODUCT(X260:X261*H260:H261),"0")</f>
        <v/>
      </c>
      <c r="Y263" s="524">
        <f>IFERROR(SUMPRODUCT(Y260:Y261*H260:H261),"0")</f>
        <v/>
      </c>
      <c r="Z263" s="40" t="n"/>
      <c r="AA263" s="525" t="n"/>
      <c r="AB263" s="525" t="n"/>
      <c r="AC263" s="525" t="n"/>
    </row>
    <row r="264" ht="14.25" customHeight="1">
      <c r="A264" s="352" t="inlineStr">
        <is>
          <t>Чебуреки</t>
        </is>
      </c>
      <c r="B264" s="465" t="n"/>
      <c r="C264" s="465" t="n"/>
      <c r="D264" s="465" t="n"/>
      <c r="E264" s="465" t="n"/>
      <c r="F264" s="465" t="n"/>
      <c r="G264" s="465" t="n"/>
      <c r="H264" s="465" t="n"/>
      <c r="I264" s="465" t="n"/>
      <c r="J264" s="465" t="n"/>
      <c r="K264" s="465" t="n"/>
      <c r="L264" s="465" t="n"/>
      <c r="M264" s="465" t="n"/>
      <c r="N264" s="465" t="n"/>
      <c r="O264" s="465" t="n"/>
      <c r="P264" s="465" t="n"/>
      <c r="Q264" s="465" t="n"/>
      <c r="R264" s="465" t="n"/>
      <c r="S264" s="465" t="n"/>
      <c r="T264" s="465" t="n"/>
      <c r="U264" s="465" t="n"/>
      <c r="V264" s="465" t="n"/>
      <c r="W264" s="465" t="n"/>
      <c r="X264" s="465" t="n"/>
      <c r="Y264" s="465" t="n"/>
      <c r="Z264" s="465" t="n"/>
      <c r="AA264" s="352" t="n"/>
      <c r="AB264" s="352" t="n"/>
      <c r="AC264" s="352" t="n"/>
    </row>
    <row r="265" ht="27" customHeight="1">
      <c r="A265" s="60" t="inlineStr">
        <is>
          <t>SU003012</t>
        </is>
      </c>
      <c r="B265" s="60" t="inlineStr">
        <is>
          <t>P003478</t>
        </is>
      </c>
      <c r="C265" s="34" t="n">
        <v>4301136051</v>
      </c>
      <c r="D265" s="353" t="n">
        <v>4640242180304</v>
      </c>
      <c r="E265" s="477" t="n"/>
      <c r="F265" s="516" t="n">
        <v>2.7</v>
      </c>
      <c r="G265" s="35" t="n">
        <v>1</v>
      </c>
      <c r="H265" s="516" t="n">
        <v>2.7</v>
      </c>
      <c r="I265" s="516" t="n">
        <v>2.8906</v>
      </c>
      <c r="J265" s="35" t="n">
        <v>126</v>
      </c>
      <c r="K265" s="35" t="inlineStr">
        <is>
          <t>14</t>
        </is>
      </c>
      <c r="L265" s="35" t="inlineStr">
        <is>
          <t>Короб, мин. 1</t>
        </is>
      </c>
      <c r="M265" s="36" t="inlineStr">
        <is>
          <t>МГ</t>
        </is>
      </c>
      <c r="N265" s="36" t="n"/>
      <c r="O265" s="35" t="n">
        <v>180</v>
      </c>
      <c r="P265" s="608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/>
      </c>
      <c r="Q265" s="518" t="n"/>
      <c r="R265" s="518" t="n"/>
      <c r="S265" s="518" t="n"/>
      <c r="T265" s="519" t="n"/>
      <c r="U265" s="37" t="inlineStr"/>
      <c r="V265" s="37" t="inlineStr"/>
      <c r="W265" s="38" t="inlineStr">
        <is>
          <t>кор</t>
        </is>
      </c>
      <c r="X265" s="520" t="n">
        <v>0</v>
      </c>
      <c r="Y265" s="521">
        <f>IFERROR(IF(X265="","",X265),"")</f>
        <v/>
      </c>
      <c r="Z265" s="39">
        <f>IFERROR(IF(X265="","",X265*0.00936),"")</f>
        <v/>
      </c>
      <c r="AA265" s="65" t="inlineStr"/>
      <c r="AB265" s="66" t="inlineStr"/>
      <c r="AC265" s="250" t="inlineStr">
        <is>
          <t>ЕАЭС N RU Д-RU. РА04.В.83320/23</t>
        </is>
      </c>
      <c r="AG265" s="78" t="n"/>
      <c r="AJ265" s="82" t="inlineStr">
        <is>
          <t>Короб</t>
        </is>
      </c>
      <c r="AK265" s="82" t="n">
        <v>1</v>
      </c>
      <c r="BB265" s="251" t="inlineStr">
        <is>
          <t>ПГП</t>
        </is>
      </c>
      <c r="BM265" s="78">
        <f>IFERROR(X265*I265,"0")</f>
        <v/>
      </c>
      <c r="BN265" s="78">
        <f>IFERROR(Y265*I265,"0")</f>
        <v/>
      </c>
      <c r="BO265" s="78">
        <f>IFERROR(X265/J265,"0")</f>
        <v/>
      </c>
      <c r="BP265" s="78">
        <f>IFERROR(Y265/J265,"0")</f>
        <v/>
      </c>
    </row>
    <row r="266" ht="27" customHeight="1">
      <c r="A266" s="60" t="inlineStr">
        <is>
          <t>SU003010</t>
        </is>
      </c>
      <c r="B266" s="60" t="inlineStr">
        <is>
          <t>P003476</t>
        </is>
      </c>
      <c r="C266" s="34" t="n">
        <v>4301136053</v>
      </c>
      <c r="D266" s="353" t="n">
        <v>4640242180236</v>
      </c>
      <c r="E266" s="477" t="n"/>
      <c r="F266" s="516" t="n">
        <v>5</v>
      </c>
      <c r="G266" s="35" t="n">
        <v>1</v>
      </c>
      <c r="H266" s="516" t="n">
        <v>5</v>
      </c>
      <c r="I266" s="516" t="n">
        <v>5.235</v>
      </c>
      <c r="J266" s="35" t="n">
        <v>84</v>
      </c>
      <c r="K266" s="35" t="inlineStr">
        <is>
          <t>12</t>
        </is>
      </c>
      <c r="L266" s="35" t="inlineStr">
        <is>
          <t>Короб, мин. 1</t>
        </is>
      </c>
      <c r="M266" s="36" t="inlineStr">
        <is>
          <t>МГ</t>
        </is>
      </c>
      <c r="N266" s="36" t="n"/>
      <c r="O266" s="35" t="n">
        <v>180</v>
      </c>
      <c r="P266" s="609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/>
      </c>
      <c r="Q266" s="518" t="n"/>
      <c r="R266" s="518" t="n"/>
      <c r="S266" s="518" t="n"/>
      <c r="T266" s="519" t="n"/>
      <c r="U266" s="37" t="inlineStr"/>
      <c r="V266" s="37" t="inlineStr"/>
      <c r="W266" s="38" t="inlineStr">
        <is>
          <t>кор</t>
        </is>
      </c>
      <c r="X266" s="520" t="n">
        <v>168</v>
      </c>
      <c r="Y266" s="521">
        <f>IFERROR(IF(X266="","",X266),"")</f>
        <v/>
      </c>
      <c r="Z266" s="39">
        <f>IFERROR(IF(X266="","",X266*0.0155),"")</f>
        <v/>
      </c>
      <c r="AA266" s="65" t="inlineStr"/>
      <c r="AB266" s="66" t="inlineStr"/>
      <c r="AC266" s="252" t="inlineStr">
        <is>
          <t>ЕАЭС N RU Д-RU. РА04.В.83320/23</t>
        </is>
      </c>
      <c r="AG266" s="78" t="n"/>
      <c r="AJ266" s="82" t="inlineStr">
        <is>
          <t>Короб</t>
        </is>
      </c>
      <c r="AK266" s="82" t="n">
        <v>1</v>
      </c>
      <c r="BB266" s="253" t="inlineStr">
        <is>
          <t>ПГП</t>
        </is>
      </c>
      <c r="BM266" s="78">
        <f>IFERROR(X266*I266,"0")</f>
        <v/>
      </c>
      <c r="BN266" s="78">
        <f>IFERROR(Y266*I266,"0")</f>
        <v/>
      </c>
      <c r="BO266" s="78">
        <f>IFERROR(X266/J266,"0")</f>
        <v/>
      </c>
      <c r="BP266" s="78">
        <f>IFERROR(Y266/J266,"0")</f>
        <v/>
      </c>
    </row>
    <row r="267" ht="27" customHeight="1">
      <c r="A267" s="60" t="inlineStr">
        <is>
          <t>SU003025</t>
        </is>
      </c>
      <c r="B267" s="60" t="inlineStr">
        <is>
          <t>P003495</t>
        </is>
      </c>
      <c r="C267" s="34" t="n">
        <v>4301136052</v>
      </c>
      <c r="D267" s="353" t="n">
        <v>4640242180410</v>
      </c>
      <c r="E267" s="477" t="n"/>
      <c r="F267" s="516" t="n">
        <v>2.24</v>
      </c>
      <c r="G267" s="35" t="n">
        <v>1</v>
      </c>
      <c r="H267" s="516" t="n">
        <v>2.24</v>
      </c>
      <c r="I267" s="516" t="n">
        <v>2.432</v>
      </c>
      <c r="J267" s="35" t="n">
        <v>126</v>
      </c>
      <c r="K267" s="35" t="inlineStr">
        <is>
          <t>14</t>
        </is>
      </c>
      <c r="L267" s="35" t="inlineStr">
        <is>
          <t>Короб, мин. 1</t>
        </is>
      </c>
      <c r="M267" s="36" t="inlineStr">
        <is>
          <t>МГ</t>
        </is>
      </c>
      <c r="N267" s="36" t="n"/>
      <c r="O267" s="35" t="n">
        <v>180</v>
      </c>
      <c r="P267" s="610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/>
      </c>
      <c r="Q267" s="518" t="n"/>
      <c r="R267" s="518" t="n"/>
      <c r="S267" s="518" t="n"/>
      <c r="T267" s="519" t="n"/>
      <c r="U267" s="37" t="inlineStr"/>
      <c r="V267" s="37" t="inlineStr"/>
      <c r="W267" s="38" t="inlineStr">
        <is>
          <t>кор</t>
        </is>
      </c>
      <c r="X267" s="520" t="n">
        <v>0</v>
      </c>
      <c r="Y267" s="521">
        <f>IFERROR(IF(X267="","",X267),"")</f>
        <v/>
      </c>
      <c r="Z267" s="39">
        <f>IFERROR(IF(X267="","",X267*0.00936),"")</f>
        <v/>
      </c>
      <c r="AA267" s="65" t="inlineStr"/>
      <c r="AB267" s="66" t="inlineStr"/>
      <c r="AC267" s="254" t="inlineStr">
        <is>
          <t>ЕАЭС N RU Д-RU. РА04.В.83320/23</t>
        </is>
      </c>
      <c r="AG267" s="78" t="n"/>
      <c r="AJ267" s="82" t="inlineStr">
        <is>
          <t>Короб</t>
        </is>
      </c>
      <c r="AK267" s="82" t="n">
        <v>1</v>
      </c>
      <c r="BB267" s="255" t="inlineStr">
        <is>
          <t>ПГП</t>
        </is>
      </c>
      <c r="BM267" s="78">
        <f>IFERROR(X267*I267,"0")</f>
        <v/>
      </c>
      <c r="BN267" s="78">
        <f>IFERROR(Y267*I267,"0")</f>
        <v/>
      </c>
      <c r="BO267" s="78">
        <f>IFERROR(X267/J267,"0")</f>
        <v/>
      </c>
      <c r="BP267" s="78">
        <f>IFERROR(Y267/J267,"0")</f>
        <v/>
      </c>
    </row>
    <row r="268">
      <c r="A268" s="361" t="n"/>
      <c r="B268" s="465" t="n"/>
      <c r="C268" s="465" t="n"/>
      <c r="D268" s="465" t="n"/>
      <c r="E268" s="465" t="n"/>
      <c r="F268" s="465" t="n"/>
      <c r="G268" s="465" t="n"/>
      <c r="H268" s="465" t="n"/>
      <c r="I268" s="465" t="n"/>
      <c r="J268" s="465" t="n"/>
      <c r="K268" s="465" t="n"/>
      <c r="L268" s="465" t="n"/>
      <c r="M268" s="465" t="n"/>
      <c r="N268" s="465" t="n"/>
      <c r="O268" s="522" t="n"/>
      <c r="P268" s="523" t="inlineStr">
        <is>
          <t>Итого</t>
        </is>
      </c>
      <c r="Q268" s="485" t="n"/>
      <c r="R268" s="485" t="n"/>
      <c r="S268" s="485" t="n"/>
      <c r="T268" s="485" t="n"/>
      <c r="U268" s="485" t="n"/>
      <c r="V268" s="486" t="n"/>
      <c r="W268" s="40" t="inlineStr">
        <is>
          <t>кор</t>
        </is>
      </c>
      <c r="X268" s="524">
        <f>IFERROR(SUM(X265:X267),"0")</f>
        <v/>
      </c>
      <c r="Y268" s="524">
        <f>IFERROR(SUM(Y265:Y267),"0")</f>
        <v/>
      </c>
      <c r="Z268" s="524">
        <f>IFERROR(IF(Z265="",0,Z265),"0")+IFERROR(IF(Z266="",0,Z266),"0")+IFERROR(IF(Z267="",0,Z267),"0")</f>
        <v/>
      </c>
      <c r="AA268" s="525" t="n"/>
      <c r="AB268" s="525" t="n"/>
      <c r="AC268" s="525" t="n"/>
    </row>
    <row r="269">
      <c r="A269" s="465" t="n"/>
      <c r="B269" s="465" t="n"/>
      <c r="C269" s="465" t="n"/>
      <c r="D269" s="465" t="n"/>
      <c r="E269" s="465" t="n"/>
      <c r="F269" s="465" t="n"/>
      <c r="G269" s="465" t="n"/>
      <c r="H269" s="465" t="n"/>
      <c r="I269" s="465" t="n"/>
      <c r="J269" s="465" t="n"/>
      <c r="K269" s="465" t="n"/>
      <c r="L269" s="465" t="n"/>
      <c r="M269" s="465" t="n"/>
      <c r="N269" s="465" t="n"/>
      <c r="O269" s="522" t="n"/>
      <c r="P269" s="523" t="inlineStr">
        <is>
          <t>Итого</t>
        </is>
      </c>
      <c r="Q269" s="485" t="n"/>
      <c r="R269" s="485" t="n"/>
      <c r="S269" s="485" t="n"/>
      <c r="T269" s="485" t="n"/>
      <c r="U269" s="485" t="n"/>
      <c r="V269" s="486" t="n"/>
      <c r="W269" s="40" t="inlineStr">
        <is>
          <t>кг</t>
        </is>
      </c>
      <c r="X269" s="524">
        <f>IFERROR(SUMPRODUCT(X265:X267*H265:H267),"0")</f>
        <v/>
      </c>
      <c r="Y269" s="524">
        <f>IFERROR(SUMPRODUCT(Y265:Y267*H265:H267),"0")</f>
        <v/>
      </c>
      <c r="Z269" s="40" t="n"/>
      <c r="AA269" s="525" t="n"/>
      <c r="AB269" s="525" t="n"/>
      <c r="AC269" s="525" t="n"/>
    </row>
    <row r="270" ht="14.25" customHeight="1">
      <c r="A270" s="352" t="inlineStr">
        <is>
          <t>Снеки</t>
        </is>
      </c>
      <c r="B270" s="465" t="n"/>
      <c r="C270" s="465" t="n"/>
      <c r="D270" s="465" t="n"/>
      <c r="E270" s="465" t="n"/>
      <c r="F270" s="465" t="n"/>
      <c r="G270" s="465" t="n"/>
      <c r="H270" s="465" t="n"/>
      <c r="I270" s="465" t="n"/>
      <c r="J270" s="465" t="n"/>
      <c r="K270" s="465" t="n"/>
      <c r="L270" s="465" t="n"/>
      <c r="M270" s="465" t="n"/>
      <c r="N270" s="465" t="n"/>
      <c r="O270" s="465" t="n"/>
      <c r="P270" s="465" t="n"/>
      <c r="Q270" s="465" t="n"/>
      <c r="R270" s="465" t="n"/>
      <c r="S270" s="465" t="n"/>
      <c r="T270" s="465" t="n"/>
      <c r="U270" s="465" t="n"/>
      <c r="V270" s="465" t="n"/>
      <c r="W270" s="465" t="n"/>
      <c r="X270" s="465" t="n"/>
      <c r="Y270" s="465" t="n"/>
      <c r="Z270" s="465" t="n"/>
      <c r="AA270" s="352" t="n"/>
      <c r="AB270" s="352" t="n"/>
      <c r="AC270" s="352" t="n"/>
    </row>
    <row r="271" ht="37.5" customHeight="1">
      <c r="A271" s="60" t="inlineStr">
        <is>
          <t>SU003510</t>
        </is>
      </c>
      <c r="B271" s="60" t="inlineStr">
        <is>
          <t>P004457</t>
        </is>
      </c>
      <c r="C271" s="34" t="n">
        <v>4301135504</v>
      </c>
      <c r="D271" s="353" t="n">
        <v>4640242181554</v>
      </c>
      <c r="E271" s="477" t="n"/>
      <c r="F271" s="516" t="n">
        <v>3</v>
      </c>
      <c r="G271" s="35" t="n">
        <v>1</v>
      </c>
      <c r="H271" s="516" t="n">
        <v>3</v>
      </c>
      <c r="I271" s="516" t="n">
        <v>3.192</v>
      </c>
      <c r="J271" s="35" t="n">
        <v>126</v>
      </c>
      <c r="K271" s="35" t="inlineStr">
        <is>
          <t>14</t>
        </is>
      </c>
      <c r="L271" s="35" t="inlineStr">
        <is>
          <t>Короб, мин. 1</t>
        </is>
      </c>
      <c r="M271" s="36" t="inlineStr">
        <is>
          <t>МГ</t>
        </is>
      </c>
      <c r="N271" s="36" t="n"/>
      <c r="O271" s="35" t="n">
        <v>180</v>
      </c>
      <c r="P271" s="611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/>
      </c>
      <c r="Q271" s="518" t="n"/>
      <c r="R271" s="518" t="n"/>
      <c r="S271" s="518" t="n"/>
      <c r="T271" s="519" t="n"/>
      <c r="U271" s="37" t="inlineStr"/>
      <c r="V271" s="37" t="inlineStr"/>
      <c r="W271" s="38" t="inlineStr">
        <is>
          <t>кор</t>
        </is>
      </c>
      <c r="X271" s="520" t="n">
        <v>0</v>
      </c>
      <c r="Y271" s="521">
        <f>IFERROR(IF(X271="","",X271),"")</f>
        <v/>
      </c>
      <c r="Z271" s="39">
        <f>IFERROR(IF(X271="","",X271*0.00936),"")</f>
        <v/>
      </c>
      <c r="AA271" s="65" t="inlineStr"/>
      <c r="AB271" s="66" t="inlineStr"/>
      <c r="AC271" s="256" t="inlineStr">
        <is>
          <t>ЕАЭС N RU Д-RU.РА02.В.25079/24</t>
        </is>
      </c>
      <c r="AG271" s="78" t="n"/>
      <c r="AJ271" s="82" t="inlineStr">
        <is>
          <t>Короб</t>
        </is>
      </c>
      <c r="AK271" s="82" t="n">
        <v>1</v>
      </c>
      <c r="BB271" s="257" t="inlineStr">
        <is>
          <t>ПГП</t>
        </is>
      </c>
      <c r="BM271" s="78">
        <f>IFERROR(X271*I271,"0")</f>
        <v/>
      </c>
      <c r="BN271" s="78">
        <f>IFERROR(Y271*I271,"0")</f>
        <v/>
      </c>
      <c r="BO271" s="78">
        <f>IFERROR(X271/J271,"0")</f>
        <v/>
      </c>
      <c r="BP271" s="78">
        <f>IFERROR(Y271/J271,"0")</f>
        <v/>
      </c>
    </row>
    <row r="272" ht="27" customHeight="1">
      <c r="A272" s="60" t="inlineStr">
        <is>
          <t>SU003454</t>
        </is>
      </c>
      <c r="B272" s="60" t="inlineStr">
        <is>
          <t>P004364</t>
        </is>
      </c>
      <c r="C272" s="34" t="n">
        <v>4301135518</v>
      </c>
      <c r="D272" s="353" t="n">
        <v>4640242181561</v>
      </c>
      <c r="E272" s="477" t="n"/>
      <c r="F272" s="516" t="n">
        <v>3.7</v>
      </c>
      <c r="G272" s="35" t="n">
        <v>1</v>
      </c>
      <c r="H272" s="516" t="n">
        <v>3.7</v>
      </c>
      <c r="I272" s="516" t="n">
        <v>3.892</v>
      </c>
      <c r="J272" s="35" t="n">
        <v>126</v>
      </c>
      <c r="K272" s="35" t="inlineStr">
        <is>
          <t>14</t>
        </is>
      </c>
      <c r="L272" s="35" t="inlineStr">
        <is>
          <t>Палетта, мин. 1</t>
        </is>
      </c>
      <c r="M272" s="36" t="inlineStr">
        <is>
          <t>МГ</t>
        </is>
      </c>
      <c r="N272" s="36" t="n"/>
      <c r="O272" s="35" t="n">
        <v>180</v>
      </c>
      <c r="P272" s="612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/>
      </c>
      <c r="Q272" s="518" t="n"/>
      <c r="R272" s="518" t="n"/>
      <c r="S272" s="518" t="n"/>
      <c r="T272" s="519" t="n"/>
      <c r="U272" s="37" t="inlineStr"/>
      <c r="V272" s="37" t="inlineStr"/>
      <c r="W272" s="38" t="inlineStr">
        <is>
          <t>кор</t>
        </is>
      </c>
      <c r="X272" s="520" t="n">
        <v>252</v>
      </c>
      <c r="Y272" s="521">
        <f>IFERROR(IF(X272="","",X272),"")</f>
        <v/>
      </c>
      <c r="Z272" s="39">
        <f>IFERROR(IF(X272="","",X272*0.00936),"")</f>
        <v/>
      </c>
      <c r="AA272" s="65" t="inlineStr"/>
      <c r="AB272" s="66" t="inlineStr"/>
      <c r="AC272" s="258" t="inlineStr">
        <is>
          <t>ЕАЭС N RU Д-RU.РА02.В.58883/24</t>
        </is>
      </c>
      <c r="AG272" s="78" t="n"/>
      <c r="AJ272" s="82" t="inlineStr">
        <is>
          <t>Палетта</t>
        </is>
      </c>
      <c r="AK272" s="82" t="n">
        <v>126</v>
      </c>
      <c r="BB272" s="259" t="inlineStr">
        <is>
          <t>ПГП</t>
        </is>
      </c>
      <c r="BM272" s="78">
        <f>IFERROR(X272*I272,"0")</f>
        <v/>
      </c>
      <c r="BN272" s="78">
        <f>IFERROR(Y272*I272,"0")</f>
        <v/>
      </c>
      <c r="BO272" s="78">
        <f>IFERROR(X272/J272,"0")</f>
        <v/>
      </c>
      <c r="BP272" s="78">
        <f>IFERROR(Y272/J272,"0")</f>
        <v/>
      </c>
    </row>
    <row r="273" ht="27" customHeight="1">
      <c r="A273" s="60" t="inlineStr">
        <is>
          <t>SU003434</t>
        </is>
      </c>
      <c r="B273" s="60" t="inlineStr">
        <is>
          <t>P004358</t>
        </is>
      </c>
      <c r="C273" s="34" t="n">
        <v>4301135374</v>
      </c>
      <c r="D273" s="353" t="n">
        <v>4640242181424</v>
      </c>
      <c r="E273" s="477" t="n"/>
      <c r="F273" s="516" t="n">
        <v>5.5</v>
      </c>
      <c r="G273" s="35" t="n">
        <v>1</v>
      </c>
      <c r="H273" s="516" t="n">
        <v>5.5</v>
      </c>
      <c r="I273" s="516" t="n">
        <v>5.735</v>
      </c>
      <c r="J273" s="35" t="n">
        <v>84</v>
      </c>
      <c r="K273" s="35" t="inlineStr">
        <is>
          <t>12</t>
        </is>
      </c>
      <c r="L273" s="35" t="inlineStr">
        <is>
          <t>Слой, мин. 1</t>
        </is>
      </c>
      <c r="M273" s="36" t="inlineStr">
        <is>
          <t>МГ</t>
        </is>
      </c>
      <c r="N273" s="36" t="n"/>
      <c r="O273" s="35" t="n">
        <v>180</v>
      </c>
      <c r="P273" s="613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/>
      </c>
      <c r="Q273" s="518" t="n"/>
      <c r="R273" s="518" t="n"/>
      <c r="S273" s="518" t="n"/>
      <c r="T273" s="519" t="n"/>
      <c r="U273" s="37" t="inlineStr"/>
      <c r="V273" s="37" t="inlineStr"/>
      <c r="W273" s="38" t="inlineStr">
        <is>
          <t>кор</t>
        </is>
      </c>
      <c r="X273" s="520" t="n">
        <v>84</v>
      </c>
      <c r="Y273" s="521">
        <f>IFERROR(IF(X273="","",X273),"")</f>
        <v/>
      </c>
      <c r="Z273" s="39">
        <f>IFERROR(IF(X273="","",X273*0.0155),"")</f>
        <v/>
      </c>
      <c r="AA273" s="65" t="inlineStr"/>
      <c r="AB273" s="66" t="inlineStr"/>
      <c r="AC273" s="260" t="inlineStr">
        <is>
          <t>ЕАЭС N RU Д-RU.РА02.В.25079/24</t>
        </is>
      </c>
      <c r="AG273" s="78" t="n"/>
      <c r="AJ273" s="82" t="inlineStr">
        <is>
          <t>Слой</t>
        </is>
      </c>
      <c r="AK273" s="82" t="n">
        <v>12</v>
      </c>
      <c r="BB273" s="261" t="inlineStr">
        <is>
          <t>ПГП</t>
        </is>
      </c>
      <c r="BM273" s="78">
        <f>IFERROR(X273*I273,"0")</f>
        <v/>
      </c>
      <c r="BN273" s="78">
        <f>IFERROR(Y273*I273,"0")</f>
        <v/>
      </c>
      <c r="BO273" s="78">
        <f>IFERROR(X273/J273,"0")</f>
        <v/>
      </c>
      <c r="BP273" s="78">
        <f>IFERROR(Y273/J273,"0")</f>
        <v/>
      </c>
    </row>
    <row r="274" ht="27" customHeight="1">
      <c r="A274" s="60" t="inlineStr">
        <is>
          <t>SU003448</t>
        </is>
      </c>
      <c r="B274" s="60" t="inlineStr">
        <is>
          <t>P004394</t>
        </is>
      </c>
      <c r="C274" s="34" t="n">
        <v>4301135405</v>
      </c>
      <c r="D274" s="353" t="n">
        <v>4640242181523</v>
      </c>
      <c r="E274" s="477" t="n"/>
      <c r="F274" s="516" t="n">
        <v>3</v>
      </c>
      <c r="G274" s="35" t="n">
        <v>1</v>
      </c>
      <c r="H274" s="516" t="n">
        <v>3</v>
      </c>
      <c r="I274" s="516" t="n">
        <v>3.192</v>
      </c>
      <c r="J274" s="35" t="n">
        <v>126</v>
      </c>
      <c r="K274" s="35" t="inlineStr">
        <is>
          <t>14</t>
        </is>
      </c>
      <c r="L274" s="35" t="inlineStr">
        <is>
          <t>Слой, мин. 1</t>
        </is>
      </c>
      <c r="M274" s="36" t="inlineStr">
        <is>
          <t>МГ</t>
        </is>
      </c>
      <c r="N274" s="36" t="n"/>
      <c r="O274" s="35" t="n">
        <v>180</v>
      </c>
      <c r="P274" s="614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/>
      </c>
      <c r="Q274" s="518" t="n"/>
      <c r="R274" s="518" t="n"/>
      <c r="S274" s="518" t="n"/>
      <c r="T274" s="519" t="n"/>
      <c r="U274" s="37" t="inlineStr"/>
      <c r="V274" s="37" t="inlineStr"/>
      <c r="W274" s="38" t="inlineStr">
        <is>
          <t>кор</t>
        </is>
      </c>
      <c r="X274" s="520" t="n">
        <v>0</v>
      </c>
      <c r="Y274" s="521">
        <f>IFERROR(IF(X274="","",X274),"")</f>
        <v/>
      </c>
      <c r="Z274" s="39">
        <f>IFERROR(IF(X274="","",X274*0.00936),"")</f>
        <v/>
      </c>
      <c r="AA274" s="65" t="inlineStr"/>
      <c r="AB274" s="66" t="inlineStr"/>
      <c r="AC274" s="262" t="inlineStr">
        <is>
          <t>ЕАЭС N RU Д-RU.РА02.В.58883/24</t>
        </is>
      </c>
      <c r="AG274" s="78" t="n"/>
      <c r="AJ274" s="82" t="inlineStr">
        <is>
          <t>Слой</t>
        </is>
      </c>
      <c r="AK274" s="82" t="n">
        <v>14</v>
      </c>
      <c r="BB274" s="263" t="inlineStr">
        <is>
          <t>ПГП</t>
        </is>
      </c>
      <c r="BM274" s="78">
        <f>IFERROR(X274*I274,"0")</f>
        <v/>
      </c>
      <c r="BN274" s="78">
        <f>IFERROR(Y274*I274,"0")</f>
        <v/>
      </c>
      <c r="BO274" s="78">
        <f>IFERROR(X274/J274,"0")</f>
        <v/>
      </c>
      <c r="BP274" s="78">
        <f>IFERROR(Y274/J274,"0")</f>
        <v/>
      </c>
    </row>
    <row r="275" ht="27" customHeight="1">
      <c r="A275" s="60" t="inlineStr">
        <is>
          <t>SU003439</t>
        </is>
      </c>
      <c r="B275" s="60" t="inlineStr">
        <is>
          <t>P004359</t>
        </is>
      </c>
      <c r="C275" s="34" t="n">
        <v>4301135375</v>
      </c>
      <c r="D275" s="353" t="n">
        <v>4640242181486</v>
      </c>
      <c r="E275" s="477" t="n"/>
      <c r="F275" s="516" t="n">
        <v>3.7</v>
      </c>
      <c r="G275" s="35" t="n">
        <v>1</v>
      </c>
      <c r="H275" s="516" t="n">
        <v>3.7</v>
      </c>
      <c r="I275" s="516" t="n">
        <v>3.892</v>
      </c>
      <c r="J275" s="35" t="n">
        <v>126</v>
      </c>
      <c r="K275" s="35" t="inlineStr">
        <is>
          <t>14</t>
        </is>
      </c>
      <c r="L275" s="35" t="inlineStr">
        <is>
          <t>Палетта, мин. 1</t>
        </is>
      </c>
      <c r="M275" s="36" t="inlineStr">
        <is>
          <t>МГ</t>
        </is>
      </c>
      <c r="N275" s="36" t="n"/>
      <c r="O275" s="35" t="n">
        <v>180</v>
      </c>
      <c r="P275" s="615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/>
      </c>
      <c r="Q275" s="518" t="n"/>
      <c r="R275" s="518" t="n"/>
      <c r="S275" s="518" t="n"/>
      <c r="T275" s="519" t="n"/>
      <c r="U275" s="37" t="inlineStr"/>
      <c r="V275" s="37" t="inlineStr"/>
      <c r="W275" s="38" t="inlineStr">
        <is>
          <t>кор</t>
        </is>
      </c>
      <c r="X275" s="520" t="n">
        <v>252</v>
      </c>
      <c r="Y275" s="521">
        <f>IFERROR(IF(X275="","",X275),"")</f>
        <v/>
      </c>
      <c r="Z275" s="39">
        <f>IFERROR(IF(X275="","",X275*0.00936),"")</f>
        <v/>
      </c>
      <c r="AA275" s="65" t="inlineStr"/>
      <c r="AB275" s="66" t="inlineStr"/>
      <c r="AC275" s="264" t="inlineStr">
        <is>
          <t>ЕАЭС N RU Д-RU.РА02.В.25079/24</t>
        </is>
      </c>
      <c r="AG275" s="78" t="n"/>
      <c r="AJ275" s="82" t="inlineStr">
        <is>
          <t>Палетта</t>
        </is>
      </c>
      <c r="AK275" s="82" t="n">
        <v>126</v>
      </c>
      <c r="BB275" s="265" t="inlineStr">
        <is>
          <t>ПГП</t>
        </is>
      </c>
      <c r="BM275" s="78">
        <f>IFERROR(X275*I275,"0")</f>
        <v/>
      </c>
      <c r="BN275" s="78">
        <f>IFERROR(Y275*I275,"0")</f>
        <v/>
      </c>
      <c r="BO275" s="78">
        <f>IFERROR(X275/J275,"0")</f>
        <v/>
      </c>
      <c r="BP275" s="78">
        <f>IFERROR(Y275/J275,"0")</f>
        <v/>
      </c>
    </row>
    <row r="276" ht="37.5" customHeight="1">
      <c r="A276" s="60" t="inlineStr">
        <is>
          <t>SU003442</t>
        </is>
      </c>
      <c r="B276" s="60" t="inlineStr">
        <is>
          <t>P004391</t>
        </is>
      </c>
      <c r="C276" s="34" t="n">
        <v>4301135402</v>
      </c>
      <c r="D276" s="353" t="n">
        <v>4640242181493</v>
      </c>
      <c r="E276" s="477" t="n"/>
      <c r="F276" s="516" t="n">
        <v>3.7</v>
      </c>
      <c r="G276" s="35" t="n">
        <v>1</v>
      </c>
      <c r="H276" s="516" t="n">
        <v>3.7</v>
      </c>
      <c r="I276" s="516" t="n">
        <v>3.892</v>
      </c>
      <c r="J276" s="35" t="n">
        <v>126</v>
      </c>
      <c r="K276" s="35" t="inlineStr">
        <is>
          <t>14</t>
        </is>
      </c>
      <c r="L276" s="35" t="inlineStr">
        <is>
          <t>Слой, мин. 1</t>
        </is>
      </c>
      <c r="M276" s="36" t="inlineStr">
        <is>
          <t>МГ</t>
        </is>
      </c>
      <c r="N276" s="36" t="n"/>
      <c r="O276" s="35" t="n">
        <v>180</v>
      </c>
      <c r="P276" s="616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/>
      </c>
      <c r="Q276" s="518" t="n"/>
      <c r="R276" s="518" t="n"/>
      <c r="S276" s="518" t="n"/>
      <c r="T276" s="519" t="n"/>
      <c r="U276" s="37" t="inlineStr"/>
      <c r="V276" s="37" t="inlineStr"/>
      <c r="W276" s="38" t="inlineStr">
        <is>
          <t>кор</t>
        </is>
      </c>
      <c r="X276" s="520" t="n">
        <v>0</v>
      </c>
      <c r="Y276" s="521">
        <f>IFERROR(IF(X276="","",X276),"")</f>
        <v/>
      </c>
      <c r="Z276" s="39">
        <f>IFERROR(IF(X276="","",X276*0.00936),"")</f>
        <v/>
      </c>
      <c r="AA276" s="65" t="inlineStr"/>
      <c r="AB276" s="66" t="inlineStr"/>
      <c r="AC276" s="266" t="inlineStr">
        <is>
          <t>ЕАЭС N RU Д-RU.РА02.В.25079/24</t>
        </is>
      </c>
      <c r="AG276" s="78" t="n"/>
      <c r="AJ276" s="82" t="inlineStr">
        <is>
          <t>Слой</t>
        </is>
      </c>
      <c r="AK276" s="82" t="n">
        <v>14</v>
      </c>
      <c r="BB276" s="267" t="inlineStr">
        <is>
          <t>ПГП</t>
        </is>
      </c>
      <c r="BM276" s="78">
        <f>IFERROR(X276*I276,"0")</f>
        <v/>
      </c>
      <c r="BN276" s="78">
        <f>IFERROR(Y276*I276,"0")</f>
        <v/>
      </c>
      <c r="BO276" s="78">
        <f>IFERROR(X276/J276,"0")</f>
        <v/>
      </c>
      <c r="BP276" s="78">
        <f>IFERROR(Y276/J276,"0")</f>
        <v/>
      </c>
    </row>
    <row r="277" ht="37.5" customHeight="1">
      <c r="A277" s="60" t="inlineStr">
        <is>
          <t>SU003444</t>
        </is>
      </c>
      <c r="B277" s="60" t="inlineStr">
        <is>
          <t>P004392</t>
        </is>
      </c>
      <c r="C277" s="34" t="n">
        <v>4301135403</v>
      </c>
      <c r="D277" s="353" t="n">
        <v>4640242181509</v>
      </c>
      <c r="E277" s="477" t="n"/>
      <c r="F277" s="516" t="n">
        <v>3.7</v>
      </c>
      <c r="G277" s="35" t="n">
        <v>1</v>
      </c>
      <c r="H277" s="516" t="n">
        <v>3.7</v>
      </c>
      <c r="I277" s="516" t="n">
        <v>3.892</v>
      </c>
      <c r="J277" s="35" t="n">
        <v>126</v>
      </c>
      <c r="K277" s="35" t="inlineStr">
        <is>
          <t>14</t>
        </is>
      </c>
      <c r="L277" s="35" t="inlineStr">
        <is>
          <t>Слой, мин. 1</t>
        </is>
      </c>
      <c r="M277" s="36" t="inlineStr">
        <is>
          <t>МГ</t>
        </is>
      </c>
      <c r="N277" s="36" t="n"/>
      <c r="O277" s="35" t="n">
        <v>180</v>
      </c>
      <c r="P277" s="617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/>
      </c>
      <c r="Q277" s="518" t="n"/>
      <c r="R277" s="518" t="n"/>
      <c r="S277" s="518" t="n"/>
      <c r="T277" s="519" t="n"/>
      <c r="U277" s="37" t="inlineStr"/>
      <c r="V277" s="37" t="inlineStr"/>
      <c r="W277" s="38" t="inlineStr">
        <is>
          <t>кор</t>
        </is>
      </c>
      <c r="X277" s="520" t="n">
        <v>0</v>
      </c>
      <c r="Y277" s="521">
        <f>IFERROR(IF(X277="","",X277),"")</f>
        <v/>
      </c>
      <c r="Z277" s="39">
        <f>IFERROR(IF(X277="","",X277*0.00936),"")</f>
        <v/>
      </c>
      <c r="AA277" s="65" t="inlineStr"/>
      <c r="AB277" s="66" t="inlineStr"/>
      <c r="AC277" s="268" t="inlineStr">
        <is>
          <t>ЕАЭС N RU Д-RU.РА02.В.25079/24</t>
        </is>
      </c>
      <c r="AG277" s="78" t="n"/>
      <c r="AJ277" s="82" t="inlineStr">
        <is>
          <t>Слой</t>
        </is>
      </c>
      <c r="AK277" s="82" t="n">
        <v>14</v>
      </c>
      <c r="BB277" s="269" t="inlineStr">
        <is>
          <t>ПГП</t>
        </is>
      </c>
      <c r="BM277" s="78">
        <f>IFERROR(X277*I277,"0")</f>
        <v/>
      </c>
      <c r="BN277" s="78">
        <f>IFERROR(Y277*I277,"0")</f>
        <v/>
      </c>
      <c r="BO277" s="78">
        <f>IFERROR(X277/J277,"0")</f>
        <v/>
      </c>
      <c r="BP277" s="78">
        <f>IFERROR(Y277/J277,"0")</f>
        <v/>
      </c>
    </row>
    <row r="278" ht="27" customHeight="1">
      <c r="A278" s="60" t="inlineStr">
        <is>
          <t>SU003383</t>
        </is>
      </c>
      <c r="B278" s="60" t="inlineStr">
        <is>
          <t>P004191</t>
        </is>
      </c>
      <c r="C278" s="34" t="n">
        <v>4301135304</v>
      </c>
      <c r="D278" s="353" t="n">
        <v>4640242181240</v>
      </c>
      <c r="E278" s="477" t="n"/>
      <c r="F278" s="516" t="n">
        <v>0.3</v>
      </c>
      <c r="G278" s="35" t="n">
        <v>9</v>
      </c>
      <c r="H278" s="516" t="n">
        <v>2.7</v>
      </c>
      <c r="I278" s="516" t="n">
        <v>2.88</v>
      </c>
      <c r="J278" s="35" t="n">
        <v>126</v>
      </c>
      <c r="K278" s="35" t="inlineStr">
        <is>
          <t>14</t>
        </is>
      </c>
      <c r="L278" s="35" t="inlineStr">
        <is>
          <t>Короб, мин. 1</t>
        </is>
      </c>
      <c r="M278" s="36" t="inlineStr">
        <is>
          <t>МГ</t>
        </is>
      </c>
      <c r="N278" s="36" t="n"/>
      <c r="O278" s="35" t="n">
        <v>180</v>
      </c>
      <c r="P278" s="618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/>
      </c>
      <c r="Q278" s="518" t="n"/>
      <c r="R278" s="518" t="n"/>
      <c r="S278" s="518" t="n"/>
      <c r="T278" s="519" t="n"/>
      <c r="U278" s="37" t="inlineStr"/>
      <c r="V278" s="37" t="inlineStr"/>
      <c r="W278" s="38" t="inlineStr">
        <is>
          <t>кор</t>
        </is>
      </c>
      <c r="X278" s="520" t="n">
        <v>0</v>
      </c>
      <c r="Y278" s="521">
        <f>IFERROR(IF(X278="","",X278),"")</f>
        <v/>
      </c>
      <c r="Z278" s="39">
        <f>IFERROR(IF(X278="","",X278*0.00936),"")</f>
        <v/>
      </c>
      <c r="AA278" s="65" t="inlineStr"/>
      <c r="AB278" s="66" t="inlineStr"/>
      <c r="AC278" s="270" t="inlineStr">
        <is>
          <t>ЕАЭС N RU Д-RU.РА02.В.25079/24</t>
        </is>
      </c>
      <c r="AG278" s="78" t="n"/>
      <c r="AJ278" s="82" t="inlineStr">
        <is>
          <t>Короб</t>
        </is>
      </c>
      <c r="AK278" s="82" t="n">
        <v>1</v>
      </c>
      <c r="BB278" s="271" t="inlineStr">
        <is>
          <t>ПГП</t>
        </is>
      </c>
      <c r="BM278" s="78">
        <f>IFERROR(X278*I278,"0")</f>
        <v/>
      </c>
      <c r="BN278" s="78">
        <f>IFERROR(Y278*I278,"0")</f>
        <v/>
      </c>
      <c r="BO278" s="78">
        <f>IFERROR(X278/J278,"0")</f>
        <v/>
      </c>
      <c r="BP278" s="78">
        <f>IFERROR(Y278/J278,"0")</f>
        <v/>
      </c>
    </row>
    <row r="279" ht="27" customHeight="1">
      <c r="A279" s="60" t="inlineStr">
        <is>
          <t>SU003382</t>
        </is>
      </c>
      <c r="B279" s="60" t="inlineStr">
        <is>
          <t>P004195</t>
        </is>
      </c>
      <c r="C279" s="34" t="n">
        <v>4301135610</v>
      </c>
      <c r="D279" s="353" t="n">
        <v>4640242181318</v>
      </c>
      <c r="E279" s="477" t="n"/>
      <c r="F279" s="516" t="n">
        <v>0.3</v>
      </c>
      <c r="G279" s="35" t="n">
        <v>9</v>
      </c>
      <c r="H279" s="516" t="n">
        <v>2.7</v>
      </c>
      <c r="I279" s="516" t="n">
        <v>2.988</v>
      </c>
      <c r="J279" s="35" t="n">
        <v>126</v>
      </c>
      <c r="K279" s="35" t="inlineStr">
        <is>
          <t>14</t>
        </is>
      </c>
      <c r="L279" s="35" t="inlineStr">
        <is>
          <t>Короб, мин. 1</t>
        </is>
      </c>
      <c r="M279" s="36" t="inlineStr">
        <is>
          <t>МГ</t>
        </is>
      </c>
      <c r="N279" s="36" t="n"/>
      <c r="O279" s="35" t="n">
        <v>180</v>
      </c>
      <c r="P279" s="619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/>
      </c>
      <c r="Q279" s="518" t="n"/>
      <c r="R279" s="518" t="n"/>
      <c r="S279" s="518" t="n"/>
      <c r="T279" s="519" t="n"/>
      <c r="U279" s="37" t="inlineStr"/>
      <c r="V279" s="37" t="inlineStr"/>
      <c r="W279" s="38" t="inlineStr">
        <is>
          <t>кор</t>
        </is>
      </c>
      <c r="X279" s="520" t="n">
        <v>0</v>
      </c>
      <c r="Y279" s="521">
        <f>IFERROR(IF(X279="","",X279),"")</f>
        <v/>
      </c>
      <c r="Z279" s="39">
        <f>IFERROR(IF(X279="","",X279*0.00936),"")</f>
        <v/>
      </c>
      <c r="AA279" s="65" t="inlineStr"/>
      <c r="AB279" s="66" t="inlineStr"/>
      <c r="AC279" s="272" t="inlineStr">
        <is>
          <t>ЕАЭС N RU Д-RU.РА02.В.58883/24</t>
        </is>
      </c>
      <c r="AG279" s="78" t="n"/>
      <c r="AJ279" s="82" t="inlineStr">
        <is>
          <t>Короб</t>
        </is>
      </c>
      <c r="AK279" s="82" t="n">
        <v>1</v>
      </c>
      <c r="BB279" s="273" t="inlineStr">
        <is>
          <t>ПГП</t>
        </is>
      </c>
      <c r="BM279" s="78">
        <f>IFERROR(X279*I279,"0")</f>
        <v/>
      </c>
      <c r="BN279" s="78">
        <f>IFERROR(Y279*I279,"0")</f>
        <v/>
      </c>
      <c r="BO279" s="78">
        <f>IFERROR(X279/J279,"0")</f>
        <v/>
      </c>
      <c r="BP279" s="78">
        <f>IFERROR(Y279/J279,"0")</f>
        <v/>
      </c>
    </row>
    <row r="280" ht="27" customHeight="1">
      <c r="A280" s="60" t="inlineStr">
        <is>
          <t>SU003377</t>
        </is>
      </c>
      <c r="B280" s="60" t="inlineStr">
        <is>
          <t>P004193</t>
        </is>
      </c>
      <c r="C280" s="34" t="n">
        <v>4301135306</v>
      </c>
      <c r="D280" s="353" t="n">
        <v>4640242181387</v>
      </c>
      <c r="E280" s="477" t="n"/>
      <c r="F280" s="516" t="n">
        <v>0.3</v>
      </c>
      <c r="G280" s="35" t="n">
        <v>9</v>
      </c>
      <c r="H280" s="516" t="n">
        <v>2.7</v>
      </c>
      <c r="I280" s="516" t="n">
        <v>2.845</v>
      </c>
      <c r="J280" s="35" t="n">
        <v>234</v>
      </c>
      <c r="K280" s="35" t="inlineStr">
        <is>
          <t>18</t>
        </is>
      </c>
      <c r="L280" s="35" t="inlineStr">
        <is>
          <t>Короб, мин. 1</t>
        </is>
      </c>
      <c r="M280" s="36" t="inlineStr">
        <is>
          <t>МГ</t>
        </is>
      </c>
      <c r="N280" s="36" t="n"/>
      <c r="O280" s="35" t="n">
        <v>180</v>
      </c>
      <c r="P280" s="620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/>
      </c>
      <c r="Q280" s="518" t="n"/>
      <c r="R280" s="518" t="n"/>
      <c r="S280" s="518" t="n"/>
      <c r="T280" s="519" t="n"/>
      <c r="U280" s="37" t="inlineStr"/>
      <c r="V280" s="37" t="inlineStr"/>
      <c r="W280" s="38" t="inlineStr">
        <is>
          <t>кор</t>
        </is>
      </c>
      <c r="X280" s="520" t="n">
        <v>0</v>
      </c>
      <c r="Y280" s="521">
        <f>IFERROR(IF(X280="","",X280),"")</f>
        <v/>
      </c>
      <c r="Z280" s="39">
        <f>IFERROR(IF(X280="","",X280*0.00502),"")</f>
        <v/>
      </c>
      <c r="AA280" s="65" t="inlineStr"/>
      <c r="AB280" s="66" t="inlineStr"/>
      <c r="AC280" s="274" t="inlineStr">
        <is>
          <t>ЕАЭС N RU Д-RU.РА02.В.25079/24</t>
        </is>
      </c>
      <c r="AG280" s="78" t="n"/>
      <c r="AJ280" s="82" t="inlineStr">
        <is>
          <t>Короб</t>
        </is>
      </c>
      <c r="AK280" s="82" t="n">
        <v>1</v>
      </c>
      <c r="BB280" s="275" t="inlineStr">
        <is>
          <t>ПГП</t>
        </is>
      </c>
      <c r="BM280" s="78">
        <f>IFERROR(X280*I280,"0")</f>
        <v/>
      </c>
      <c r="BN280" s="78">
        <f>IFERROR(Y280*I280,"0")</f>
        <v/>
      </c>
      <c r="BO280" s="78">
        <f>IFERROR(X280/J280,"0")</f>
        <v/>
      </c>
      <c r="BP280" s="78">
        <f>IFERROR(Y280/J280,"0")</f>
        <v/>
      </c>
    </row>
    <row r="281" ht="27" customHeight="1">
      <c r="A281" s="60" t="inlineStr">
        <is>
          <t>SU003378</t>
        </is>
      </c>
      <c r="B281" s="60" t="inlineStr">
        <is>
          <t>P004196</t>
        </is>
      </c>
      <c r="C281" s="34" t="n">
        <v>4301135309</v>
      </c>
      <c r="D281" s="353" t="n">
        <v>4640242181332</v>
      </c>
      <c r="E281" s="477" t="n"/>
      <c r="F281" s="516" t="n">
        <v>0.3</v>
      </c>
      <c r="G281" s="35" t="n">
        <v>9</v>
      </c>
      <c r="H281" s="516" t="n">
        <v>2.7</v>
      </c>
      <c r="I281" s="516" t="n">
        <v>2.908</v>
      </c>
      <c r="J281" s="35" t="n">
        <v>234</v>
      </c>
      <c r="K281" s="35" t="inlineStr">
        <is>
          <t>18</t>
        </is>
      </c>
      <c r="L281" s="35" t="inlineStr">
        <is>
          <t>Короб, мин. 1</t>
        </is>
      </c>
      <c r="M281" s="36" t="inlineStr">
        <is>
          <t>МГ</t>
        </is>
      </c>
      <c r="N281" s="36" t="n"/>
      <c r="O281" s="35" t="n">
        <v>180</v>
      </c>
      <c r="P281" s="621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/>
      </c>
      <c r="Q281" s="518" t="n"/>
      <c r="R281" s="518" t="n"/>
      <c r="S281" s="518" t="n"/>
      <c r="T281" s="519" t="n"/>
      <c r="U281" s="37" t="inlineStr"/>
      <c r="V281" s="37" t="inlineStr"/>
      <c r="W281" s="38" t="inlineStr">
        <is>
          <t>кор</t>
        </is>
      </c>
      <c r="X281" s="520" t="n">
        <v>0</v>
      </c>
      <c r="Y281" s="521">
        <f>IFERROR(IF(X281="","",X281),"")</f>
        <v/>
      </c>
      <c r="Z281" s="39">
        <f>IFERROR(IF(X281="","",X281*0.00502),"")</f>
        <v/>
      </c>
      <c r="AA281" s="65" t="inlineStr"/>
      <c r="AB281" s="66" t="inlineStr"/>
      <c r="AC281" s="276" t="inlineStr">
        <is>
          <t>ЕАЭС N RU Д-RU.РА02.В.25079/24</t>
        </is>
      </c>
      <c r="AG281" s="78" t="n"/>
      <c r="AJ281" s="82" t="inlineStr">
        <is>
          <t>Короб</t>
        </is>
      </c>
      <c r="AK281" s="82" t="n">
        <v>1</v>
      </c>
      <c r="BB281" s="277" t="inlineStr">
        <is>
          <t>ПГП</t>
        </is>
      </c>
      <c r="BM281" s="78">
        <f>IFERROR(X281*I281,"0")</f>
        <v/>
      </c>
      <c r="BN281" s="78">
        <f>IFERROR(Y281*I281,"0")</f>
        <v/>
      </c>
      <c r="BO281" s="78">
        <f>IFERROR(X281/J281,"0")</f>
        <v/>
      </c>
      <c r="BP281" s="78">
        <f>IFERROR(Y281/J281,"0")</f>
        <v/>
      </c>
    </row>
    <row r="282" ht="27" customHeight="1">
      <c r="A282" s="60" t="inlineStr">
        <is>
          <t>SU003379</t>
        </is>
      </c>
      <c r="B282" s="60" t="inlineStr">
        <is>
          <t>P004197</t>
        </is>
      </c>
      <c r="C282" s="34" t="n">
        <v>4301135308</v>
      </c>
      <c r="D282" s="353" t="n">
        <v>4640242181349</v>
      </c>
      <c r="E282" s="477" t="n"/>
      <c r="F282" s="516" t="n">
        <v>0.3</v>
      </c>
      <c r="G282" s="35" t="n">
        <v>9</v>
      </c>
      <c r="H282" s="516" t="n">
        <v>2.7</v>
      </c>
      <c r="I282" s="516" t="n">
        <v>2.908</v>
      </c>
      <c r="J282" s="35" t="n">
        <v>234</v>
      </c>
      <c r="K282" s="35" t="inlineStr">
        <is>
          <t>18</t>
        </is>
      </c>
      <c r="L282" s="35" t="inlineStr">
        <is>
          <t>Короб, мин. 1</t>
        </is>
      </c>
      <c r="M282" s="36" t="inlineStr">
        <is>
          <t>МГ</t>
        </is>
      </c>
      <c r="N282" s="36" t="n"/>
      <c r="O282" s="35" t="n">
        <v>180</v>
      </c>
      <c r="P282" s="622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/>
      </c>
      <c r="Q282" s="518" t="n"/>
      <c r="R282" s="518" t="n"/>
      <c r="S282" s="518" t="n"/>
      <c r="T282" s="519" t="n"/>
      <c r="U282" s="37" t="inlineStr"/>
      <c r="V282" s="37" t="inlineStr"/>
      <c r="W282" s="38" t="inlineStr">
        <is>
          <t>кор</t>
        </is>
      </c>
      <c r="X282" s="520" t="n">
        <v>0</v>
      </c>
      <c r="Y282" s="521">
        <f>IFERROR(IF(X282="","",X282),"")</f>
        <v/>
      </c>
      <c r="Z282" s="39">
        <f>IFERROR(IF(X282="","",X282*0.00502),"")</f>
        <v/>
      </c>
      <c r="AA282" s="65" t="inlineStr"/>
      <c r="AB282" s="66" t="inlineStr"/>
      <c r="AC282" s="278" t="inlineStr">
        <is>
          <t>ЕАЭС N RU Д-RU.РА02.В.25079/24</t>
        </is>
      </c>
      <c r="AG282" s="78" t="n"/>
      <c r="AJ282" s="82" t="inlineStr">
        <is>
          <t>Короб</t>
        </is>
      </c>
      <c r="AK282" s="82" t="n">
        <v>1</v>
      </c>
      <c r="BB282" s="279" t="inlineStr">
        <is>
          <t>ПГП</t>
        </is>
      </c>
      <c r="BM282" s="78">
        <f>IFERROR(X282*I282,"0")</f>
        <v/>
      </c>
      <c r="BN282" s="78">
        <f>IFERROR(Y282*I282,"0")</f>
        <v/>
      </c>
      <c r="BO282" s="78">
        <f>IFERROR(X282/J282,"0")</f>
        <v/>
      </c>
      <c r="BP282" s="78">
        <f>IFERROR(Y282/J282,"0")</f>
        <v/>
      </c>
    </row>
    <row r="283" ht="27" customHeight="1">
      <c r="A283" s="60" t="inlineStr">
        <is>
          <t>SU003380</t>
        </is>
      </c>
      <c r="B283" s="60" t="inlineStr">
        <is>
          <t>P004192</t>
        </is>
      </c>
      <c r="C283" s="34" t="n">
        <v>4301135307</v>
      </c>
      <c r="D283" s="353" t="n">
        <v>4640242181370</v>
      </c>
      <c r="E283" s="477" t="n"/>
      <c r="F283" s="516" t="n">
        <v>0.3</v>
      </c>
      <c r="G283" s="35" t="n">
        <v>9</v>
      </c>
      <c r="H283" s="516" t="n">
        <v>2.7</v>
      </c>
      <c r="I283" s="516" t="n">
        <v>2.908</v>
      </c>
      <c r="J283" s="35" t="n">
        <v>234</v>
      </c>
      <c r="K283" s="35" t="inlineStr">
        <is>
          <t>18</t>
        </is>
      </c>
      <c r="L283" s="35" t="inlineStr">
        <is>
          <t>Короб, мин. 1</t>
        </is>
      </c>
      <c r="M283" s="36" t="inlineStr">
        <is>
          <t>МГ</t>
        </is>
      </c>
      <c r="N283" s="36" t="n"/>
      <c r="O283" s="35" t="n">
        <v>180</v>
      </c>
      <c r="P283" s="623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/>
      </c>
      <c r="Q283" s="518" t="n"/>
      <c r="R283" s="518" t="n"/>
      <c r="S283" s="518" t="n"/>
      <c r="T283" s="519" t="n"/>
      <c r="U283" s="37" t="inlineStr"/>
      <c r="V283" s="37" t="inlineStr"/>
      <c r="W283" s="38" t="inlineStr">
        <is>
          <t>кор</t>
        </is>
      </c>
      <c r="X283" s="520" t="n">
        <v>0</v>
      </c>
      <c r="Y283" s="521">
        <f>IFERROR(IF(X283="","",X283),"")</f>
        <v/>
      </c>
      <c r="Z283" s="39">
        <f>IFERROR(IF(X283="","",X283*0.00502),"")</f>
        <v/>
      </c>
      <c r="AA283" s="65" t="inlineStr"/>
      <c r="AB283" s="66" t="inlineStr"/>
      <c r="AC283" s="280" t="inlineStr">
        <is>
          <t>ЕАЭС N RU Д-RU. РА04. В.83232/23, ЕАЭС N RU Д-RU.РА02.В.25079/24</t>
        </is>
      </c>
      <c r="AG283" s="78" t="n"/>
      <c r="AJ283" s="82" t="inlineStr">
        <is>
          <t>Короб</t>
        </is>
      </c>
      <c r="AK283" s="82" t="n">
        <v>1</v>
      </c>
      <c r="BB283" s="281" t="inlineStr">
        <is>
          <t>ПГП</t>
        </is>
      </c>
      <c r="BM283" s="78">
        <f>IFERROR(X283*I283,"0")</f>
        <v/>
      </c>
      <c r="BN283" s="78">
        <f>IFERROR(Y283*I283,"0")</f>
        <v/>
      </c>
      <c r="BO283" s="78">
        <f>IFERROR(X283/J283,"0")</f>
        <v/>
      </c>
      <c r="BP283" s="78">
        <f>IFERROR(Y283/J283,"0")</f>
        <v/>
      </c>
    </row>
    <row r="284">
      <c r="A284" s="361" t="n"/>
      <c r="B284" s="465" t="n"/>
      <c r="C284" s="465" t="n"/>
      <c r="D284" s="465" t="n"/>
      <c r="E284" s="465" t="n"/>
      <c r="F284" s="465" t="n"/>
      <c r="G284" s="465" t="n"/>
      <c r="H284" s="465" t="n"/>
      <c r="I284" s="465" t="n"/>
      <c r="J284" s="465" t="n"/>
      <c r="K284" s="465" t="n"/>
      <c r="L284" s="465" t="n"/>
      <c r="M284" s="465" t="n"/>
      <c r="N284" s="465" t="n"/>
      <c r="O284" s="522" t="n"/>
      <c r="P284" s="523" t="inlineStr">
        <is>
          <t>Итого</t>
        </is>
      </c>
      <c r="Q284" s="485" t="n"/>
      <c r="R284" s="485" t="n"/>
      <c r="S284" s="485" t="n"/>
      <c r="T284" s="485" t="n"/>
      <c r="U284" s="485" t="n"/>
      <c r="V284" s="486" t="n"/>
      <c r="W284" s="40" t="inlineStr">
        <is>
          <t>кор</t>
        </is>
      </c>
      <c r="X284" s="524">
        <f>IFERROR(SUM(X271:X283),"0")</f>
        <v/>
      </c>
      <c r="Y284" s="524">
        <f>IFERROR(SUM(Y271:Y283),"0")</f>
        <v/>
      </c>
      <c r="Z284" s="524">
        <f>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/>
      </c>
      <c r="AA284" s="525" t="n"/>
      <c r="AB284" s="525" t="n"/>
      <c r="AC284" s="525" t="n"/>
    </row>
    <row r="285">
      <c r="A285" s="465" t="n"/>
      <c r="B285" s="465" t="n"/>
      <c r="C285" s="465" t="n"/>
      <c r="D285" s="465" t="n"/>
      <c r="E285" s="465" t="n"/>
      <c r="F285" s="465" t="n"/>
      <c r="G285" s="465" t="n"/>
      <c r="H285" s="465" t="n"/>
      <c r="I285" s="465" t="n"/>
      <c r="J285" s="465" t="n"/>
      <c r="K285" s="465" t="n"/>
      <c r="L285" s="465" t="n"/>
      <c r="M285" s="465" t="n"/>
      <c r="N285" s="465" t="n"/>
      <c r="O285" s="522" t="n"/>
      <c r="P285" s="523" t="inlineStr">
        <is>
          <t>Итого</t>
        </is>
      </c>
      <c r="Q285" s="485" t="n"/>
      <c r="R285" s="485" t="n"/>
      <c r="S285" s="485" t="n"/>
      <c r="T285" s="485" t="n"/>
      <c r="U285" s="485" t="n"/>
      <c r="V285" s="486" t="n"/>
      <c r="W285" s="40" t="inlineStr">
        <is>
          <t>кг</t>
        </is>
      </c>
      <c r="X285" s="524">
        <f>IFERROR(SUMPRODUCT(X271:X283*H271:H283),"0")</f>
        <v/>
      </c>
      <c r="Y285" s="524">
        <f>IFERROR(SUMPRODUCT(Y271:Y283*H271:H283),"0")</f>
        <v/>
      </c>
      <c r="Z285" s="40" t="n"/>
      <c r="AA285" s="525" t="n"/>
      <c r="AB285" s="525" t="n"/>
      <c r="AC285" s="525" t="n"/>
    </row>
    <row r="286" ht="15" customHeight="1">
      <c r="A286" s="463" t="n"/>
      <c r="B286" s="465" t="n"/>
      <c r="C286" s="465" t="n"/>
      <c r="D286" s="465" t="n"/>
      <c r="E286" s="465" t="n"/>
      <c r="F286" s="465" t="n"/>
      <c r="G286" s="465" t="n"/>
      <c r="H286" s="465" t="n"/>
      <c r="I286" s="465" t="n"/>
      <c r="J286" s="465" t="n"/>
      <c r="K286" s="465" t="n"/>
      <c r="L286" s="465" t="n"/>
      <c r="M286" s="465" t="n"/>
      <c r="N286" s="465" t="n"/>
      <c r="O286" s="474" t="n"/>
      <c r="P286" s="624" t="inlineStr">
        <is>
          <t>ИТОГО НЕТТО</t>
        </is>
      </c>
      <c r="Q286" s="468" t="n"/>
      <c r="R286" s="468" t="n"/>
      <c r="S286" s="468" t="n"/>
      <c r="T286" s="468" t="n"/>
      <c r="U286" s="468" t="n"/>
      <c r="V286" s="469" t="n"/>
      <c r="W286" s="40" t="inlineStr">
        <is>
          <t>кг</t>
        </is>
      </c>
      <c r="X286" s="524">
        <f>IFERROR(X24+X31+X38+X46+X51+X55+X59+X64+X70+X76+X81+X87+X97+X103+X112+X116+X120+X126+X132+X138+X143+X148+X153+X158+X165+X173+X177+X183+X190+X198+X206+X211+X216+X222+X228+X234+X240+X246+X250+X258+X263+X269+X285,"0")</f>
        <v/>
      </c>
      <c r="Y286" s="524">
        <f>IFERROR(Y24+Y31+Y38+Y46+Y51+Y55+Y59+Y64+Y70+Y76+Y81+Y87+Y97+Y103+Y112+Y116+Y120+Y126+Y132+Y138+Y143+Y148+Y153+Y158+Y165+Y173+Y177+Y183+Y190+Y198+Y206+Y211+Y216+Y222+Y228+Y234+Y240+Y246+Y250+Y258+Y263+Y269+Y285,"0")</f>
        <v/>
      </c>
      <c r="Z286" s="40" t="n"/>
      <c r="AA286" s="525" t="n"/>
      <c r="AB286" s="525" t="n"/>
      <c r="AC286" s="525" t="n"/>
    </row>
    <row r="287">
      <c r="A287" s="465" t="n"/>
      <c r="B287" s="465" t="n"/>
      <c r="C287" s="465" t="n"/>
      <c r="D287" s="465" t="n"/>
      <c r="E287" s="465" t="n"/>
      <c r="F287" s="465" t="n"/>
      <c r="G287" s="465" t="n"/>
      <c r="H287" s="465" t="n"/>
      <c r="I287" s="465" t="n"/>
      <c r="J287" s="465" t="n"/>
      <c r="K287" s="465" t="n"/>
      <c r="L287" s="465" t="n"/>
      <c r="M287" s="465" t="n"/>
      <c r="N287" s="465" t="n"/>
      <c r="O287" s="474" t="n"/>
      <c r="P287" s="624" t="inlineStr">
        <is>
          <t>ИТОГО БРУТТО</t>
        </is>
      </c>
      <c r="Q287" s="468" t="n"/>
      <c r="R287" s="468" t="n"/>
      <c r="S287" s="468" t="n"/>
      <c r="T287" s="468" t="n"/>
      <c r="U287" s="468" t="n"/>
      <c r="V287" s="469" t="n"/>
      <c r="W287" s="40" t="inlineStr">
        <is>
          <t>кг</t>
        </is>
      </c>
      <c r="X287" s="524">
        <f>IFERROR(SUM(BM22:BM283),"0")</f>
        <v/>
      </c>
      <c r="Y287" s="524">
        <f>IFERROR(SUM(BN22:BN283),"0")</f>
        <v/>
      </c>
      <c r="Z287" s="40" t="n"/>
      <c r="AA287" s="525" t="n"/>
      <c r="AB287" s="525" t="n"/>
      <c r="AC287" s="525" t="n"/>
    </row>
    <row r="288">
      <c r="A288" s="465" t="n"/>
      <c r="B288" s="465" t="n"/>
      <c r="C288" s="465" t="n"/>
      <c r="D288" s="465" t="n"/>
      <c r="E288" s="465" t="n"/>
      <c r="F288" s="465" t="n"/>
      <c r="G288" s="465" t="n"/>
      <c r="H288" s="465" t="n"/>
      <c r="I288" s="465" t="n"/>
      <c r="J288" s="465" t="n"/>
      <c r="K288" s="465" t="n"/>
      <c r="L288" s="465" t="n"/>
      <c r="M288" s="465" t="n"/>
      <c r="N288" s="465" t="n"/>
      <c r="O288" s="474" t="n"/>
      <c r="P288" s="624" t="inlineStr">
        <is>
          <t>Кол-во паллет</t>
        </is>
      </c>
      <c r="Q288" s="468" t="n"/>
      <c r="R288" s="468" t="n"/>
      <c r="S288" s="468" t="n"/>
      <c r="T288" s="468" t="n"/>
      <c r="U288" s="468" t="n"/>
      <c r="V288" s="469" t="n"/>
      <c r="W288" s="40" t="inlineStr">
        <is>
          <t>шт</t>
        </is>
      </c>
      <c r="X288" s="42">
        <f>ROUNDUP(SUM(BO22:BO283),0)</f>
        <v/>
      </c>
      <c r="Y288" s="42">
        <f>ROUNDUP(SUM(BP22:BP283),0)</f>
        <v/>
      </c>
      <c r="Z288" s="40" t="n"/>
      <c r="AA288" s="525" t="n"/>
      <c r="AB288" s="525" t="n"/>
      <c r="AC288" s="525" t="n"/>
    </row>
    <row r="289">
      <c r="A289" s="465" t="n"/>
      <c r="B289" s="465" t="n"/>
      <c r="C289" s="465" t="n"/>
      <c r="D289" s="465" t="n"/>
      <c r="E289" s="465" t="n"/>
      <c r="F289" s="465" t="n"/>
      <c r="G289" s="465" t="n"/>
      <c r="H289" s="465" t="n"/>
      <c r="I289" s="465" t="n"/>
      <c r="J289" s="465" t="n"/>
      <c r="K289" s="465" t="n"/>
      <c r="L289" s="465" t="n"/>
      <c r="M289" s="465" t="n"/>
      <c r="N289" s="465" t="n"/>
      <c r="O289" s="474" t="n"/>
      <c r="P289" s="624" t="inlineStr">
        <is>
          <t>Вес брутто  с паллетами</t>
        </is>
      </c>
      <c r="Q289" s="468" t="n"/>
      <c r="R289" s="468" t="n"/>
      <c r="S289" s="468" t="n"/>
      <c r="T289" s="468" t="n"/>
      <c r="U289" s="468" t="n"/>
      <c r="V289" s="469" t="n"/>
      <c r="W289" s="40" t="inlineStr">
        <is>
          <t>кг</t>
        </is>
      </c>
      <c r="X289" s="524">
        <f>GrossWeightTotal+PalletQtyTotal*25</f>
        <v/>
      </c>
      <c r="Y289" s="524">
        <f>GrossWeightTotalR+PalletQtyTotalR*25</f>
        <v/>
      </c>
      <c r="Z289" s="40" t="n"/>
      <c r="AA289" s="525" t="n"/>
      <c r="AB289" s="525" t="n"/>
      <c r="AC289" s="525" t="n"/>
    </row>
    <row r="290">
      <c r="A290" s="465" t="n"/>
      <c r="B290" s="465" t="n"/>
      <c r="C290" s="465" t="n"/>
      <c r="D290" s="465" t="n"/>
      <c r="E290" s="465" t="n"/>
      <c r="F290" s="465" t="n"/>
      <c r="G290" s="465" t="n"/>
      <c r="H290" s="465" t="n"/>
      <c r="I290" s="465" t="n"/>
      <c r="J290" s="465" t="n"/>
      <c r="K290" s="465" t="n"/>
      <c r="L290" s="465" t="n"/>
      <c r="M290" s="465" t="n"/>
      <c r="N290" s="465" t="n"/>
      <c r="O290" s="474" t="n"/>
      <c r="P290" s="624" t="inlineStr">
        <is>
          <t>Кол-во коробок</t>
        </is>
      </c>
      <c r="Q290" s="468" t="n"/>
      <c r="R290" s="468" t="n"/>
      <c r="S290" s="468" t="n"/>
      <c r="T290" s="468" t="n"/>
      <c r="U290" s="468" t="n"/>
      <c r="V290" s="469" t="n"/>
      <c r="W290" s="40" t="inlineStr">
        <is>
          <t>шт</t>
        </is>
      </c>
      <c r="X290" s="524">
        <f>IFERROR(X23+X30+X37+X45+X50+X54+X58+X63+X69+X75+X80+X86+X96+X102+X111+X115+X119+X125+X131+X137+X142+X147+X152+X157+X164+X172+X176+X182+X189+X197+X205+X210+X215+X221+X227+X233+X239+X245+X249+X257+X262+X268+X284,"0")</f>
        <v/>
      </c>
      <c r="Y290" s="524">
        <f>IFERROR(Y23+Y30+Y37+Y45+Y50+Y54+Y58+Y63+Y69+Y75+Y80+Y86+Y96+Y102+Y111+Y115+Y119+Y125+Y131+Y137+Y142+Y147+Y152+Y157+Y164+Y172+Y176+Y182+Y189+Y197+Y205+Y210+Y215+Y221+Y227+Y233+Y239+Y245+Y249+Y257+Y262+Y268+Y284,"0")</f>
        <v/>
      </c>
      <c r="Z290" s="40" t="n"/>
      <c r="AA290" s="525" t="n"/>
      <c r="AB290" s="525" t="n"/>
      <c r="AC290" s="525" t="n"/>
    </row>
    <row r="291" ht="14.25" customHeight="1">
      <c r="A291" s="465" t="n"/>
      <c r="B291" s="465" t="n"/>
      <c r="C291" s="465" t="n"/>
      <c r="D291" s="465" t="n"/>
      <c r="E291" s="465" t="n"/>
      <c r="F291" s="465" t="n"/>
      <c r="G291" s="465" t="n"/>
      <c r="H291" s="465" t="n"/>
      <c r="I291" s="465" t="n"/>
      <c r="J291" s="465" t="n"/>
      <c r="K291" s="465" t="n"/>
      <c r="L291" s="465" t="n"/>
      <c r="M291" s="465" t="n"/>
      <c r="N291" s="465" t="n"/>
      <c r="O291" s="474" t="n"/>
      <c r="P291" s="624" t="inlineStr">
        <is>
          <t>Объем заказа</t>
        </is>
      </c>
      <c r="Q291" s="468" t="n"/>
      <c r="R291" s="468" t="n"/>
      <c r="S291" s="468" t="n"/>
      <c r="T291" s="468" t="n"/>
      <c r="U291" s="468" t="n"/>
      <c r="V291" s="469" t="n"/>
      <c r="W291" s="43" t="inlineStr">
        <is>
          <t>м3</t>
        </is>
      </c>
      <c r="X291" s="40" t="n"/>
      <c r="Y291" s="40" t="n"/>
      <c r="Z291" s="40">
        <f>IFERROR(Z23+Z30+Z37+Z45+Z50+Z54+Z58+Z63+Z69+Z75+Z80+Z86+Z96+Z102+Z111+Z115+Z119+Z125+Z131+Z137+Z142+Z147+Z152+Z157+Z164+Z172+Z176+Z182+Z189+Z197+Z205+Z210+Z215+Z221+Z227+Z233+Z239+Z245+Z249+Z257+Z262+Z268+Z284,"0")</f>
        <v/>
      </c>
      <c r="AA291" s="525" t="n"/>
      <c r="AB291" s="525" t="n"/>
      <c r="AC291" s="525" t="n"/>
    </row>
    <row r="292" ht="13.5" customHeight="1" thickBot="1"/>
    <row r="293" ht="27" customHeight="1" thickBot="1" thickTop="1">
      <c r="A293" s="44" t="inlineStr">
        <is>
          <t>ТОРГОВАЯ МАРКА</t>
        </is>
      </c>
      <c r="B293" s="464" t="inlineStr">
        <is>
          <t>Ядрена копоть</t>
        </is>
      </c>
      <c r="C293" s="464" t="inlineStr">
        <is>
          <t>Горячая штучка</t>
        </is>
      </c>
      <c r="D293" s="625" t="n"/>
      <c r="E293" s="625" t="n"/>
      <c r="F293" s="625" t="n"/>
      <c r="G293" s="625" t="n"/>
      <c r="H293" s="625" t="n"/>
      <c r="I293" s="625" t="n"/>
      <c r="J293" s="625" t="n"/>
      <c r="K293" s="625" t="n"/>
      <c r="L293" s="625" t="n"/>
      <c r="M293" s="625" t="n"/>
      <c r="N293" s="625" t="n"/>
      <c r="O293" s="625" t="n"/>
      <c r="P293" s="625" t="n"/>
      <c r="Q293" s="625" t="n"/>
      <c r="R293" s="625" t="n"/>
      <c r="S293" s="625" t="n"/>
      <c r="T293" s="626" t="n"/>
      <c r="U293" s="464" t="inlineStr">
        <is>
          <t>No Name</t>
        </is>
      </c>
      <c r="V293" s="464" t="inlineStr">
        <is>
          <t>Вязанка</t>
        </is>
      </c>
      <c r="W293" s="464" t="inlineStr">
        <is>
          <t>Стародворье</t>
        </is>
      </c>
      <c r="X293" s="625" t="n"/>
      <c r="Y293" s="625" t="n"/>
      <c r="Z293" s="625" t="n"/>
      <c r="AA293" s="625" t="n"/>
      <c r="AB293" s="626" t="n"/>
      <c r="AC293" s="464" t="inlineStr">
        <is>
          <t>Колбасный стандарт</t>
        </is>
      </c>
      <c r="AD293" s="464" t="inlineStr">
        <is>
          <t>Особый рецепт</t>
        </is>
      </c>
      <c r="AE293" s="464" t="inlineStr">
        <is>
          <t>Владимирский стандарт</t>
        </is>
      </c>
      <c r="AF293" s="464" t="inlineStr">
        <is>
          <t>Зареченские продукты</t>
        </is>
      </c>
    </row>
    <row r="294" ht="14.25" customHeight="1" thickTop="1">
      <c r="A294" s="466" t="inlineStr">
        <is>
          <t>СЕРИЯ</t>
        </is>
      </c>
      <c r="B294" s="464" t="inlineStr">
        <is>
          <t>Ядрена копоть</t>
        </is>
      </c>
      <c r="C294" s="464" t="inlineStr">
        <is>
          <t>Наггетсы ГШ</t>
        </is>
      </c>
      <c r="D294" s="464" t="inlineStr">
        <is>
          <t>Grandmeni</t>
        </is>
      </c>
      <c r="E294" s="464" t="inlineStr">
        <is>
          <t>Бигбули ГШ</t>
        </is>
      </c>
      <c r="F294" s="464" t="inlineStr">
        <is>
          <t>Foodgital</t>
        </is>
      </c>
      <c r="G294" s="464" t="inlineStr">
        <is>
          <t>Бульмени вес ГШ</t>
        </is>
      </c>
      <c r="H294" s="464" t="inlineStr">
        <is>
          <t>Бельмеши</t>
        </is>
      </c>
      <c r="I294" s="464" t="inlineStr">
        <is>
          <t>Крылышки ГШ</t>
        </is>
      </c>
      <c r="J294" s="464" t="inlineStr">
        <is>
          <t>Чебупели</t>
        </is>
      </c>
      <c r="K294" s="464" t="inlineStr">
        <is>
          <t>Чебуреки ГШ</t>
        </is>
      </c>
      <c r="L294" s="464" t="inlineStr">
        <is>
          <t>Бульмени ГШ</t>
        </is>
      </c>
      <c r="M294" s="464" t="inlineStr">
        <is>
          <t>Чебупицца</t>
        </is>
      </c>
      <c r="N294" s="465" t="n"/>
      <c r="O294" s="464" t="inlineStr">
        <is>
          <t>Хотстеры</t>
        </is>
      </c>
      <c r="P294" s="464" t="inlineStr">
        <is>
          <t>Круггетсы</t>
        </is>
      </c>
      <c r="Q294" s="464" t="inlineStr">
        <is>
          <t>Пекерсы</t>
        </is>
      </c>
      <c r="R294" s="464" t="inlineStr">
        <is>
          <t>Хот-Догстер</t>
        </is>
      </c>
      <c r="S294" s="464" t="inlineStr">
        <is>
          <t>Супермени</t>
        </is>
      </c>
      <c r="T294" s="464" t="inlineStr">
        <is>
          <t>Чебуманы</t>
        </is>
      </c>
      <c r="U294" s="464" t="inlineStr">
        <is>
          <t>No Name ЗПФ</t>
        </is>
      </c>
      <c r="V294" s="464" t="inlineStr">
        <is>
          <t>Сливушка</t>
        </is>
      </c>
      <c r="W294" s="464" t="inlineStr">
        <is>
          <t>Стародворье ПГП</t>
        </is>
      </c>
      <c r="X294" s="464" t="inlineStr">
        <is>
          <t>Медвежьи ушки</t>
        </is>
      </c>
      <c r="Y294" s="464" t="inlineStr">
        <is>
          <t>Медвежье ушко</t>
        </is>
      </c>
      <c r="Z294" s="464" t="inlineStr">
        <is>
          <t>Стародворские</t>
        </is>
      </c>
      <c r="AA294" s="464" t="inlineStr">
        <is>
          <t>Добросельские ЭТМ</t>
        </is>
      </c>
      <c r="AB294" s="464" t="inlineStr">
        <is>
          <t>Сочные</t>
        </is>
      </c>
      <c r="AC294" s="464" t="inlineStr">
        <is>
          <t>Владимирский Стандарт ЗПФ</t>
        </is>
      </c>
      <c r="AD294" s="464" t="inlineStr">
        <is>
          <t>Любимая ложка</t>
        </is>
      </c>
      <c r="AE294" s="464" t="inlineStr">
        <is>
          <t>Владимирский Стандарт ПГП</t>
        </is>
      </c>
      <c r="AF294" s="464" t="inlineStr">
        <is>
          <t>Зареченские продукты</t>
        </is>
      </c>
    </row>
    <row r="295" ht="13.5" customHeight="1" thickBot="1">
      <c r="A295" s="627" t="n"/>
      <c r="B295" s="628" t="n"/>
      <c r="C295" s="628" t="n"/>
      <c r="D295" s="628" t="n"/>
      <c r="E295" s="628" t="n"/>
      <c r="F295" s="628" t="n"/>
      <c r="G295" s="628" t="n"/>
      <c r="H295" s="628" t="n"/>
      <c r="I295" s="628" t="n"/>
      <c r="J295" s="628" t="n"/>
      <c r="K295" s="628" t="n"/>
      <c r="L295" s="628" t="n"/>
      <c r="M295" s="628" t="n"/>
      <c r="N295" s="465" t="n"/>
      <c r="O295" s="628" t="n"/>
      <c r="P295" s="628" t="n"/>
      <c r="Q295" s="628" t="n"/>
      <c r="R295" s="628" t="n"/>
      <c r="S295" s="628" t="n"/>
      <c r="T295" s="628" t="n"/>
      <c r="U295" s="628" t="n"/>
      <c r="V295" s="628" t="n"/>
      <c r="W295" s="628" t="n"/>
      <c r="X295" s="628" t="n"/>
      <c r="Y295" s="628" t="n"/>
      <c r="Z295" s="628" t="n"/>
      <c r="AA295" s="628" t="n"/>
      <c r="AB295" s="628" t="n"/>
      <c r="AC295" s="628" t="n"/>
      <c r="AD295" s="628" t="n"/>
      <c r="AE295" s="628" t="n"/>
      <c r="AF295" s="628" t="n"/>
    </row>
    <row r="296" ht="18" customHeight="1" thickBot="1" thickTop="1">
      <c r="A296" s="44" t="inlineStr">
        <is>
          <t>ИТОГО, кг</t>
        </is>
      </c>
      <c r="B296" s="50">
        <f>IFERROR(X22*H22,"0")</f>
        <v/>
      </c>
      <c r="C296" s="50">
        <f>IFERROR(X28*H28,"0")+IFERROR(X29*H29,"0")</f>
        <v/>
      </c>
      <c r="D296" s="50">
        <f>IFERROR(X34*H34,"0")+IFERROR(X35*H35,"0")+IFERROR(X36*H36,"0")</f>
        <v/>
      </c>
      <c r="E296" s="50">
        <f>IFERROR(X41*H41,"0")+IFERROR(X42*H42,"0")+IFERROR(X43*H43,"0")+IFERROR(X44*H44,"0")</f>
        <v/>
      </c>
      <c r="F296" s="50">
        <f>IFERROR(X49*H49,"0")+IFERROR(X53*H53,"0")+IFERROR(X57*H57,"0")+IFERROR(X61*H61,"0")+IFERROR(X62*H62,"0")+IFERROR(X66*H66,"0")+IFERROR(X67*H67,"0")+IFERROR(X68*H68,"0")</f>
        <v/>
      </c>
      <c r="G296" s="50">
        <f>IFERROR(X73*H73,"0")+IFERROR(X74*H74,"0")</f>
        <v/>
      </c>
      <c r="H296" s="50">
        <f>IFERROR(X79*H79,"0")</f>
        <v/>
      </c>
      <c r="I296" s="50">
        <f>IFERROR(X84*H84,"0")+IFERROR(X85*H85,"0")</f>
        <v/>
      </c>
      <c r="J296" s="50">
        <f>IFERROR(X90*H90,"0")+IFERROR(X91*H91,"0")+IFERROR(X92*H92,"0")+IFERROR(X93*H93,"0")+IFERROR(X94*H94,"0")+IFERROR(X95*H95,"0")</f>
        <v/>
      </c>
      <c r="K296" s="50">
        <f>IFERROR(X100*H100,"0")+IFERROR(X101*H101,"0")</f>
        <v/>
      </c>
      <c r="L296" s="50">
        <f>IFERROR(X106*H106,"0")+IFERROR(X107*H107,"0")+IFERROR(X108*H108,"0")+IFERROR(X109*H109,"0")+IFERROR(X110*H110,"0")+IFERROR(X114*H114,"0")+IFERROR(X118*H118,"0")</f>
        <v/>
      </c>
      <c r="M296" s="50">
        <f>IFERROR(X123*H123,"0")+IFERROR(X124*H124,"0")</f>
        <v/>
      </c>
      <c r="N296" s="465" t="n"/>
      <c r="O296" s="50">
        <f>IFERROR(X129*H129,"0")+IFERROR(X130*H130,"0")</f>
        <v/>
      </c>
      <c r="P296" s="50">
        <f>IFERROR(X135*H135,"0")+IFERROR(X136*H136,"0")</f>
        <v/>
      </c>
      <c r="Q296" s="50">
        <f>IFERROR(X141*H141,"0")</f>
        <v/>
      </c>
      <c r="R296" s="50">
        <f>IFERROR(X146*H146,"0")</f>
        <v/>
      </c>
      <c r="S296" s="50">
        <f>IFERROR(X151*H151,"0")</f>
        <v/>
      </c>
      <c r="T296" s="50">
        <f>IFERROR(X156*H156,"0")</f>
        <v/>
      </c>
      <c r="U296" s="50">
        <f>IFERROR(X162*H162,"0")+IFERROR(X163*H163,"0")</f>
        <v/>
      </c>
      <c r="V296" s="50">
        <f>IFERROR(X169*H169,"0")+IFERROR(X170*H170,"0")+IFERROR(X171*H171,"0")+IFERROR(X175*H175,"0")</f>
        <v/>
      </c>
      <c r="W296" s="50">
        <f>IFERROR(X181*H181,"0")+IFERROR(X185*H185,"0")+IFERROR(X186*H186,"0")+IFERROR(X187*H187,"0")+IFERROR(X188*H188,"0")</f>
        <v/>
      </c>
      <c r="X296" s="50">
        <f>IFERROR(X193*H193,"0")+IFERROR(X194*H194,"0")+IFERROR(X195*H195,"0")+IFERROR(X196*H196,"0")</f>
        <v/>
      </c>
      <c r="Y296" s="50">
        <f>IFERROR(X201*H201,"0")+IFERROR(X202*H202,"0")+IFERROR(X203*H203,"0")+IFERROR(X204*H204,"0")</f>
        <v/>
      </c>
      <c r="Z296" s="50">
        <f>IFERROR(X209*H209,"0")</f>
        <v/>
      </c>
      <c r="AA296" s="50">
        <f>IFERROR(X214*H214,"0")+IFERROR(X218*H218,"0")+IFERROR(X219*H219,"0")+IFERROR(X220*H220,"0")</f>
        <v/>
      </c>
      <c r="AB296" s="50">
        <f>IFERROR(X225*H225,"0")+IFERROR(X226*H226,"0")</f>
        <v/>
      </c>
      <c r="AC296" s="50">
        <f>IFERROR(X232*H232,"0")</f>
        <v/>
      </c>
      <c r="AD296" s="50">
        <f>IFERROR(X238*H238,"0")</f>
        <v/>
      </c>
      <c r="AE296" s="50">
        <f>IFERROR(X244*H244,"0")+IFERROR(X248*H248,"0")</f>
        <v/>
      </c>
      <c r="AF296" s="50">
        <f>IFERROR(X254*H254,"0")+IFERROR(X255*H255,"0")+IFERROR(X256*H256,"0")+IFERROR(X260*H260,"0")+IFERROR(X261*H261,"0")+IFERROR(X265*H265,"0")+IFERROR(X266*H266,"0")+IFERROR(X267*H267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/>
      </c>
    </row>
    <row r="297" ht="13.5" customHeight="1" thickTop="1">
      <c r="C297" s="465" t="n"/>
    </row>
    <row r="298" ht="19.5" customHeight="1">
      <c r="A298" s="67" t="inlineStr">
        <is>
          <t>ЗПФ, кг</t>
        </is>
      </c>
      <c r="B298" s="67" t="inlineStr">
        <is>
          <t xml:space="preserve">ПГП, кг </t>
        </is>
      </c>
      <c r="C298" s="67" t="inlineStr">
        <is>
          <t>КИЗ, кг</t>
        </is>
      </c>
    </row>
    <row r="299">
      <c r="A299" s="68">
        <f>SUMPRODUCT(--(BB:BB="ЗПФ"),--(W:W="кор"),H:H,Y:Y)+SUMPRODUCT(--(BB:BB="ЗПФ"),--(W:W="кг"),Y:Y)</f>
        <v/>
      </c>
      <c r="B299" s="69">
        <f>SUMPRODUCT(--(BB:BB="ПГП"),--(W:W="кор"),H:H,Y:Y)+SUMPRODUCT(--(BB:BB="ПГП"),--(W:W="кг"),Y:Y)</f>
        <v/>
      </c>
      <c r="C299" s="69">
        <f>SUMPRODUCT(--(BB:BB="КИЗ"),--(W:W="кор"),H:H,Y:Y)+SUMPRODUCT(--(BB:BB="КИЗ"),--(W:W="кг"),Y:Y)</f>
        <v/>
      </c>
    </row>
    <row r="30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R11ubiOcYQ7YORhxPXi7Q==" formatRows="1" sort="0" spinCount="100000" hashValue="sxCxeLWA5azasOurrVj+++JnnT+0xooa8U1AR7hnfbl2HSjhJOtSgyI0cpOriWxbIVal+fuRD5PkAFMJbT/43w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515">
    <mergeCell ref="P79:T79"/>
    <mergeCell ref="P244:T244"/>
    <mergeCell ref="P73:T73"/>
    <mergeCell ref="D187:E187"/>
    <mergeCell ref="P87:V87"/>
    <mergeCell ref="A83:Z83"/>
    <mergeCell ref="A270:Z270"/>
    <mergeCell ref="P245:V245"/>
    <mergeCell ref="H9:I9"/>
    <mergeCell ref="P24:V24"/>
    <mergeCell ref="D281:E281"/>
    <mergeCell ref="P211:V211"/>
    <mergeCell ref="A78:Z78"/>
    <mergeCell ref="P153:V153"/>
    <mergeCell ref="P220:T220"/>
    <mergeCell ref="A65:Z65"/>
    <mergeCell ref="G294:G295"/>
    <mergeCell ref="D238:E238"/>
    <mergeCell ref="I294:I295"/>
    <mergeCell ref="A45:O46"/>
    <mergeCell ref="R1:T1"/>
    <mergeCell ref="P28:T28"/>
    <mergeCell ref="P115:V115"/>
    <mergeCell ref="A286:O291"/>
    <mergeCell ref="D73:E73"/>
    <mergeCell ref="A200:Z200"/>
    <mergeCell ref="A147:O148"/>
    <mergeCell ref="AB294:AB295"/>
    <mergeCell ref="P206:V206"/>
    <mergeCell ref="AD294:AD295"/>
    <mergeCell ref="P233:V233"/>
    <mergeCell ref="P37:V37"/>
    <mergeCell ref="A63:O64"/>
    <mergeCell ref="P275:T275"/>
    <mergeCell ref="B17:B18"/>
    <mergeCell ref="P143:V143"/>
    <mergeCell ref="A60:Z60"/>
    <mergeCell ref="D124:E124"/>
    <mergeCell ref="D195:E195"/>
    <mergeCell ref="V10:W10"/>
    <mergeCell ref="P170:T170"/>
    <mergeCell ref="D66:E66"/>
    <mergeCell ref="D53:E53"/>
    <mergeCell ref="A149:Z149"/>
    <mergeCell ref="P209:T209"/>
    <mergeCell ref="W17:W18"/>
    <mergeCell ref="P96:V96"/>
    <mergeCell ref="A213:Z213"/>
    <mergeCell ref="A150:Z150"/>
    <mergeCell ref="A144:Z144"/>
    <mergeCell ref="D129:E129"/>
    <mergeCell ref="D7:M7"/>
    <mergeCell ref="D79:E79"/>
    <mergeCell ref="P92:T92"/>
    <mergeCell ref="Y294:Y295"/>
    <mergeCell ref="O294:O295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P266:T266"/>
    <mergeCell ref="P95:T95"/>
    <mergeCell ref="P182:V182"/>
    <mergeCell ref="P38:V38"/>
    <mergeCell ref="H1:Q1"/>
    <mergeCell ref="A243:Z243"/>
    <mergeCell ref="A99:Z99"/>
    <mergeCell ref="D214:E214"/>
    <mergeCell ref="P222:V222"/>
    <mergeCell ref="P246:V246"/>
    <mergeCell ref="D28:E28"/>
    <mergeCell ref="P257:V257"/>
    <mergeCell ref="P171:T171"/>
    <mergeCell ref="A239:O240"/>
    <mergeCell ref="D92:E92"/>
    <mergeCell ref="D67:E67"/>
    <mergeCell ref="A140:Z140"/>
    <mergeCell ref="D5:E5"/>
    <mergeCell ref="P42:T42"/>
    <mergeCell ref="D94:E94"/>
    <mergeCell ref="A96:O97"/>
    <mergeCell ref="P177:V177"/>
    <mergeCell ref="Q294:Q295"/>
    <mergeCell ref="P164:V164"/>
    <mergeCell ref="P269:V269"/>
    <mergeCell ref="P273:T273"/>
    <mergeCell ref="D272:E272"/>
    <mergeCell ref="D209:E209"/>
    <mergeCell ref="A89:Z89"/>
    <mergeCell ref="D274:E274"/>
    <mergeCell ref="A105:Z105"/>
    <mergeCell ref="A233:O234"/>
    <mergeCell ref="A26:Z26"/>
    <mergeCell ref="A227:O228"/>
    <mergeCell ref="P59:V59"/>
    <mergeCell ref="P190:V190"/>
    <mergeCell ref="D1:F1"/>
    <mergeCell ref="A242:Z242"/>
    <mergeCell ref="A71:Z71"/>
    <mergeCell ref="P46:V46"/>
    <mergeCell ref="P111:V111"/>
    <mergeCell ref="A164:O165"/>
    <mergeCell ref="P294:P295"/>
    <mergeCell ref="J17:J18"/>
    <mergeCell ref="R294:R295"/>
    <mergeCell ref="L17:L18"/>
    <mergeCell ref="A184:Z184"/>
    <mergeCell ref="P255:T255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A111:O112"/>
    <mergeCell ref="A182:O183"/>
    <mergeCell ref="A168:Z168"/>
    <mergeCell ref="I17:I18"/>
    <mergeCell ref="D141:E141"/>
    <mergeCell ref="P176:V176"/>
    <mergeCell ref="D135:E135"/>
    <mergeCell ref="A119:O120"/>
    <mergeCell ref="P281:T281"/>
    <mergeCell ref="Q9:R9"/>
    <mergeCell ref="D255:E255"/>
    <mergeCell ref="A113:Z113"/>
    <mergeCell ref="A32:Z32"/>
    <mergeCell ref="AA294:AA295"/>
    <mergeCell ref="A159:Z159"/>
    <mergeCell ref="A37:O38"/>
    <mergeCell ref="Q11:R11"/>
    <mergeCell ref="D260:E260"/>
    <mergeCell ref="A6:C6"/>
    <mergeCell ref="P118:T118"/>
    <mergeCell ref="A161:Z161"/>
    <mergeCell ref="P102:V102"/>
    <mergeCell ref="P280:T280"/>
    <mergeCell ref="Q12:R12"/>
    <mergeCell ref="D261:E261"/>
    <mergeCell ref="P169:T169"/>
    <mergeCell ref="D90:E90"/>
    <mergeCell ref="P183:V183"/>
    <mergeCell ref="P198:V198"/>
    <mergeCell ref="A5:C5"/>
    <mergeCell ref="A237:Z237"/>
    <mergeCell ref="P64:V64"/>
    <mergeCell ref="P51:V51"/>
    <mergeCell ref="A174:Z174"/>
    <mergeCell ref="P195:T195"/>
    <mergeCell ref="A17:A18"/>
    <mergeCell ref="K17:K18"/>
    <mergeCell ref="C17:C18"/>
    <mergeCell ref="C293:T293"/>
    <mergeCell ref="P66:T66"/>
    <mergeCell ref="D9:E9"/>
    <mergeCell ref="D118:E118"/>
    <mergeCell ref="F9:G9"/>
    <mergeCell ref="P53:T53"/>
    <mergeCell ref="A47:Z47"/>
    <mergeCell ref="D232:E232"/>
    <mergeCell ref="A210:O211"/>
    <mergeCell ref="P68:T68"/>
    <mergeCell ref="D169:E169"/>
    <mergeCell ref="A134:Z134"/>
    <mergeCell ref="A262:O263"/>
    <mergeCell ref="C294:C295"/>
    <mergeCell ref="A121:Z121"/>
    <mergeCell ref="E294:E295"/>
    <mergeCell ref="A249:O250"/>
    <mergeCell ref="P75:V75"/>
    <mergeCell ref="A98:Z98"/>
    <mergeCell ref="P15:T16"/>
    <mergeCell ref="P219:T219"/>
    <mergeCell ref="X294:X295"/>
    <mergeCell ref="D162:E162"/>
    <mergeCell ref="D91:E91"/>
    <mergeCell ref="Z294:Z295"/>
    <mergeCell ref="P272:T272"/>
    <mergeCell ref="D156:E156"/>
    <mergeCell ref="A69:O70"/>
    <mergeCell ref="P185:T185"/>
    <mergeCell ref="D106:E106"/>
    <mergeCell ref="P283:T283"/>
    <mergeCell ref="D93:E93"/>
    <mergeCell ref="P277:T277"/>
    <mergeCell ref="D220:E220"/>
    <mergeCell ref="A251:Z251"/>
    <mergeCell ref="P291:V291"/>
    <mergeCell ref="P288:V288"/>
    <mergeCell ref="P43:T43"/>
    <mergeCell ref="P263:V263"/>
    <mergeCell ref="A259:Z259"/>
    <mergeCell ref="A253:Z253"/>
    <mergeCell ref="P228:V228"/>
    <mergeCell ref="A12:M12"/>
    <mergeCell ref="A180:Z180"/>
    <mergeCell ref="P74:T74"/>
    <mergeCell ref="A19:Z19"/>
    <mergeCell ref="A117:Z117"/>
    <mergeCell ref="A14:M14"/>
    <mergeCell ref="D280:E280"/>
    <mergeCell ref="P163:T163"/>
    <mergeCell ref="D109:E109"/>
    <mergeCell ref="T5:U5"/>
    <mergeCell ref="V5:W5"/>
    <mergeCell ref="P203:T203"/>
    <mergeCell ref="A48:Z48"/>
    <mergeCell ref="D282:E282"/>
    <mergeCell ref="Q8:R8"/>
    <mergeCell ref="P267:T267"/>
    <mergeCell ref="A257:O258"/>
    <mergeCell ref="D248:E248"/>
    <mergeCell ref="D275:E275"/>
    <mergeCell ref="D219:E219"/>
    <mergeCell ref="T6:U9"/>
    <mergeCell ref="A30:O31"/>
    <mergeCell ref="Q10:R10"/>
    <mergeCell ref="D185:E185"/>
    <mergeCell ref="D41:E41"/>
    <mergeCell ref="D277:E277"/>
    <mergeCell ref="A208:Z208"/>
    <mergeCell ref="D43:E43"/>
    <mergeCell ref="A145:Z145"/>
    <mergeCell ref="A139:Z139"/>
    <mergeCell ref="D294:D295"/>
    <mergeCell ref="F294:F295"/>
    <mergeCell ref="P80:V80"/>
    <mergeCell ref="D74:E74"/>
    <mergeCell ref="D130:E130"/>
    <mergeCell ref="D201:E201"/>
    <mergeCell ref="D68:E68"/>
    <mergeCell ref="D188:E188"/>
    <mergeCell ref="P126:V126"/>
    <mergeCell ref="P260:T260"/>
    <mergeCell ref="P227:V227"/>
    <mergeCell ref="D36:E36"/>
    <mergeCell ref="P58:V58"/>
    <mergeCell ref="A13:M13"/>
    <mergeCell ref="D61:E61"/>
    <mergeCell ref="D254:E254"/>
    <mergeCell ref="A15:M15"/>
    <mergeCell ref="P238:T238"/>
    <mergeCell ref="A133:Z133"/>
    <mergeCell ref="P204:T204"/>
    <mergeCell ref="A264:Z264"/>
    <mergeCell ref="A54:O55"/>
    <mergeCell ref="J9:M9"/>
    <mergeCell ref="D283:E283"/>
    <mergeCell ref="P141:T141"/>
    <mergeCell ref="D62:E62"/>
    <mergeCell ref="D193:E193"/>
    <mergeCell ref="D114:E114"/>
    <mergeCell ref="P248:T248"/>
    <mergeCell ref="P86:V86"/>
    <mergeCell ref="P157:V157"/>
    <mergeCell ref="P249:V249"/>
    <mergeCell ref="A131:O132"/>
    <mergeCell ref="P172:V172"/>
    <mergeCell ref="P221:V221"/>
    <mergeCell ref="P215:V215"/>
    <mergeCell ref="A40:Z40"/>
    <mergeCell ref="D203:E203"/>
    <mergeCell ref="P165:V165"/>
    <mergeCell ref="P232:T232"/>
    <mergeCell ref="P152:V152"/>
    <mergeCell ref="P30:V30"/>
    <mergeCell ref="A82:Z82"/>
    <mergeCell ref="D267:E267"/>
    <mergeCell ref="L294:L295"/>
    <mergeCell ref="H17:H18"/>
    <mergeCell ref="P261:T261"/>
    <mergeCell ref="P90:T90"/>
    <mergeCell ref="D204:E204"/>
    <mergeCell ref="A252:Z252"/>
    <mergeCell ref="A157:O158"/>
    <mergeCell ref="A284:O285"/>
    <mergeCell ref="D181:E181"/>
    <mergeCell ref="A221:O222"/>
    <mergeCell ref="P91:T91"/>
    <mergeCell ref="A50:O51"/>
    <mergeCell ref="D273:E273"/>
    <mergeCell ref="P156:T156"/>
    <mergeCell ref="A80:O81"/>
    <mergeCell ref="A160:Z160"/>
    <mergeCell ref="AA17:AA18"/>
    <mergeCell ref="H10:M10"/>
    <mergeCell ref="AC17:AC18"/>
    <mergeCell ref="A122:Z122"/>
    <mergeCell ref="P279:T279"/>
    <mergeCell ref="P108:T108"/>
    <mergeCell ref="A224:Z224"/>
    <mergeCell ref="A72:Z72"/>
    <mergeCell ref="P254:T254"/>
    <mergeCell ref="P147:V147"/>
    <mergeCell ref="A199:Z199"/>
    <mergeCell ref="P256:T256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B17:AB18"/>
    <mergeCell ref="A212:Z212"/>
    <mergeCell ref="H5:M5"/>
    <mergeCell ref="A56:Z56"/>
    <mergeCell ref="A27:Z27"/>
    <mergeCell ref="P31:V31"/>
    <mergeCell ref="P158:V158"/>
    <mergeCell ref="A154:Z154"/>
    <mergeCell ref="P225:T225"/>
    <mergeCell ref="D146:E146"/>
    <mergeCell ref="D6:M6"/>
    <mergeCell ref="A75:O76"/>
    <mergeCell ref="P175:T175"/>
    <mergeCell ref="P162:T162"/>
    <mergeCell ref="A86:O87"/>
    <mergeCell ref="P106:T106"/>
    <mergeCell ref="P226:T226"/>
    <mergeCell ref="P93:T93"/>
    <mergeCell ref="D256:E256"/>
    <mergeCell ref="D85:E85"/>
    <mergeCell ref="P120:V120"/>
    <mergeCell ref="A230:Z230"/>
    <mergeCell ref="K294:K295"/>
    <mergeCell ref="P35:T35"/>
    <mergeCell ref="M294:M295"/>
    <mergeCell ref="G17:G18"/>
    <mergeCell ref="A152:O153"/>
    <mergeCell ref="A167:Z167"/>
    <mergeCell ref="P188:T188"/>
    <mergeCell ref="A207:Z207"/>
    <mergeCell ref="P148:V148"/>
    <mergeCell ref="P130:T130"/>
    <mergeCell ref="D136:E136"/>
    <mergeCell ref="A176:O177"/>
    <mergeCell ref="P240:V240"/>
    <mergeCell ref="P282:T282"/>
    <mergeCell ref="D225:E225"/>
    <mergeCell ref="A294:A295"/>
    <mergeCell ref="P61:T61"/>
    <mergeCell ref="AF294:AF295"/>
    <mergeCell ref="P262:V262"/>
    <mergeCell ref="A9:C9"/>
    <mergeCell ref="D202:E202"/>
    <mergeCell ref="A179:Z179"/>
    <mergeCell ref="P70:V70"/>
    <mergeCell ref="P116:V116"/>
    <mergeCell ref="T294:T295"/>
    <mergeCell ref="P103:V103"/>
    <mergeCell ref="V294:V295"/>
    <mergeCell ref="P268:V268"/>
    <mergeCell ref="A155:Z155"/>
    <mergeCell ref="P97:V97"/>
    <mergeCell ref="P201:T201"/>
    <mergeCell ref="Q13:R13"/>
    <mergeCell ref="A125:O126"/>
    <mergeCell ref="P114:T114"/>
    <mergeCell ref="D84:E84"/>
    <mergeCell ref="P41:T41"/>
    <mergeCell ref="D22:E22"/>
    <mergeCell ref="P34:T34"/>
    <mergeCell ref="A102:O103"/>
    <mergeCell ref="P276:T276"/>
    <mergeCell ref="P214:T214"/>
    <mergeCell ref="D151:E151"/>
    <mergeCell ref="P49:T49"/>
    <mergeCell ref="P284:V284"/>
    <mergeCell ref="P36:T36"/>
    <mergeCell ref="P278:T278"/>
    <mergeCell ref="P107:T107"/>
    <mergeCell ref="P101:T101"/>
    <mergeCell ref="P63:V63"/>
    <mergeCell ref="P250:V250"/>
    <mergeCell ref="P50:V50"/>
    <mergeCell ref="P286:V286"/>
    <mergeCell ref="S294:S295"/>
    <mergeCell ref="M17:M18"/>
    <mergeCell ref="U294:U295"/>
    <mergeCell ref="O17:O18"/>
    <mergeCell ref="P131:V131"/>
    <mergeCell ref="P258:V258"/>
    <mergeCell ref="A104:Z104"/>
    <mergeCell ref="A235:Z235"/>
    <mergeCell ref="A247:Z247"/>
    <mergeCell ref="P189:V189"/>
    <mergeCell ref="P196:T196"/>
    <mergeCell ref="P287:V287"/>
    <mergeCell ref="D226:E226"/>
    <mergeCell ref="P62:T62"/>
    <mergeCell ref="P2:W3"/>
    <mergeCell ref="D35:E35"/>
    <mergeCell ref="A23:O24"/>
    <mergeCell ref="D10:E10"/>
    <mergeCell ref="P135:T135"/>
    <mergeCell ref="F10:G10"/>
    <mergeCell ref="D34:E34"/>
    <mergeCell ref="A115:O116"/>
    <mergeCell ref="P205:V205"/>
    <mergeCell ref="A245:O246"/>
    <mergeCell ref="B294:B295"/>
    <mergeCell ref="AD17:AF18"/>
    <mergeCell ref="P142:V142"/>
    <mergeCell ref="D101:E101"/>
    <mergeCell ref="F5:G5"/>
    <mergeCell ref="P55:V55"/>
    <mergeCell ref="A25:Z25"/>
    <mergeCell ref="P67:T67"/>
    <mergeCell ref="P119:V119"/>
    <mergeCell ref="D175:E175"/>
    <mergeCell ref="P186:T186"/>
    <mergeCell ref="A236:Z236"/>
    <mergeCell ref="A223:Z223"/>
    <mergeCell ref="V11:W11"/>
    <mergeCell ref="P57:T57"/>
    <mergeCell ref="A205:O206"/>
    <mergeCell ref="P146:T146"/>
    <mergeCell ref="W294:W295"/>
    <mergeCell ref="D279:E279"/>
    <mergeCell ref="P181:T181"/>
    <mergeCell ref="D29:E29"/>
    <mergeCell ref="D265:E265"/>
    <mergeCell ref="A20:Z20"/>
    <mergeCell ref="P123:T123"/>
    <mergeCell ref="P110:T110"/>
    <mergeCell ref="D218:E218"/>
    <mergeCell ref="P137:V137"/>
    <mergeCell ref="P197:V197"/>
    <mergeCell ref="A127:Z127"/>
    <mergeCell ref="P289:V289"/>
    <mergeCell ref="P239:V239"/>
    <mergeCell ref="A191:Z191"/>
    <mergeCell ref="D276:E276"/>
    <mergeCell ref="A178:Z178"/>
    <mergeCell ref="D170:E170"/>
    <mergeCell ref="P132:V132"/>
    <mergeCell ref="N17:N18"/>
    <mergeCell ref="A58:O59"/>
    <mergeCell ref="D49:E49"/>
    <mergeCell ref="F17:F18"/>
    <mergeCell ref="Q5:R5"/>
    <mergeCell ref="P290:V290"/>
    <mergeCell ref="D278:E278"/>
    <mergeCell ref="D163:E163"/>
    <mergeCell ref="D107:E107"/>
    <mergeCell ref="P136:T136"/>
    <mergeCell ref="D244:E244"/>
    <mergeCell ref="D171:E171"/>
    <mergeCell ref="Q6:R6"/>
    <mergeCell ref="A189:O190"/>
    <mergeCell ref="P81:V81"/>
    <mergeCell ref="A33:Z33"/>
    <mergeCell ref="D196:E196"/>
    <mergeCell ref="H294:H295"/>
    <mergeCell ref="J294:J295"/>
    <mergeCell ref="P23:V23"/>
    <mergeCell ref="A231:Z231"/>
    <mergeCell ref="P210:V210"/>
    <mergeCell ref="D271:E271"/>
    <mergeCell ref="V12:W12"/>
    <mergeCell ref="A39:Z39"/>
    <mergeCell ref="P285:V285"/>
    <mergeCell ref="A215:O216"/>
    <mergeCell ref="P85:T85"/>
    <mergeCell ref="A142:O143"/>
    <mergeCell ref="D266:E266"/>
    <mergeCell ref="AC294:AC295"/>
    <mergeCell ref="D95:E95"/>
    <mergeCell ref="AE294:AE295"/>
    <mergeCell ref="Y17:Y18"/>
    <mergeCell ref="U17:V17"/>
    <mergeCell ref="D57:E57"/>
    <mergeCell ref="A8:C8"/>
    <mergeCell ref="P124:T124"/>
    <mergeCell ref="P138:V138"/>
    <mergeCell ref="P151:T151"/>
    <mergeCell ref="A137:O138"/>
    <mergeCell ref="P76:V76"/>
    <mergeCell ref="A197:O198"/>
    <mergeCell ref="A128:Z128"/>
    <mergeCell ref="A268:O269"/>
    <mergeCell ref="A10:C10"/>
    <mergeCell ref="A217:Z217"/>
    <mergeCell ref="P218:T218"/>
    <mergeCell ref="P69:V69"/>
    <mergeCell ref="A192:Z192"/>
    <mergeCell ref="A21:Z21"/>
    <mergeCell ref="W293:AB293"/>
    <mergeCell ref="D42:E42"/>
    <mergeCell ref="D17:E18"/>
    <mergeCell ref="P202:T202"/>
    <mergeCell ref="D123:E123"/>
    <mergeCell ref="X17:X18"/>
    <mergeCell ref="A52:Z52"/>
    <mergeCell ref="D110:E110"/>
    <mergeCell ref="D44:E44"/>
    <mergeCell ref="P216:V216"/>
  </mergeCells>
  <conditionalFormatting sqref="A8:N10">
    <cfRule type="expression" priority="2" dxfId="0" stopIfTrue="1">
      <formula>IF($V$5="самовывоз",1,0)</formula>
    </cfRule>
  </conditionalFormatting>
  <conditionalFormatting sqref="P5:R6 P8:R8">
    <cfRule type="expression" priority="1" dxfId="1" stopIfTrue="1">
      <formula>IF($V$5="доставка",1,0)</formula>
    </cfRule>
  </conditionalFormatting>
  <conditionalFormatting sqref="P9:R13">
    <cfRule type="expression" priority="13" dxfId="0" stopIfTrue="1">
      <formula>IF($V$5="самовывоз",1,0)</formula>
    </cfRule>
  </conditionalFormatting>
  <dataValidations xWindow="697" yWindow="616" count="20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CHOOSE($D$7,UnloadAdressList0001,UnloadAdressList0002,UnloadAdressList0003,UnloadAdressList0004)</formula1>
    </dataValidation>
    <dataValidation sqref="X22 X28:X29 X34:X36 X41:X42 X49 X53 X57 X61:X62 X66:X68 X79 X84:X85 X90:X94 X100:X101 X106 X114 X118 X130 X135:X136 X141 X146 X151 X156 X162:X163 X169:X171 X175 X181 X185:X188 X196 X201:X204 X209 X214 X218:X220 X225:X226 X232 X238 X244 X248 X254:X256 X261 X265:X267 X271 X278:X283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IF(AK22&gt;0,OR(X22=0,AND(IF(X22-AK22&gt;=0,TRUE,FALSE),X22&gt;0)),FALSE)</formula1>
    </dataValidation>
    <dataValidation sqref="X43:X44 X73:X74 X95 X107:X110 X123:X124 X129 X193:X195 X260 X273:X274 X276:X277" showDropDown="0" showInputMessage="1" showErrorMessage="1" allowBlank="0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type="custom">
      <formula1>IF(AK43&gt;0,OR(X43=0,AND(IF(X43-AK43&gt;=0,TRUE,FALSE),X43&gt;0,IF(X43/K43=ROUND(X43/K43,0),TRUE,FALSE))),FALSE)</formula1>
    </dataValidation>
    <dataValidation sqref="X272 X275" showDropDown="0" showInputMessage="1" showErrorMessage="1" allowBlank="0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type="custom">
      <formula1>IF(AK272&gt;0,OR(X272=0,AND(IF(X272-AK272&gt;=0,TRUE,FALSE),X272&gt;0,IF(X272/J272=ROUND(X272/J272,0),TRUE,FALSE))),FALSE)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9" t="n"/>
    </row>
    <row r="3">
      <c r="B3" s="51" t="inlineStr">
        <is>
          <t>Доставка</t>
        </is>
      </c>
      <c r="C3" s="51" t="inlineStr"/>
      <c r="D3" s="51" t="inlineStr"/>
      <c r="E3" s="51" t="inlineStr"/>
    </row>
    <row r="4">
      <c r="B4" s="51" t="inlineStr">
        <is>
          <t>Самовывоз</t>
        </is>
      </c>
      <c r="C4" s="51" t="inlineStr"/>
      <c r="D4" s="51" t="inlineStr"/>
      <c r="E4" s="51" t="inlineStr"/>
    </row>
    <row r="6">
      <c r="B6" s="51" t="inlineStr">
        <is>
          <t>ГОРНЯК, ТД, ООО, Донецкая Народная Респ, Адыгейская ул, д. 13,</t>
        </is>
      </c>
      <c r="C6" s="51" t="inlineStr">
        <is>
          <t>596516_2</t>
        </is>
      </c>
      <c r="D6" s="51" t="inlineStr">
        <is>
          <t>1</t>
        </is>
      </c>
      <c r="E6" s="51" t="inlineStr"/>
    </row>
    <row r="7">
      <c r="B7" s="51" t="inlineStr">
        <is>
          <t>ГОРНЯК, ТД, ООО, Луганская Народная Респ, Возрождения ул, д. 2А,</t>
        </is>
      </c>
      <c r="C7" s="51" t="inlineStr">
        <is>
          <t>596516_1</t>
        </is>
      </c>
      <c r="D7" s="51" t="inlineStr">
        <is>
          <t>2</t>
        </is>
      </c>
      <c r="E7" s="51" t="inlineStr"/>
    </row>
    <row r="8">
      <c r="B8" s="51" t="inlineStr">
        <is>
          <t>ГОРНЯК, ТД, ООО, Донецкая Народная Респ, Адыгейская ул, д. 14В,</t>
        </is>
      </c>
      <c r="C8" s="51" t="inlineStr">
        <is>
          <t>596516_3</t>
        </is>
      </c>
      <c r="D8" s="51" t="inlineStr">
        <is>
          <t>3</t>
        </is>
      </c>
      <c r="E8" s="51" t="inlineStr"/>
    </row>
    <row r="9">
      <c r="B9" s="51" t="inlineStr">
        <is>
          <t>ГОРНЯК, ТД, ООО, Донецкая Народная Респ, Горловка г, Углегорское шоссе ул, д. 309А,</t>
        </is>
      </c>
      <c r="C9" s="51" t="inlineStr">
        <is>
          <t>596516_4</t>
        </is>
      </c>
      <c r="D9" s="51" t="inlineStr">
        <is>
          <t>4</t>
        </is>
      </c>
      <c r="E9" s="51" t="inlineStr"/>
    </row>
    <row r="11">
      <c r="B11" s="51" t="inlineStr">
        <is>
          <t>283112Российская Федерация, Донецкая Народная Респ, Донецк г, Адыгейская ул, д. 13,</t>
        </is>
      </c>
      <c r="C11" s="51" t="inlineStr">
        <is>
          <t>596516_2</t>
        </is>
      </c>
      <c r="D11" s="51" t="inlineStr"/>
      <c r="E11" s="51" t="inlineStr"/>
    </row>
    <row r="13">
      <c r="B13" s="51" t="inlineStr">
        <is>
          <t>291042Российская Федерация, Луганская Народная Респ, Луганск г, Возрождения ул, д. 2А,</t>
        </is>
      </c>
      <c r="C13" s="51" t="inlineStr">
        <is>
          <t>596516_1</t>
        </is>
      </c>
      <c r="D13" s="51" t="inlineStr"/>
      <c r="E13" s="51" t="inlineStr"/>
    </row>
    <row r="15">
      <c r="B15" s="51" t="inlineStr">
        <is>
          <t>283112Российская Федерация, Донецкая Народная Респ, Донецк г, Адыгейская ул, д. 14В,</t>
        </is>
      </c>
      <c r="C15" s="51" t="inlineStr">
        <is>
          <t>596516_3</t>
        </is>
      </c>
      <c r="D15" s="51" t="inlineStr"/>
      <c r="E15" s="51" t="inlineStr"/>
    </row>
    <row r="17">
      <c r="B17" s="51" t="inlineStr">
        <is>
          <t>284611Российская Федерация, Донецкая Народная Респ, Горловка г, Углегорское шоссе ул, д. 309А,</t>
        </is>
      </c>
      <c r="C17" s="51" t="inlineStr">
        <is>
          <t>596516_4</t>
        </is>
      </c>
      <c r="D17" s="51" t="inlineStr"/>
      <c r="E17" s="51" t="inlineStr"/>
    </row>
    <row r="19">
      <c r="B19" s="51" t="inlineStr">
        <is>
          <t>CFR</t>
        </is>
      </c>
      <c r="C19" s="51" t="inlineStr"/>
      <c r="D19" s="51" t="inlineStr"/>
      <c r="E19" s="51" t="inlineStr"/>
    </row>
    <row r="20">
      <c r="B20" s="51" t="inlineStr">
        <is>
          <t>CIF</t>
        </is>
      </c>
      <c r="C20" s="51" t="inlineStr"/>
      <c r="D20" s="51" t="inlineStr"/>
      <c r="E20" s="51" t="inlineStr"/>
    </row>
    <row r="21">
      <c r="B21" s="51" t="inlineStr">
        <is>
          <t>CIP</t>
        </is>
      </c>
      <c r="C21" s="51" t="inlineStr"/>
      <c r="D21" s="51" t="inlineStr"/>
      <c r="E21" s="51" t="inlineStr"/>
    </row>
    <row r="22">
      <c r="B22" s="51" t="inlineStr">
        <is>
          <t>CPT</t>
        </is>
      </c>
      <c r="C22" s="51" t="inlineStr"/>
      <c r="D22" s="51" t="inlineStr"/>
      <c r="E22" s="51" t="inlineStr"/>
    </row>
    <row r="23">
      <c r="B23" s="51" t="inlineStr">
        <is>
          <t>DAP</t>
        </is>
      </c>
      <c r="C23" s="51" t="inlineStr"/>
      <c r="D23" s="51" t="inlineStr"/>
      <c r="E23" s="51" t="inlineStr"/>
    </row>
    <row r="24">
      <c r="B24" s="51" t="inlineStr">
        <is>
          <t>DAT</t>
        </is>
      </c>
      <c r="C24" s="51" t="inlineStr"/>
      <c r="D24" s="51" t="inlineStr"/>
      <c r="E24" s="51" t="inlineStr"/>
    </row>
    <row r="25">
      <c r="B25" s="51" t="inlineStr">
        <is>
          <t>DDP</t>
        </is>
      </c>
      <c r="C25" s="51" t="inlineStr"/>
      <c r="D25" s="51" t="inlineStr"/>
      <c r="E25" s="51" t="inlineStr"/>
    </row>
    <row r="26">
      <c r="B26" s="51" t="inlineStr">
        <is>
          <t>EXW</t>
        </is>
      </c>
      <c r="C26" s="51" t="inlineStr"/>
      <c r="D26" s="51" t="inlineStr"/>
      <c r="E26" s="51" t="inlineStr"/>
    </row>
    <row r="27">
      <c r="B27" s="51" t="inlineStr">
        <is>
          <t>FAS</t>
        </is>
      </c>
      <c r="C27" s="51" t="inlineStr"/>
      <c r="D27" s="51" t="inlineStr"/>
      <c r="E27" s="51" t="inlineStr"/>
    </row>
    <row r="28">
      <c r="B28" s="51" t="inlineStr">
        <is>
          <t>FCA</t>
        </is>
      </c>
      <c r="C28" s="51" t="inlineStr"/>
      <c r="D28" s="51" t="inlineStr"/>
      <c r="E28" s="51" t="inlineStr"/>
    </row>
    <row r="29">
      <c r="B29" s="51" t="inlineStr">
        <is>
          <t>FOB</t>
        </is>
      </c>
      <c r="C29" s="51" t="inlineStr"/>
      <c r="D29" s="51" t="inlineStr"/>
      <c r="E29" s="51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EiAun/MTbfsoXlQdhAHsoQ==" formatRows="1" sort="0" spinCount="100000" hashValue="KMuW+lRIQs8w7lZAGCVEe7upT55NSk2zziUujfn1vydPz+V9iwDtcpp3/aWCx/vGARDczSWX0nlqBOq3WVYFT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2025-09-05T07:53:44Z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