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Ташкент\"/>
    </mc:Choice>
  </mc:AlternateContent>
  <xr:revisionPtr revIDLastSave="0" documentId="13_ncr:1_{24BFA9C6-5AD2-4E8D-A5CD-174EA9733B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Sheet!$A$3:$AH$90</definedName>
  </definedNames>
  <calcPr calcId="191029" refMode="R1C1"/>
</workbook>
</file>

<file path=xl/calcChain.xml><?xml version="1.0" encoding="utf-8"?>
<calcChain xmlns="http://schemas.openxmlformats.org/spreadsheetml/2006/main">
  <c r="Q55" i="1" l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1" i="1"/>
  <c r="Q9" i="1"/>
  <c r="Q8" i="1"/>
  <c r="Q7" i="1"/>
  <c r="AH10" i="1"/>
  <c r="AH56" i="1"/>
  <c r="Q56" i="1" s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Q5" i="1" l="1"/>
  <c r="AH5" i="1"/>
  <c r="F57" i="1"/>
  <c r="E57" i="1"/>
  <c r="O57" i="1" s="1"/>
  <c r="F56" i="1"/>
  <c r="E56" i="1"/>
  <c r="O56" i="1" s="1"/>
  <c r="F55" i="1"/>
  <c r="E55" i="1"/>
  <c r="K55" i="1" s="1"/>
  <c r="F53" i="1"/>
  <c r="E53" i="1"/>
  <c r="O53" i="1" s="1"/>
  <c r="F52" i="1"/>
  <c r="E52" i="1"/>
  <c r="O52" i="1" s="1"/>
  <c r="F50" i="1"/>
  <c r="F46" i="1" s="1"/>
  <c r="E50" i="1"/>
  <c r="O50" i="1" s="1"/>
  <c r="F49" i="1"/>
  <c r="E49" i="1"/>
  <c r="O49" i="1" s="1"/>
  <c r="F48" i="1"/>
  <c r="E48" i="1"/>
  <c r="O48" i="1" s="1"/>
  <c r="AG48" i="1" s="1"/>
  <c r="F47" i="1"/>
  <c r="F45" i="1"/>
  <c r="E45" i="1"/>
  <c r="O45" i="1" s="1"/>
  <c r="F42" i="1"/>
  <c r="E42" i="1"/>
  <c r="O42" i="1" s="1"/>
  <c r="F41" i="1"/>
  <c r="E41" i="1"/>
  <c r="O41" i="1" s="1"/>
  <c r="F40" i="1"/>
  <c r="E40" i="1"/>
  <c r="K40" i="1" s="1"/>
  <c r="F39" i="1"/>
  <c r="F37" i="1"/>
  <c r="E37" i="1"/>
  <c r="O37" i="1" s="1"/>
  <c r="F32" i="1"/>
  <c r="E32" i="1"/>
  <c r="O32" i="1" s="1"/>
  <c r="F29" i="1"/>
  <c r="E29" i="1"/>
  <c r="O29" i="1" s="1"/>
  <c r="F26" i="1"/>
  <c r="E26" i="1"/>
  <c r="K26" i="1" s="1"/>
  <c r="F24" i="1"/>
  <c r="E24" i="1"/>
  <c r="O24" i="1" s="1"/>
  <c r="F23" i="1"/>
  <c r="E23" i="1"/>
  <c r="K23" i="1" s="1"/>
  <c r="F19" i="1"/>
  <c r="E19" i="1"/>
  <c r="O19" i="1" s="1"/>
  <c r="F18" i="1"/>
  <c r="E18" i="1"/>
  <c r="K18" i="1" s="1"/>
  <c r="F16" i="1"/>
  <c r="E16" i="1"/>
  <c r="O16" i="1" s="1"/>
  <c r="F15" i="1"/>
  <c r="E15" i="1"/>
  <c r="O15" i="1" s="1"/>
  <c r="F8" i="1"/>
  <c r="E8" i="1"/>
  <c r="O8" i="1" s="1"/>
  <c r="F7" i="1"/>
  <c r="E7" i="1"/>
  <c r="O7" i="1" s="1"/>
  <c r="O9" i="1"/>
  <c r="O10" i="1"/>
  <c r="O11" i="1"/>
  <c r="P11" i="1" s="1"/>
  <c r="O12" i="1"/>
  <c r="O13" i="1"/>
  <c r="U13" i="1" s="1"/>
  <c r="O14" i="1"/>
  <c r="P14" i="1" s="1"/>
  <c r="AG14" i="1" s="1"/>
  <c r="O17" i="1"/>
  <c r="P17" i="1" s="1"/>
  <c r="O20" i="1"/>
  <c r="P20" i="1" s="1"/>
  <c r="AG20" i="1" s="1"/>
  <c r="O21" i="1"/>
  <c r="O22" i="1"/>
  <c r="P22" i="1" s="1"/>
  <c r="AG22" i="1" s="1"/>
  <c r="O25" i="1"/>
  <c r="O27" i="1"/>
  <c r="O28" i="1"/>
  <c r="O30" i="1"/>
  <c r="O31" i="1"/>
  <c r="P31" i="1" s="1"/>
  <c r="O33" i="1"/>
  <c r="O34" i="1"/>
  <c r="O35" i="1"/>
  <c r="P35" i="1" s="1"/>
  <c r="O36" i="1"/>
  <c r="P36" i="1" s="1"/>
  <c r="O38" i="1"/>
  <c r="O39" i="1"/>
  <c r="O43" i="1"/>
  <c r="O44" i="1"/>
  <c r="O47" i="1"/>
  <c r="O58" i="1"/>
  <c r="U58" i="1" s="1"/>
  <c r="O59" i="1"/>
  <c r="O60" i="1"/>
  <c r="U60" i="1" s="1"/>
  <c r="O61" i="1"/>
  <c r="O62" i="1"/>
  <c r="U62" i="1" s="1"/>
  <c r="O63" i="1"/>
  <c r="O64" i="1"/>
  <c r="U64" i="1" s="1"/>
  <c r="O65" i="1"/>
  <c r="O66" i="1"/>
  <c r="U66" i="1" s="1"/>
  <c r="O67" i="1"/>
  <c r="O68" i="1"/>
  <c r="U68" i="1" s="1"/>
  <c r="O69" i="1"/>
  <c r="O70" i="1"/>
  <c r="U70" i="1" s="1"/>
  <c r="O71" i="1"/>
  <c r="O72" i="1"/>
  <c r="U72" i="1" s="1"/>
  <c r="O73" i="1"/>
  <c r="O74" i="1"/>
  <c r="U74" i="1" s="1"/>
  <c r="O75" i="1"/>
  <c r="O76" i="1"/>
  <c r="U76" i="1" s="1"/>
  <c r="O77" i="1"/>
  <c r="O78" i="1"/>
  <c r="U78" i="1" s="1"/>
  <c r="O79" i="1"/>
  <c r="O80" i="1"/>
  <c r="U80" i="1" s="1"/>
  <c r="O81" i="1"/>
  <c r="O82" i="1"/>
  <c r="U82" i="1" s="1"/>
  <c r="O83" i="1"/>
  <c r="O84" i="1"/>
  <c r="U84" i="1" s="1"/>
  <c r="O51" i="1"/>
  <c r="O54" i="1"/>
  <c r="O85" i="1"/>
  <c r="U85" i="1" s="1"/>
  <c r="O86" i="1"/>
  <c r="O87" i="1"/>
  <c r="U87" i="1" s="1"/>
  <c r="O88" i="1"/>
  <c r="O89" i="1"/>
  <c r="U89" i="1" s="1"/>
  <c r="O90" i="1"/>
  <c r="O6" i="1"/>
  <c r="U6" i="1" s="1"/>
  <c r="K90" i="1"/>
  <c r="K89" i="1"/>
  <c r="K88" i="1"/>
  <c r="K87" i="1"/>
  <c r="K86" i="1"/>
  <c r="K85" i="1"/>
  <c r="AG57" i="1"/>
  <c r="K54" i="1"/>
  <c r="K51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44" i="1"/>
  <c r="K43" i="1"/>
  <c r="K39" i="1"/>
  <c r="AG38" i="1"/>
  <c r="K38" i="1"/>
  <c r="AG36" i="1"/>
  <c r="K36" i="1"/>
  <c r="K35" i="1"/>
  <c r="K34" i="1"/>
  <c r="K33" i="1"/>
  <c r="K31" i="1"/>
  <c r="AG30" i="1"/>
  <c r="K30" i="1"/>
  <c r="AG28" i="1"/>
  <c r="K28" i="1"/>
  <c r="K27" i="1"/>
  <c r="K25" i="1"/>
  <c r="K22" i="1"/>
  <c r="K21" i="1"/>
  <c r="K20" i="1"/>
  <c r="K17" i="1"/>
  <c r="K14" i="1"/>
  <c r="K13" i="1"/>
  <c r="K12" i="1"/>
  <c r="K11" i="1"/>
  <c r="K10" i="1"/>
  <c r="K9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46" i="1" l="1"/>
  <c r="K46" i="1" s="1"/>
  <c r="O26" i="1"/>
  <c r="O40" i="1"/>
  <c r="O23" i="1"/>
  <c r="P23" i="1" s="1"/>
  <c r="AG23" i="1" s="1"/>
  <c r="O55" i="1"/>
  <c r="O18" i="1"/>
  <c r="P7" i="1"/>
  <c r="AG7" i="1" s="1"/>
  <c r="P16" i="1"/>
  <c r="AG16" i="1" s="1"/>
  <c r="P24" i="1"/>
  <c r="AG24" i="1" s="1"/>
  <c r="P37" i="1"/>
  <c r="AG37" i="1" s="1"/>
  <c r="P49" i="1"/>
  <c r="AG49" i="1" s="1"/>
  <c r="P51" i="1"/>
  <c r="AG51" i="1" s="1"/>
  <c r="P44" i="1"/>
  <c r="AG44" i="1" s="1"/>
  <c r="P45" i="1"/>
  <c r="AG45" i="1" s="1"/>
  <c r="P34" i="1"/>
  <c r="AG34" i="1" s="1"/>
  <c r="P18" i="1"/>
  <c r="AG18" i="1" s="1"/>
  <c r="P19" i="1"/>
  <c r="AG19" i="1" s="1"/>
  <c r="P29" i="1"/>
  <c r="T29" i="1" s="1"/>
  <c r="P32" i="1"/>
  <c r="T32" i="1" s="1"/>
  <c r="P55" i="1"/>
  <c r="AG55" i="1" s="1"/>
  <c r="P47" i="1"/>
  <c r="AG47" i="1" s="1"/>
  <c r="P26" i="1"/>
  <c r="AG26" i="1" s="1"/>
  <c r="P8" i="1"/>
  <c r="AG8" i="1" s="1"/>
  <c r="P15" i="1"/>
  <c r="AG15" i="1" s="1"/>
  <c r="P53" i="1"/>
  <c r="AG53" i="1" s="1"/>
  <c r="P56" i="1"/>
  <c r="AG56" i="1" s="1"/>
  <c r="U43" i="1"/>
  <c r="P43" i="1"/>
  <c r="AG43" i="1" s="1"/>
  <c r="U39" i="1"/>
  <c r="P39" i="1"/>
  <c r="AG39" i="1" s="1"/>
  <c r="U31" i="1"/>
  <c r="AG31" i="1"/>
  <c r="U21" i="1"/>
  <c r="AG21" i="1"/>
  <c r="U52" i="1"/>
  <c r="P52" i="1"/>
  <c r="AG52" i="1" s="1"/>
  <c r="U54" i="1"/>
  <c r="P54" i="1"/>
  <c r="AG54" i="1" s="1"/>
  <c r="P40" i="1"/>
  <c r="AG40" i="1" s="1"/>
  <c r="U35" i="1"/>
  <c r="AG35" i="1"/>
  <c r="U33" i="1"/>
  <c r="P33" i="1"/>
  <c r="AG33" i="1" s="1"/>
  <c r="U27" i="1"/>
  <c r="AG27" i="1"/>
  <c r="U25" i="1"/>
  <c r="P25" i="1"/>
  <c r="AG25" i="1" s="1"/>
  <c r="U17" i="1"/>
  <c r="AG17" i="1"/>
  <c r="U11" i="1"/>
  <c r="AG11" i="1"/>
  <c r="U9" i="1"/>
  <c r="P41" i="1"/>
  <c r="AG41" i="1" s="1"/>
  <c r="P42" i="1"/>
  <c r="AG42" i="1" s="1"/>
  <c r="K57" i="1"/>
  <c r="U56" i="1"/>
  <c r="K56" i="1"/>
  <c r="K53" i="1"/>
  <c r="K52" i="1"/>
  <c r="K50" i="1"/>
  <c r="U49" i="1"/>
  <c r="K49" i="1"/>
  <c r="K48" i="1"/>
  <c r="U47" i="1"/>
  <c r="U45" i="1"/>
  <c r="K45" i="1"/>
  <c r="K42" i="1"/>
  <c r="U41" i="1"/>
  <c r="K41" i="1"/>
  <c r="U37" i="1"/>
  <c r="K37" i="1"/>
  <c r="K32" i="1"/>
  <c r="F5" i="1"/>
  <c r="U29" i="1"/>
  <c r="K29" i="1"/>
  <c r="K24" i="1"/>
  <c r="U23" i="1"/>
  <c r="U19" i="1"/>
  <c r="K19" i="1"/>
  <c r="K16" i="1"/>
  <c r="K15" i="1"/>
  <c r="O46" i="1"/>
  <c r="P46" i="1" s="1"/>
  <c r="U15" i="1"/>
  <c r="K8" i="1"/>
  <c r="U7" i="1"/>
  <c r="K7" i="1"/>
  <c r="E5" i="1"/>
  <c r="T6" i="1"/>
  <c r="T87" i="1"/>
  <c r="T82" i="1"/>
  <c r="T78" i="1"/>
  <c r="T74" i="1"/>
  <c r="T70" i="1"/>
  <c r="T66" i="1"/>
  <c r="T62" i="1"/>
  <c r="T58" i="1"/>
  <c r="T35" i="1"/>
  <c r="T27" i="1"/>
  <c r="U90" i="1"/>
  <c r="T90" i="1"/>
  <c r="U88" i="1"/>
  <c r="T88" i="1"/>
  <c r="U86" i="1"/>
  <c r="T86" i="1"/>
  <c r="U57" i="1"/>
  <c r="T57" i="1"/>
  <c r="U55" i="1"/>
  <c r="U53" i="1"/>
  <c r="U51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0" i="1"/>
  <c r="T50" i="1"/>
  <c r="U48" i="1"/>
  <c r="T48" i="1"/>
  <c r="U44" i="1"/>
  <c r="U42" i="1"/>
  <c r="U40" i="1"/>
  <c r="U38" i="1"/>
  <c r="T38" i="1"/>
  <c r="U36" i="1"/>
  <c r="T36" i="1"/>
  <c r="U34" i="1"/>
  <c r="U32" i="1"/>
  <c r="U30" i="1"/>
  <c r="T30" i="1"/>
  <c r="U28" i="1"/>
  <c r="T28" i="1"/>
  <c r="U26" i="1"/>
  <c r="U24" i="1"/>
  <c r="T24" i="1"/>
  <c r="U22" i="1"/>
  <c r="T22" i="1"/>
  <c r="U20" i="1"/>
  <c r="T20" i="1"/>
  <c r="U18" i="1"/>
  <c r="U16" i="1"/>
  <c r="U14" i="1"/>
  <c r="T14" i="1"/>
  <c r="U12" i="1"/>
  <c r="T12" i="1"/>
  <c r="U10" i="1"/>
  <c r="T10" i="1"/>
  <c r="U8" i="1"/>
  <c r="T89" i="1"/>
  <c r="T85" i="1"/>
  <c r="T84" i="1"/>
  <c r="T80" i="1"/>
  <c r="T76" i="1"/>
  <c r="T72" i="1"/>
  <c r="T68" i="1"/>
  <c r="T64" i="1"/>
  <c r="T60" i="1"/>
  <c r="T13" i="1"/>
  <c r="T9" i="1"/>
  <c r="T51" i="1" l="1"/>
  <c r="T34" i="1"/>
  <c r="T49" i="1"/>
  <c r="T44" i="1"/>
  <c r="T54" i="1"/>
  <c r="T16" i="1"/>
  <c r="T55" i="1"/>
  <c r="T43" i="1"/>
  <c r="AG32" i="1"/>
  <c r="T26" i="1"/>
  <c r="T8" i="1"/>
  <c r="T23" i="1"/>
  <c r="T47" i="1"/>
  <c r="T56" i="1"/>
  <c r="AG29" i="1"/>
  <c r="T18" i="1"/>
  <c r="T53" i="1"/>
  <c r="T15" i="1"/>
  <c r="T37" i="1"/>
  <c r="T7" i="1"/>
  <c r="T19" i="1"/>
  <c r="T25" i="1"/>
  <c r="T33" i="1"/>
  <c r="T41" i="1"/>
  <c r="T42" i="1"/>
  <c r="T17" i="1"/>
  <c r="T40" i="1"/>
  <c r="T11" i="1"/>
  <c r="U46" i="1"/>
  <c r="AG46" i="1"/>
  <c r="T21" i="1"/>
  <c r="T45" i="1"/>
  <c r="T31" i="1"/>
  <c r="T39" i="1"/>
  <c r="T52" i="1"/>
  <c r="AG9" i="1"/>
  <c r="K5" i="1"/>
  <c r="O5" i="1"/>
  <c r="AG5" i="1" l="1"/>
  <c r="T46" i="1"/>
  <c r="P5" i="1"/>
</calcChain>
</file>

<file path=xl/sharedStrings.xml><?xml version="1.0" encoding="utf-8"?>
<sst xmlns="http://schemas.openxmlformats.org/spreadsheetml/2006/main" count="280" uniqueCount="144">
  <si>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</si>
  <si>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</si>
  <si>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</si>
  <si>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</si>
  <si>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</si>
  <si>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</si>
  <si>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</si>
  <si>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</si>
  <si>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</si>
  <si>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</si>
  <si>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</si>
  <si>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</si>
  <si>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</si>
  <si>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</si>
  <si>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</si>
  <si>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</si>
  <si>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</si>
  <si>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</si>
  <si>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</si>
  <si>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</si>
  <si>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</si>
  <si>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</si>
  <si>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</si>
  <si>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</si>
  <si>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</si>
  <si>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</si>
  <si>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</si>
  <si>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</si>
  <si>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</si>
  <si>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</si>
  <si>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</si>
  <si>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</si>
  <si>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</si>
  <si>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</si>
  <si>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25,02,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</si>
  <si>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</si>
  <si>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</si>
  <si>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</si>
  <si>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</si>
  <si>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</si>
  <si>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</si>
  <si>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</si>
  <si>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</si>
  <si>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</si>
  <si>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</si>
  <si>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</si>
  <si>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нужно увеличить продажи / нет в бланке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</si>
  <si>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</si>
  <si>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</si>
  <si>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</si>
  <si>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добавили ТК (нет на заводе)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</si>
  <si>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</si>
  <si>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</si>
  <si>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</si>
  <si>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</si>
  <si>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</si>
  <si>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</si>
  <si>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</si>
  <si>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</si>
  <si>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</si>
  <si>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</si>
  <si>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</si>
  <si>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</si>
  <si>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</si>
  <si>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</si>
  <si>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</si>
  <si>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</si>
  <si>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</si>
  <si>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</si>
  <si>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</si>
  <si>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</si>
  <si>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</si>
  <si>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</si>
  <si>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</si>
  <si>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</si>
  <si>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</si>
  <si>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</si>
  <si>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</si>
  <si>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</si>
  <si>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</si>
  <si>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</si>
  <si>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</si>
  <si>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</si>
  <si>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</si>
  <si>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</si>
  <si>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</si>
  <si>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</si>
  <si>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</si>
  <si>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</si>
  <si>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</si>
  <si>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</si>
  <si>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</si>
  <si>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</si>
  <si>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</si>
  <si>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</si>
  <si>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</si>
  <si>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</si>
  <si>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</si>
  <si>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</si>
  <si>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</si>
  <si>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</si>
  <si>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</si>
  <si>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</si>
  <si>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</si>
  <si>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</si>
  <si>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</si>
  <si>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</si>
  <si>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</si>
  <si>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</si>
  <si>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</si>
  <si>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</si>
  <si>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</si>
  <si>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</si>
  <si>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</si>
  <si>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</si>
  <si>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</si>
  <si>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</si>
  <si>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</si>
  <si>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</si>
  <si>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</si>
  <si>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</si>
  <si>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</si>
  <si>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</si>
  <si>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</si>
  <si>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</si>
  <si>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</si>
  <si>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</si>
  <si>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</si>
  <si>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СК4???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</si>
  <si>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</si>
  <si>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</si>
  <si>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</si>
  <si>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У_1201 В/к колбасы Сервелат Мясорубский с мелкорубленным окороком Бордо Весовой фиброуз Стародворье  П</t>
  </si>
  <si>
    <t>уценка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</si>
  <si>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</si>
  <si>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</si>
  <si>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</si>
  <si>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</si>
  <si>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</si>
  <si>
    <t>тк</t>
  </si>
  <si>
    <t>тф</t>
  </si>
  <si>
    <t>заказ</t>
  </si>
  <si>
    <t>14,05,</t>
  </si>
  <si>
    <t>нет в бланке / есть 0,84 - заказывать?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</si>
</sst>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6" fillId="0" borderId="2" xfId="1" applyNumberFormat="1" applyFont="1" applyBorder="1"/>
    <xf numFmtId="164" fontId="7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&#1076;&#1074;%2008,05,25%20&#1090;&#1096;&#1088;&#1089;&#1095;%20&#1087;&#1086;&#1082;%20&#1082;&#1080;&#1053;&#1057;.xlsx" TargetMode="External"/><Relationship Id="rId1" Type="http://schemas.openxmlformats.org/officeDocument/2006/relationships/externalLinkPath" Target="file:///C:\Users\ASUS\Desktop\&#1076;&#1074;%2008,05,25%20&#1090;&#1096;&#1088;&#1089;&#1095;%20&#1087;&#1086;&#1082;%20&#1082;&#1080;&#1053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комментарии</v>
          </cell>
          <cell r="AF3" t="str">
            <v>вес</v>
          </cell>
        </row>
        <row r="4">
          <cell r="N4" t="str">
            <v>05,05,</v>
          </cell>
          <cell r="O4" t="str">
            <v>08,05,</v>
          </cell>
          <cell r="U4" t="str">
            <v>01,05,</v>
          </cell>
          <cell r="V4" t="str">
            <v>24,04,</v>
          </cell>
          <cell r="W4" t="str">
            <v>17,04,</v>
          </cell>
          <cell r="X4" t="str">
            <v>10,04,</v>
          </cell>
          <cell r="Y4" t="str">
            <v>03,04,</v>
          </cell>
          <cell r="Z4" t="str">
            <v>27,03,</v>
          </cell>
          <cell r="AA4" t="str">
            <v>20,03,</v>
          </cell>
          <cell r="AB4" t="str">
            <v>13,03,</v>
          </cell>
          <cell r="AC4" t="str">
            <v>06,03,</v>
          </cell>
          <cell r="AD4" t="str">
            <v>25,02,</v>
          </cell>
        </row>
        <row r="5">
          <cell r="E5">
            <v>16108.565000000002</v>
          </cell>
          <cell r="F5">
            <v>12029.516000000001</v>
          </cell>
          <cell r="J5">
            <v>0</v>
          </cell>
          <cell r="K5">
            <v>16108.565000000002</v>
          </cell>
          <cell r="L5">
            <v>0</v>
          </cell>
          <cell r="M5">
            <v>0</v>
          </cell>
          <cell r="N5">
            <v>15167.600373482726</v>
          </cell>
          <cell r="O5">
            <v>3221.7130000000002</v>
          </cell>
          <cell r="P5">
            <v>19826.9386735761</v>
          </cell>
          <cell r="Q5">
            <v>0</v>
          </cell>
          <cell r="U5">
            <v>2311.1686000000004</v>
          </cell>
          <cell r="V5">
            <v>2820.0306000000005</v>
          </cell>
          <cell r="W5">
            <v>2252.3929999999991</v>
          </cell>
          <cell r="X5">
            <v>2258.7799999999988</v>
          </cell>
          <cell r="Y5">
            <v>1714.4851999999998</v>
          </cell>
          <cell r="Z5">
            <v>2033.7623999999994</v>
          </cell>
          <cell r="AA5">
            <v>1622.0308</v>
          </cell>
          <cell r="AB5">
            <v>1554.9957999999997</v>
          </cell>
          <cell r="AC5">
            <v>2245.9814000000006</v>
          </cell>
          <cell r="AD5">
            <v>2194.6596</v>
          </cell>
          <cell r="AF5">
            <v>15140.337399999995</v>
          </cell>
          <cell r="AG5" t="str">
            <v>Заказ от Св</v>
          </cell>
        </row>
        <row r="6">
          <cell r="A6" t="str">
            <v xml:space="preserve"> 1192 Колбаса Вязанка со шпикам Вязанка 0,5кг</v>
          </cell>
          <cell r="B6" t="str">
            <v>шт</v>
          </cell>
          <cell r="G6">
            <v>0</v>
          </cell>
          <cell r="H6" t="e">
            <v>#N/A</v>
          </cell>
          <cell r="I6" t="str">
            <v>нет в бланке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-0.4</v>
          </cell>
          <cell r="Z6">
            <v>-0.2</v>
          </cell>
          <cell r="AA6">
            <v>-0.2</v>
          </cell>
          <cell r="AB6">
            <v>0</v>
          </cell>
          <cell r="AC6">
            <v>-0.6</v>
          </cell>
          <cell r="AD6">
            <v>-5.2</v>
          </cell>
          <cell r="AE6" t="str">
            <v>квант / нет в бланке</v>
          </cell>
          <cell r="AG6">
            <v>8500</v>
          </cell>
        </row>
        <row r="7">
          <cell r="A7" t="str">
            <v>0178 Ветчины Нежная Особая Особая Весовые П/а Особый рецепт большой батон  ПОКОМ</v>
          </cell>
          <cell r="B7" t="str">
            <v>кг</v>
          </cell>
          <cell r="C7">
            <v>660.75800000000004</v>
          </cell>
          <cell r="D7">
            <v>512.09500000000003</v>
          </cell>
          <cell r="E7">
            <v>428.745</v>
          </cell>
          <cell r="F7">
            <v>723.58400000000006</v>
          </cell>
          <cell r="G7">
            <v>1</v>
          </cell>
          <cell r="H7">
            <v>50</v>
          </cell>
          <cell r="K7">
            <v>428.745</v>
          </cell>
          <cell r="N7">
            <v>0</v>
          </cell>
          <cell r="O7">
            <v>85.748999999999995</v>
          </cell>
          <cell r="P7">
            <v>648.39999999999986</v>
          </cell>
          <cell r="S7">
            <v>16</v>
          </cell>
          <cell r="T7">
            <v>8.4383957830412033</v>
          </cell>
          <cell r="U7">
            <v>44.305600000000013</v>
          </cell>
          <cell r="V7">
            <v>80.176000000000002</v>
          </cell>
          <cell r="W7">
            <v>39.485199999999999</v>
          </cell>
          <cell r="X7">
            <v>56.013199999999998</v>
          </cell>
          <cell r="Y7">
            <v>45.081599999999987</v>
          </cell>
          <cell r="Z7">
            <v>52.767600000000002</v>
          </cell>
          <cell r="AA7">
            <v>47.139800000000001</v>
          </cell>
          <cell r="AB7">
            <v>37.405200000000001</v>
          </cell>
          <cell r="AC7">
            <v>64.895200000000003</v>
          </cell>
          <cell r="AD7">
            <v>79.818799999999996</v>
          </cell>
          <cell r="AE7" t="str">
            <v>мин 200</v>
          </cell>
          <cell r="AF7">
            <v>648.39999999999986</v>
          </cell>
          <cell r="AG7">
            <v>200</v>
          </cell>
        </row>
        <row r="8">
          <cell r="A8" t="str">
            <v>0222-Ветчины Дугушка Дугушка б/о Стародворье, 1кг</v>
          </cell>
          <cell r="B8" t="str">
            <v>кг</v>
          </cell>
          <cell r="C8">
            <v>677.31799999999998</v>
          </cell>
          <cell r="D8">
            <v>404.363</v>
          </cell>
          <cell r="E8">
            <v>300.60499999999996</v>
          </cell>
          <cell r="F8">
            <v>774.93299999999999</v>
          </cell>
          <cell r="G8">
            <v>1</v>
          </cell>
          <cell r="H8">
            <v>55</v>
          </cell>
          <cell r="K8">
            <v>300.60499999999996</v>
          </cell>
          <cell r="N8">
            <v>200</v>
          </cell>
          <cell r="O8">
            <v>60.120999999999995</v>
          </cell>
          <cell r="P8">
            <v>107.24499999999989</v>
          </cell>
          <cell r="S8">
            <v>18</v>
          </cell>
          <cell r="T8">
            <v>16.216180702250462</v>
          </cell>
          <cell r="U8">
            <v>50.537400000000012</v>
          </cell>
          <cell r="V8">
            <v>65.963400000000007</v>
          </cell>
          <cell r="W8">
            <v>64.472200000000001</v>
          </cell>
          <cell r="X8">
            <v>47.720999999999997</v>
          </cell>
          <cell r="Y8">
            <v>41.454999999999998</v>
          </cell>
          <cell r="Z8">
            <v>50.347799999999999</v>
          </cell>
          <cell r="AA8">
            <v>36.951999999999998</v>
          </cell>
          <cell r="AB8">
            <v>46.1402</v>
          </cell>
          <cell r="AC8">
            <v>58.483400000000003</v>
          </cell>
          <cell r="AD8">
            <v>37.0152</v>
          </cell>
          <cell r="AF8">
            <v>107.24499999999989</v>
          </cell>
        </row>
        <row r="9">
          <cell r="A9" t="str">
            <v>0232 С/к колбасы Княжеская Бордо Весовые б/о терм/п Стародворье</v>
          </cell>
          <cell r="B9" t="str">
            <v>кг</v>
          </cell>
          <cell r="C9">
            <v>41.956000000000003</v>
          </cell>
          <cell r="D9">
            <v>30.039000000000001</v>
          </cell>
          <cell r="E9">
            <v>2.3180000000000001</v>
          </cell>
          <cell r="F9">
            <v>69.677000000000007</v>
          </cell>
          <cell r="G9">
            <v>1</v>
          </cell>
          <cell r="H9">
            <v>180</v>
          </cell>
          <cell r="K9">
            <v>2.3180000000000001</v>
          </cell>
          <cell r="N9">
            <v>0</v>
          </cell>
          <cell r="O9">
            <v>0.46360000000000001</v>
          </cell>
          <cell r="S9">
            <v>150.29551337359794</v>
          </cell>
          <cell r="T9">
            <v>150.29551337359794</v>
          </cell>
          <cell r="U9">
            <v>1.0840000000000001</v>
          </cell>
          <cell r="V9">
            <v>1.2966</v>
          </cell>
          <cell r="W9">
            <v>0.3962</v>
          </cell>
          <cell r="X9">
            <v>0.99819999999999998</v>
          </cell>
          <cell r="Y9">
            <v>8.2000000000000007E-3</v>
          </cell>
          <cell r="Z9">
            <v>1.4618</v>
          </cell>
          <cell r="AA9">
            <v>1.9774</v>
          </cell>
          <cell r="AB9">
            <v>0.82140000000000002</v>
          </cell>
          <cell r="AC9">
            <v>1.4903999999999999</v>
          </cell>
          <cell r="AD9">
            <v>0.82639999999999991</v>
          </cell>
          <cell r="AE9" t="str">
            <v>нужно увеличить продажи!!!</v>
          </cell>
          <cell r="AF9">
            <v>0</v>
          </cell>
          <cell r="AG9">
            <v>100</v>
          </cell>
        </row>
        <row r="10">
          <cell r="A10" t="str">
            <v>0235 С/к колбасы Салями Охотничья Бордо Весовые б/о терм/п 180 Стародворье</v>
          </cell>
          <cell r="B10" t="str">
            <v>кг</v>
          </cell>
          <cell r="C10">
            <v>8.2769999999999992</v>
          </cell>
          <cell r="E10">
            <v>3.72</v>
          </cell>
          <cell r="F10">
            <v>4.5570000000000004</v>
          </cell>
          <cell r="G10">
            <v>0</v>
          </cell>
          <cell r="H10">
            <v>180</v>
          </cell>
          <cell r="I10" t="str">
            <v>нет в бланке</v>
          </cell>
          <cell r="K10">
            <v>3.72</v>
          </cell>
          <cell r="O10">
            <v>0.74399999999999999</v>
          </cell>
          <cell r="S10">
            <v>6.1250000000000009</v>
          </cell>
          <cell r="T10">
            <v>6.1250000000000009</v>
          </cell>
          <cell r="V10">
            <v>1.5529999999999999</v>
          </cell>
          <cell r="W10">
            <v>1.2687999999999999</v>
          </cell>
          <cell r="X10">
            <v>1.8740000000000001</v>
          </cell>
          <cell r="Y10">
            <v>0.29699999999999999</v>
          </cell>
          <cell r="Z10">
            <v>1.4858</v>
          </cell>
          <cell r="AA10">
            <v>1.9074</v>
          </cell>
          <cell r="AB10">
            <v>1.4892000000000001</v>
          </cell>
          <cell r="AC10">
            <v>1.7834000000000001</v>
          </cell>
          <cell r="AD10">
            <v>0.81720000000000004</v>
          </cell>
          <cell r="AE10" t="str">
            <v>нужно увеличить продажи / нет в бланке</v>
          </cell>
          <cell r="AG10">
            <v>50</v>
          </cell>
        </row>
        <row r="11">
          <cell r="A11" t="str">
            <v>0262 Ветчина «Сочинка с сочным окороком» Весовой п/а ТМ «Стародворье»  ПОКОМ</v>
          </cell>
          <cell r="B11" t="str">
            <v>кг</v>
          </cell>
          <cell r="C11">
            <v>93.602000000000004</v>
          </cell>
          <cell r="E11">
            <v>63.758000000000003</v>
          </cell>
          <cell r="F11">
            <v>29.844000000000001</v>
          </cell>
          <cell r="G11">
            <v>1</v>
          </cell>
          <cell r="H11">
            <v>50</v>
          </cell>
          <cell r="K11">
            <v>63.758000000000003</v>
          </cell>
          <cell r="N11">
            <v>0</v>
          </cell>
          <cell r="O11">
            <v>12.7516</v>
          </cell>
          <cell r="P11">
            <v>97.671999999999997</v>
          </cell>
          <cell r="S11">
            <v>10</v>
          </cell>
          <cell r="T11">
            <v>2.340412183569121</v>
          </cell>
          <cell r="U11">
            <v>3.7827999999999999</v>
          </cell>
          <cell r="V11">
            <v>12.16</v>
          </cell>
          <cell r="W11">
            <v>6.7453999999999992</v>
          </cell>
          <cell r="X11">
            <v>5.0880000000000001</v>
          </cell>
          <cell r="Y11">
            <v>8.1170000000000009</v>
          </cell>
          <cell r="Z11">
            <v>4.6042000000000014</v>
          </cell>
          <cell r="AA11">
            <v>2.1598000000000002</v>
          </cell>
          <cell r="AB11">
            <v>10.8428</v>
          </cell>
          <cell r="AC11">
            <v>0</v>
          </cell>
          <cell r="AD11">
            <v>17.7636</v>
          </cell>
          <cell r="AF11">
            <v>97.671999999999997</v>
          </cell>
        </row>
        <row r="12">
          <cell r="A12" t="str">
            <v>0359 Сардельки «Шпикачки Сочинки» Весовой н/о ТМ «Стародворье»  ПОКОМ</v>
          </cell>
          <cell r="B12" t="str">
            <v>кг</v>
          </cell>
          <cell r="G12">
            <v>0</v>
          </cell>
          <cell r="H12" t="e">
            <v>#N/A</v>
          </cell>
          <cell r="I12" t="str">
            <v>нет в бланке</v>
          </cell>
          <cell r="K12">
            <v>0</v>
          </cell>
          <cell r="O12">
            <v>0</v>
          </cell>
          <cell r="S12" t="e">
            <v>#DIV/0!</v>
          </cell>
          <cell r="T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0360 Сардельки «Сочинки» Весовой н/о ТМ «Стародворье»  ПОКОМ</v>
          </cell>
          <cell r="B13" t="str">
            <v>кг</v>
          </cell>
          <cell r="G13">
            <v>0</v>
          </cell>
          <cell r="H13" t="e">
            <v>#N/A</v>
          </cell>
          <cell r="I13" t="str">
            <v>нет в бланке</v>
          </cell>
          <cell r="K13">
            <v>0</v>
          </cell>
          <cell r="O13">
            <v>0</v>
          </cell>
          <cell r="S13" t="e">
            <v>#DIV/0!</v>
          </cell>
          <cell r="T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 t="str">
            <v>добавили ТК (нет на заводе)</v>
          </cell>
        </row>
        <row r="14">
          <cell r="A14" t="str">
            <v>1118 В/к колбасы Салями Запеченая Дугушка  Вектор Стародворье, 1кг</v>
          </cell>
          <cell r="B14" t="str">
            <v>кг</v>
          </cell>
          <cell r="C14">
            <v>422.55799999999999</v>
          </cell>
          <cell r="D14">
            <v>253.602</v>
          </cell>
          <cell r="E14">
            <v>210.15799999999999</v>
          </cell>
          <cell r="F14">
            <v>454.59100000000001</v>
          </cell>
          <cell r="G14">
            <v>1</v>
          </cell>
          <cell r="H14">
            <v>60</v>
          </cell>
          <cell r="K14">
            <v>210.15799999999999</v>
          </cell>
          <cell r="N14">
            <v>200</v>
          </cell>
          <cell r="O14">
            <v>42.031599999999997</v>
          </cell>
          <cell r="P14">
            <v>101.9778</v>
          </cell>
          <cell r="S14">
            <v>18</v>
          </cell>
          <cell r="T14">
            <v>15.57378258262831</v>
          </cell>
          <cell r="U14">
            <v>31.984400000000001</v>
          </cell>
          <cell r="V14">
            <v>46.042600000000007</v>
          </cell>
          <cell r="W14">
            <v>52.094200000000001</v>
          </cell>
          <cell r="X14">
            <v>38.1008</v>
          </cell>
          <cell r="Y14">
            <v>33.098999999999997</v>
          </cell>
          <cell r="Z14">
            <v>39.427</v>
          </cell>
          <cell r="AA14">
            <v>32.1708</v>
          </cell>
          <cell r="AB14">
            <v>34.6402</v>
          </cell>
          <cell r="AC14">
            <v>39.449399999999997</v>
          </cell>
          <cell r="AD14">
            <v>-4.3792</v>
          </cell>
          <cell r="AF14">
            <v>101.9778</v>
          </cell>
        </row>
        <row r="15">
          <cell r="A15" t="str">
            <v>1120 В/к колбасы Сервелат Запеченный Дугушка Вес Вектор Стародворье, вес 1кг</v>
          </cell>
          <cell r="B15" t="str">
            <v>кг</v>
          </cell>
          <cell r="C15">
            <v>398.14100000000002</v>
          </cell>
          <cell r="D15">
            <v>301.32100000000003</v>
          </cell>
          <cell r="E15">
            <v>244.21</v>
          </cell>
          <cell r="F15">
            <v>443.61199999999997</v>
          </cell>
          <cell r="G15">
            <v>1</v>
          </cell>
          <cell r="H15">
            <v>60</v>
          </cell>
          <cell r="K15">
            <v>244.21</v>
          </cell>
          <cell r="N15">
            <v>300</v>
          </cell>
          <cell r="O15">
            <v>48.841999999999999</v>
          </cell>
          <cell r="P15">
            <v>135.54399999999998</v>
          </cell>
          <cell r="S15">
            <v>18</v>
          </cell>
          <cell r="T15">
            <v>15.224847467343679</v>
          </cell>
          <cell r="U15">
            <v>42.364600000000003</v>
          </cell>
          <cell r="V15">
            <v>57.862400000000001</v>
          </cell>
          <cell r="W15">
            <v>30.3642</v>
          </cell>
          <cell r="X15">
            <v>57.274999999999999</v>
          </cell>
          <cell r="Y15">
            <v>35.036000000000001</v>
          </cell>
          <cell r="Z15">
            <v>30.5366</v>
          </cell>
          <cell r="AA15">
            <v>38.046799999999998</v>
          </cell>
          <cell r="AB15">
            <v>31.278400000000001</v>
          </cell>
          <cell r="AC15">
            <v>49.44</v>
          </cell>
          <cell r="AD15">
            <v>5.8708</v>
          </cell>
          <cell r="AE15" t="str">
            <v>пожеланиеи тк</v>
          </cell>
          <cell r="AF15">
            <v>135.54399999999998</v>
          </cell>
          <cell r="AG15">
            <v>300</v>
          </cell>
        </row>
        <row r="16">
          <cell r="A16" t="str">
            <v>1201 В/к колбасы Сервелат Мясорубский с мелкорубленным окороком Бордо Весовой фиброуз Стародворье  П</v>
          </cell>
          <cell r="B16" t="str">
            <v>кг</v>
          </cell>
          <cell r="C16">
            <v>150.721</v>
          </cell>
          <cell r="D16">
            <v>151.06</v>
          </cell>
          <cell r="E16">
            <v>181.65800000000002</v>
          </cell>
          <cell r="F16">
            <v>111.39699999999999</v>
          </cell>
          <cell r="G16">
            <v>1</v>
          </cell>
          <cell r="H16">
            <v>40</v>
          </cell>
          <cell r="K16">
            <v>181.65800000000002</v>
          </cell>
          <cell r="N16">
            <v>100</v>
          </cell>
          <cell r="O16">
            <v>36.331600000000002</v>
          </cell>
          <cell r="P16">
            <v>297.24540000000002</v>
          </cell>
          <cell r="S16">
            <v>14</v>
          </cell>
          <cell r="T16">
            <v>5.8185436369441472</v>
          </cell>
          <cell r="U16">
            <v>21.318999999999999</v>
          </cell>
          <cell r="V16">
            <v>19.271999999999998</v>
          </cell>
          <cell r="W16">
            <v>16.814800000000002</v>
          </cell>
          <cell r="X16">
            <v>6.9978000000000007</v>
          </cell>
          <cell r="Y16">
            <v>17.8386</v>
          </cell>
          <cell r="Z16">
            <v>9.9391999999999996</v>
          </cell>
          <cell r="AA16">
            <v>13.804</v>
          </cell>
          <cell r="AB16">
            <v>16.576799999999999</v>
          </cell>
          <cell r="AC16">
            <v>18.571000000000002</v>
          </cell>
          <cell r="AD16">
            <v>28.954999999999998</v>
          </cell>
          <cell r="AF16">
            <v>297.24540000000002</v>
          </cell>
        </row>
        <row r="17">
          <cell r="A17" t="str">
            <v>1202 В/к колбасы Сервелат Мясорубский с мелкорубленным окороком срез Бордо Фикс.вес 0,35 фиброуз Ста</v>
          </cell>
          <cell r="B17" t="str">
            <v>шт</v>
          </cell>
          <cell r="C17">
            <v>414</v>
          </cell>
          <cell r="D17">
            <v>288</v>
          </cell>
          <cell r="E17">
            <v>610</v>
          </cell>
          <cell r="F17">
            <v>67</v>
          </cell>
          <cell r="G17">
            <v>0.35</v>
          </cell>
          <cell r="H17">
            <v>40</v>
          </cell>
          <cell r="K17">
            <v>610</v>
          </cell>
          <cell r="N17">
            <v>428.57142857142861</v>
          </cell>
          <cell r="O17">
            <v>122</v>
          </cell>
          <cell r="P17">
            <v>968.42857142857133</v>
          </cell>
          <cell r="S17">
            <v>12</v>
          </cell>
          <cell r="T17">
            <v>4.062060889929743</v>
          </cell>
          <cell r="U17">
            <v>93.4</v>
          </cell>
          <cell r="V17">
            <v>99.4</v>
          </cell>
          <cell r="W17">
            <v>76.8</v>
          </cell>
          <cell r="X17">
            <v>105.6</v>
          </cell>
          <cell r="Y17">
            <v>21.2</v>
          </cell>
          <cell r="Z17">
            <v>50.8</v>
          </cell>
          <cell r="AA17">
            <v>50.4</v>
          </cell>
          <cell r="AB17">
            <v>82.8</v>
          </cell>
          <cell r="AC17">
            <v>69.599999999999994</v>
          </cell>
          <cell r="AD17">
            <v>106.4</v>
          </cell>
          <cell r="AF17">
            <v>338.94999999999993</v>
          </cell>
          <cell r="AG17">
            <v>150</v>
          </cell>
        </row>
        <row r="18">
          <cell r="A18" t="str">
            <v>1204 Копченые колбасы Салями Мясорубская с рубленым шпиком Бордо Весовой фиброуз Стародворье  ПОКОМ</v>
          </cell>
          <cell r="B18" t="str">
            <v>кг</v>
          </cell>
          <cell r="C18">
            <v>151.06700000000001</v>
          </cell>
          <cell r="D18">
            <v>152.14699999999999</v>
          </cell>
          <cell r="E18">
            <v>203.68600000000001</v>
          </cell>
          <cell r="F18">
            <v>87.22699999999999</v>
          </cell>
          <cell r="G18">
            <v>1</v>
          </cell>
          <cell r="H18">
            <v>40</v>
          </cell>
          <cell r="K18">
            <v>203.68600000000001</v>
          </cell>
          <cell r="N18">
            <v>100</v>
          </cell>
          <cell r="O18">
            <v>40.737200000000001</v>
          </cell>
          <cell r="P18">
            <v>342.35660000000007</v>
          </cell>
          <cell r="S18">
            <v>13</v>
          </cell>
          <cell r="T18">
            <v>4.5959712498649878</v>
          </cell>
          <cell r="U18">
            <v>22.381399999999999</v>
          </cell>
          <cell r="V18">
            <v>17.471399999999999</v>
          </cell>
          <cell r="W18">
            <v>-2.3090000000000002</v>
          </cell>
          <cell r="X18">
            <v>23.312799999999999</v>
          </cell>
          <cell r="Y18">
            <v>18.0686</v>
          </cell>
          <cell r="Z18">
            <v>11.051</v>
          </cell>
          <cell r="AA18">
            <v>16.8826</v>
          </cell>
          <cell r="AB18">
            <v>14.519399999999999</v>
          </cell>
          <cell r="AC18">
            <v>19.543199999999999</v>
          </cell>
          <cell r="AD18">
            <v>27.794</v>
          </cell>
          <cell r="AF18">
            <v>342.35660000000007</v>
          </cell>
          <cell r="AG18">
            <v>100</v>
          </cell>
        </row>
        <row r="19">
          <cell r="A19" t="str">
            <v>1205 Копченые колбасы Салями Мясорубская с рубленым шпиком срез Бордо ф/в 0,35 фиброуз Стародворье  ПОКОМ</v>
          </cell>
          <cell r="B19" t="str">
            <v>шт</v>
          </cell>
          <cell r="C19">
            <v>438</v>
          </cell>
          <cell r="D19">
            <v>288</v>
          </cell>
          <cell r="E19">
            <v>584</v>
          </cell>
          <cell r="F19">
            <v>108</v>
          </cell>
          <cell r="G19">
            <v>0.35</v>
          </cell>
          <cell r="H19">
            <v>40</v>
          </cell>
          <cell r="K19">
            <v>584</v>
          </cell>
          <cell r="N19">
            <v>428.57142857142861</v>
          </cell>
          <cell r="O19">
            <v>116.8</v>
          </cell>
          <cell r="P19">
            <v>981.82857142857119</v>
          </cell>
          <cell r="S19">
            <v>13</v>
          </cell>
          <cell r="T19">
            <v>4.5939334637964784</v>
          </cell>
          <cell r="U19">
            <v>91</v>
          </cell>
          <cell r="V19">
            <v>122.2</v>
          </cell>
          <cell r="W19">
            <v>105</v>
          </cell>
          <cell r="X19">
            <v>19.2</v>
          </cell>
          <cell r="Y19">
            <v>29.8</v>
          </cell>
          <cell r="Z19">
            <v>66.2</v>
          </cell>
          <cell r="AA19">
            <v>22.8</v>
          </cell>
          <cell r="AB19">
            <v>41</v>
          </cell>
          <cell r="AC19">
            <v>60.6</v>
          </cell>
          <cell r="AD19">
            <v>-3.2</v>
          </cell>
          <cell r="AF19">
            <v>343.63999999999987</v>
          </cell>
          <cell r="AG19">
            <v>150</v>
          </cell>
        </row>
        <row r="20">
          <cell r="A20" t="str">
            <v>1224 В/к колбасы «Сочинка по-европейски с сочной грудинкой» Весовой фиброуз ТМ «Стародворье»  ПОКОМ</v>
          </cell>
          <cell r="B20" t="str">
            <v>кг</v>
          </cell>
          <cell r="C20">
            <v>102.095</v>
          </cell>
          <cell r="D20">
            <v>208.363</v>
          </cell>
          <cell r="E20">
            <v>147.261</v>
          </cell>
          <cell r="F20">
            <v>158.28399999999999</v>
          </cell>
          <cell r="G20">
            <v>1</v>
          </cell>
          <cell r="H20">
            <v>40</v>
          </cell>
          <cell r="K20">
            <v>147.261</v>
          </cell>
          <cell r="N20">
            <v>150</v>
          </cell>
          <cell r="O20">
            <v>29.452199999999998</v>
          </cell>
          <cell r="P20">
            <v>221.85559999999998</v>
          </cell>
          <cell r="S20">
            <v>18</v>
          </cell>
          <cell r="T20">
            <v>10.467265603248654</v>
          </cell>
          <cell r="U20">
            <v>30.758199999999999</v>
          </cell>
          <cell r="V20">
            <v>30.4114</v>
          </cell>
          <cell r="W20">
            <v>0</v>
          </cell>
          <cell r="X20">
            <v>26.065200000000001</v>
          </cell>
          <cell r="Y20">
            <v>15.234400000000001</v>
          </cell>
          <cell r="Z20">
            <v>11.714600000000001</v>
          </cell>
          <cell r="AA20">
            <v>18.170000000000002</v>
          </cell>
          <cell r="AB20">
            <v>16.2606</v>
          </cell>
          <cell r="AC20">
            <v>18.934999999999999</v>
          </cell>
          <cell r="AD20">
            <v>30.006599999999999</v>
          </cell>
          <cell r="AF20">
            <v>221.85559999999998</v>
          </cell>
        </row>
        <row r="21">
          <cell r="A21" t="str">
            <v>1231 Сосиски Сливочные Дугушки Дугушка Весовые П/а Стародворье, вес 1кг</v>
          </cell>
          <cell r="B21" t="str">
            <v>кг</v>
          </cell>
          <cell r="C21">
            <v>0.45600000000000002</v>
          </cell>
          <cell r="E21">
            <v>-2.69</v>
          </cell>
          <cell r="F21">
            <v>0.45600000000000002</v>
          </cell>
          <cell r="G21">
            <v>1</v>
          </cell>
          <cell r="H21">
            <v>45</v>
          </cell>
          <cell r="K21">
            <v>-2.69</v>
          </cell>
          <cell r="N21">
            <v>200</v>
          </cell>
          <cell r="O21">
            <v>-0.53800000000000003</v>
          </cell>
          <cell r="S21">
            <v>-372.59479553903344</v>
          </cell>
          <cell r="T21">
            <v>-372.59479553903344</v>
          </cell>
          <cell r="U21">
            <v>30.869399999999999</v>
          </cell>
          <cell r="V21">
            <v>53.641000000000012</v>
          </cell>
          <cell r="W21">
            <v>18.746600000000001</v>
          </cell>
          <cell r="X21">
            <v>7.9151999999999996</v>
          </cell>
          <cell r="Y21">
            <v>23.599599999999999</v>
          </cell>
          <cell r="Z21">
            <v>7.7530000000000001</v>
          </cell>
          <cell r="AA21">
            <v>9.8803999999999998</v>
          </cell>
          <cell r="AB21">
            <v>17.6982</v>
          </cell>
          <cell r="AC21">
            <v>20.2302</v>
          </cell>
          <cell r="AD21">
            <v>30.508199999999999</v>
          </cell>
          <cell r="AF21">
            <v>0</v>
          </cell>
          <cell r="AG21">
            <v>250</v>
          </cell>
        </row>
        <row r="22">
          <cell r="A22" t="str">
            <v>1284-Сосиски Баварушки ТМ Баварушка в оболочке амицел в модифицированной газовой среде 0,6 кг.</v>
          </cell>
          <cell r="B22" t="str">
            <v>шт</v>
          </cell>
          <cell r="C22">
            <v>168</v>
          </cell>
          <cell r="D22">
            <v>168</v>
          </cell>
          <cell r="E22">
            <v>230</v>
          </cell>
          <cell r="F22">
            <v>98</v>
          </cell>
          <cell r="G22">
            <v>0.6</v>
          </cell>
          <cell r="H22">
            <v>45</v>
          </cell>
          <cell r="K22">
            <v>230</v>
          </cell>
          <cell r="N22">
            <v>0</v>
          </cell>
          <cell r="O22">
            <v>46</v>
          </cell>
          <cell r="P22">
            <v>362</v>
          </cell>
          <cell r="S22">
            <v>10</v>
          </cell>
          <cell r="T22">
            <v>2.1304347826086958</v>
          </cell>
          <cell r="U22">
            <v>28.6</v>
          </cell>
          <cell r="V22">
            <v>26.8</v>
          </cell>
          <cell r="W22">
            <v>18.8</v>
          </cell>
          <cell r="X22">
            <v>0.2</v>
          </cell>
          <cell r="Y22">
            <v>2.2000000000000002</v>
          </cell>
          <cell r="Z22">
            <v>13.4</v>
          </cell>
          <cell r="AA22">
            <v>14</v>
          </cell>
          <cell r="AB22">
            <v>8.6</v>
          </cell>
          <cell r="AC22">
            <v>15.2</v>
          </cell>
          <cell r="AD22">
            <v>-1.6</v>
          </cell>
          <cell r="AF22">
            <v>217.2</v>
          </cell>
          <cell r="AG22">
            <v>1000</v>
          </cell>
        </row>
        <row r="23">
          <cell r="A23" t="str">
            <v>1314-Сосиски Молокуши миникушай Вязанка Ф/в 0,45 амилюкс мгс Вязанка</v>
          </cell>
          <cell r="B23" t="str">
            <v>шт</v>
          </cell>
          <cell r="C23">
            <v>1</v>
          </cell>
          <cell r="D23">
            <v>336</v>
          </cell>
          <cell r="E23">
            <v>172</v>
          </cell>
          <cell r="F23">
            <v>152</v>
          </cell>
          <cell r="G23">
            <v>0.45</v>
          </cell>
          <cell r="H23">
            <v>45</v>
          </cell>
          <cell r="K23">
            <v>172</v>
          </cell>
          <cell r="N23">
            <v>0</v>
          </cell>
          <cell r="O23">
            <v>34.4</v>
          </cell>
          <cell r="P23">
            <v>260.79999999999995</v>
          </cell>
          <cell r="S23">
            <v>12</v>
          </cell>
          <cell r="T23">
            <v>4.4186046511627906</v>
          </cell>
          <cell r="U23">
            <v>44.8</v>
          </cell>
          <cell r="V23">
            <v>44.4</v>
          </cell>
          <cell r="W23">
            <v>-17.600000000000001</v>
          </cell>
          <cell r="X23">
            <v>17.600000000000001</v>
          </cell>
          <cell r="Y23">
            <v>11</v>
          </cell>
          <cell r="Z23">
            <v>12.4</v>
          </cell>
          <cell r="AA23">
            <v>13.2</v>
          </cell>
          <cell r="AB23">
            <v>11.4</v>
          </cell>
          <cell r="AC23">
            <v>20.399999999999999</v>
          </cell>
          <cell r="AD23">
            <v>37.6</v>
          </cell>
          <cell r="AF23">
            <v>117.35999999999999</v>
          </cell>
          <cell r="AG23">
            <v>100</v>
          </cell>
        </row>
        <row r="24">
          <cell r="A24" t="str">
            <v>1370-Сосиски Сочинки Бордо Весовой п/а Стародворье</v>
          </cell>
          <cell r="B24" t="str">
            <v>кг</v>
          </cell>
          <cell r="C24">
            <v>407.84100000000001</v>
          </cell>
          <cell r="D24">
            <v>302.45299999999997</v>
          </cell>
          <cell r="E24">
            <v>437.565</v>
          </cell>
          <cell r="F24">
            <v>269.822</v>
          </cell>
          <cell r="G24">
            <v>1</v>
          </cell>
          <cell r="H24">
            <v>45</v>
          </cell>
          <cell r="K24">
            <v>437.565</v>
          </cell>
          <cell r="N24">
            <v>300</v>
          </cell>
          <cell r="O24">
            <v>87.513000000000005</v>
          </cell>
          <cell r="P24">
            <v>742.87300000000016</v>
          </cell>
          <cell r="S24">
            <v>15.000000000000002</v>
          </cell>
          <cell r="T24">
            <v>6.511284037800098</v>
          </cell>
          <cell r="U24">
            <v>50.050400000000003</v>
          </cell>
          <cell r="V24">
            <v>48.252600000000001</v>
          </cell>
          <cell r="W24">
            <v>77.245800000000003</v>
          </cell>
          <cell r="X24">
            <v>24.716200000000001</v>
          </cell>
          <cell r="Y24">
            <v>25.936399999999999</v>
          </cell>
          <cell r="Z24">
            <v>55.318600000000004</v>
          </cell>
          <cell r="AA24">
            <v>8.5498000000000012</v>
          </cell>
          <cell r="AB24">
            <v>0</v>
          </cell>
          <cell r="AC24">
            <v>18.121200000000002</v>
          </cell>
          <cell r="AD24">
            <v>42.95</v>
          </cell>
          <cell r="AE24" t="str">
            <v>26,02,25 завод не отгрузил 350кг, пожелание тк</v>
          </cell>
          <cell r="AF24">
            <v>742.87300000000016</v>
          </cell>
          <cell r="AG24">
            <v>150</v>
          </cell>
        </row>
        <row r="25">
          <cell r="A25" t="str">
            <v>1371-Сосиски Сочинки с сочной грудинкой Бордо Фикс.вес 0,4 П/а мгс Стародворье</v>
          </cell>
          <cell r="B25" t="str">
            <v>шт</v>
          </cell>
          <cell r="C25">
            <v>3</v>
          </cell>
          <cell r="D25">
            <v>252</v>
          </cell>
          <cell r="E25">
            <v>191</v>
          </cell>
          <cell r="F25">
            <v>64</v>
          </cell>
          <cell r="G25">
            <v>0.4</v>
          </cell>
          <cell r="H25">
            <v>45</v>
          </cell>
          <cell r="K25">
            <v>191</v>
          </cell>
          <cell r="N25">
            <v>375</v>
          </cell>
          <cell r="O25">
            <v>38.200000000000003</v>
          </cell>
          <cell r="P25">
            <v>248.60000000000002</v>
          </cell>
          <cell r="S25">
            <v>18</v>
          </cell>
          <cell r="T25">
            <v>11.492146596858637</v>
          </cell>
          <cell r="U25">
            <v>75.400000000000006</v>
          </cell>
          <cell r="V25">
            <v>84.8</v>
          </cell>
          <cell r="W25">
            <v>35.4</v>
          </cell>
          <cell r="X25">
            <v>73</v>
          </cell>
          <cell r="Y25">
            <v>25.4</v>
          </cell>
          <cell r="Z25">
            <v>40.6</v>
          </cell>
          <cell r="AA25">
            <v>44.6</v>
          </cell>
          <cell r="AB25">
            <v>39.6</v>
          </cell>
          <cell r="AC25">
            <v>46.4</v>
          </cell>
          <cell r="AD25">
            <v>75.2</v>
          </cell>
          <cell r="AE25" t="str">
            <v>мин 200</v>
          </cell>
          <cell r="AF25">
            <v>99.440000000000012</v>
          </cell>
          <cell r="AG25">
            <v>150</v>
          </cell>
        </row>
        <row r="26">
          <cell r="A26" t="str">
            <v>1372-Сосиски Сочинки с сочным окороком Бордо Фикс.вес 0,4 П/а мгс Стародворье</v>
          </cell>
          <cell r="B26" t="str">
            <v>шт</v>
          </cell>
          <cell r="C26">
            <v>363</v>
          </cell>
          <cell r="D26">
            <v>252</v>
          </cell>
          <cell r="E26">
            <v>556</v>
          </cell>
          <cell r="F26">
            <v>58</v>
          </cell>
          <cell r="G26">
            <v>0.4</v>
          </cell>
          <cell r="H26">
            <v>45</v>
          </cell>
          <cell r="K26">
            <v>556</v>
          </cell>
          <cell r="N26">
            <v>375</v>
          </cell>
          <cell r="O26">
            <v>111.2</v>
          </cell>
          <cell r="P26">
            <v>901.40000000000009</v>
          </cell>
          <cell r="S26">
            <v>12</v>
          </cell>
          <cell r="T26">
            <v>3.8938848920863309</v>
          </cell>
          <cell r="U26">
            <v>76.8</v>
          </cell>
          <cell r="V26">
            <v>81</v>
          </cell>
          <cell r="W26">
            <v>32</v>
          </cell>
          <cell r="X26">
            <v>71.8</v>
          </cell>
          <cell r="Y26">
            <v>16.8</v>
          </cell>
          <cell r="Z26">
            <v>40.4</v>
          </cell>
          <cell r="AA26">
            <v>49.8</v>
          </cell>
          <cell r="AB26">
            <v>36</v>
          </cell>
          <cell r="AC26">
            <v>45</v>
          </cell>
          <cell r="AD26">
            <v>42</v>
          </cell>
          <cell r="AE26" t="str">
            <v>мин 200</v>
          </cell>
          <cell r="AF26">
            <v>360.56000000000006</v>
          </cell>
          <cell r="AG26">
            <v>150</v>
          </cell>
        </row>
        <row r="27">
          <cell r="A27" t="str">
            <v>1409 Сосиски Сочинки по-баварски ТМ Стародворье полиамид мгс вес СК3  ПОКОМ</v>
          </cell>
          <cell r="B27" t="str">
            <v>кг</v>
          </cell>
          <cell r="E27">
            <v>-2.04</v>
          </cell>
          <cell r="G27">
            <v>1</v>
          </cell>
          <cell r="H27">
            <v>45</v>
          </cell>
          <cell r="K27">
            <v>-2.04</v>
          </cell>
          <cell r="N27">
            <v>0</v>
          </cell>
          <cell r="O27">
            <v>-0.40800000000000003</v>
          </cell>
          <cell r="P27">
            <v>0</v>
          </cell>
          <cell r="S27">
            <v>0</v>
          </cell>
          <cell r="T27">
            <v>0</v>
          </cell>
          <cell r="U27">
            <v>0</v>
          </cell>
          <cell r="V27">
            <v>-1.0229999999999999</v>
          </cell>
          <cell r="W27">
            <v>-2.2675999999999998</v>
          </cell>
          <cell r="X27">
            <v>-1.6468</v>
          </cell>
          <cell r="Y27">
            <v>3.5444</v>
          </cell>
          <cell r="Z27">
            <v>5.8918000000000008</v>
          </cell>
          <cell r="AA27">
            <v>1.589</v>
          </cell>
          <cell r="AB27">
            <v>3.5724</v>
          </cell>
          <cell r="AC27">
            <v>7.2114000000000003</v>
          </cell>
          <cell r="AD27">
            <v>10.528</v>
          </cell>
          <cell r="AF27">
            <v>0</v>
          </cell>
          <cell r="AG27">
            <v>50</v>
          </cell>
        </row>
        <row r="28">
          <cell r="A28" t="str">
            <v>1411 Сосиски «Сочинки Сливочные» Весовые ТМ «Стародворье» 1,35 кг  ПОКОМ</v>
          </cell>
          <cell r="B28" t="str">
            <v>кг</v>
          </cell>
          <cell r="C28">
            <v>79.75</v>
          </cell>
          <cell r="E28">
            <v>68.781999999999996</v>
          </cell>
          <cell r="F28">
            <v>-8.2899999999999991</v>
          </cell>
          <cell r="G28">
            <v>1</v>
          </cell>
          <cell r="H28">
            <v>40</v>
          </cell>
          <cell r="K28">
            <v>68.781999999999996</v>
          </cell>
          <cell r="N28">
            <v>400</v>
          </cell>
          <cell r="O28">
            <v>13.756399999999999</v>
          </cell>
          <cell r="S28">
            <v>28.474746299904044</v>
          </cell>
          <cell r="T28">
            <v>28.474746299904044</v>
          </cell>
          <cell r="U28">
            <v>73.383800000000008</v>
          </cell>
          <cell r="V28">
            <v>63.937800000000003</v>
          </cell>
          <cell r="W28">
            <v>50.796999999999997</v>
          </cell>
          <cell r="X28">
            <v>52.100800000000007</v>
          </cell>
          <cell r="Y28">
            <v>30.1144</v>
          </cell>
          <cell r="Z28">
            <v>43.735199999999999</v>
          </cell>
          <cell r="AA28">
            <v>32.511600000000001</v>
          </cell>
          <cell r="AB28">
            <v>38.621600000000001</v>
          </cell>
          <cell r="AC28">
            <v>36.813200000000002</v>
          </cell>
          <cell r="AD28">
            <v>61.632800000000003</v>
          </cell>
          <cell r="AE28" t="str">
            <v>мин40</v>
          </cell>
          <cell r="AF28">
            <v>0</v>
          </cell>
          <cell r="AG28">
            <v>300</v>
          </cell>
        </row>
        <row r="29">
          <cell r="A29" t="str">
            <v>1444 Сосиски «Сочные без свинины» ф/в 0,4 кг ТМ «Особый рецепт»  ПОКОМ</v>
          </cell>
          <cell r="B29" t="str">
            <v>шт</v>
          </cell>
          <cell r="C29">
            <v>436</v>
          </cell>
          <cell r="E29">
            <v>388</v>
          </cell>
          <cell r="F29">
            <v>-1</v>
          </cell>
          <cell r="G29">
            <v>0.4</v>
          </cell>
          <cell r="H29">
            <v>40</v>
          </cell>
          <cell r="K29">
            <v>388</v>
          </cell>
          <cell r="N29">
            <v>375</v>
          </cell>
          <cell r="O29">
            <v>77.599999999999994</v>
          </cell>
          <cell r="P29">
            <v>634.79999999999995</v>
          </cell>
          <cell r="S29">
            <v>13</v>
          </cell>
          <cell r="T29">
            <v>4.81958762886598</v>
          </cell>
          <cell r="U29">
            <v>73.599999999999994</v>
          </cell>
          <cell r="V29">
            <v>84.2</v>
          </cell>
          <cell r="W29">
            <v>59.6</v>
          </cell>
          <cell r="X29">
            <v>17.8</v>
          </cell>
          <cell r="Y29">
            <v>43.6</v>
          </cell>
          <cell r="Z29">
            <v>8</v>
          </cell>
          <cell r="AA29">
            <v>13.4</v>
          </cell>
          <cell r="AB29">
            <v>43.2</v>
          </cell>
          <cell r="AC29">
            <v>45</v>
          </cell>
          <cell r="AD29">
            <v>48.6</v>
          </cell>
          <cell r="AF29">
            <v>253.92</v>
          </cell>
          <cell r="AG29">
            <v>200</v>
          </cell>
        </row>
        <row r="30">
          <cell r="A30" t="str">
            <v>1445 Сосиски «Сочные без свинины» Весовые ТМ «Особый рецепт» 1,3 кг  ПОКОМ</v>
          </cell>
          <cell r="B30" t="str">
            <v>кг</v>
          </cell>
          <cell r="C30">
            <v>43.847999999999999</v>
          </cell>
          <cell r="E30">
            <v>33.539000000000001</v>
          </cell>
          <cell r="F30">
            <v>3.1789999999999998</v>
          </cell>
          <cell r="G30">
            <v>1</v>
          </cell>
          <cell r="H30">
            <v>40</v>
          </cell>
          <cell r="K30">
            <v>33.539000000000001</v>
          </cell>
          <cell r="N30">
            <v>600</v>
          </cell>
          <cell r="O30">
            <v>6.7078000000000007</v>
          </cell>
          <cell r="S30">
            <v>89.922031068308527</v>
          </cell>
          <cell r="T30">
            <v>89.922031068308527</v>
          </cell>
          <cell r="U30">
            <v>101.7424</v>
          </cell>
          <cell r="V30">
            <v>70.320999999999998</v>
          </cell>
          <cell r="W30">
            <v>31.195599999999999</v>
          </cell>
          <cell r="X30">
            <v>86.638599999999997</v>
          </cell>
          <cell r="Y30">
            <v>36.289200000000001</v>
          </cell>
          <cell r="Z30">
            <v>39.682399999999987</v>
          </cell>
          <cell r="AA30">
            <v>51.965400000000002</v>
          </cell>
          <cell r="AB30">
            <v>44.451999999999998</v>
          </cell>
          <cell r="AC30">
            <v>63.459200000000003</v>
          </cell>
          <cell r="AD30">
            <v>78.9392</v>
          </cell>
          <cell r="AF30">
            <v>0</v>
          </cell>
          <cell r="AG30">
            <v>600</v>
          </cell>
        </row>
        <row r="31">
          <cell r="A31" t="str">
            <v>1461 Сосиски «Баварские» Фикс.вес 0,35 П/а ТМ «Стародворье»  ПОКОМ</v>
          </cell>
          <cell r="B31" t="str">
            <v>шт</v>
          </cell>
          <cell r="C31">
            <v>234</v>
          </cell>
          <cell r="E31">
            <v>226</v>
          </cell>
          <cell r="F31">
            <v>-1</v>
          </cell>
          <cell r="G31">
            <v>0.35</v>
          </cell>
          <cell r="H31">
            <v>45</v>
          </cell>
          <cell r="K31">
            <v>226</v>
          </cell>
          <cell r="N31">
            <v>0</v>
          </cell>
          <cell r="O31">
            <v>45.2</v>
          </cell>
          <cell r="P31">
            <v>362.6</v>
          </cell>
          <cell r="S31">
            <v>8</v>
          </cell>
          <cell r="T31">
            <v>-2.2123893805309734E-2</v>
          </cell>
          <cell r="U31">
            <v>-7.4</v>
          </cell>
          <cell r="V31">
            <v>-3</v>
          </cell>
          <cell r="W31">
            <v>31.4</v>
          </cell>
          <cell r="X31">
            <v>14.6</v>
          </cell>
          <cell r="Y31">
            <v>13.4</v>
          </cell>
          <cell r="Z31">
            <v>13</v>
          </cell>
          <cell r="AA31">
            <v>5.8</v>
          </cell>
          <cell r="AB31">
            <v>10.4</v>
          </cell>
          <cell r="AC31">
            <v>21.4</v>
          </cell>
          <cell r="AD31">
            <v>25.4</v>
          </cell>
          <cell r="AF31">
            <v>126.91</v>
          </cell>
          <cell r="AG31">
            <v>100</v>
          </cell>
        </row>
        <row r="32">
          <cell r="A32" t="str">
            <v>1523-Сосиски Вязанка Молочные ТМ Стародворские колбасы</v>
          </cell>
          <cell r="B32" t="str">
            <v>кг</v>
          </cell>
          <cell r="C32">
            <v>157.376</v>
          </cell>
          <cell r="D32">
            <v>207.053</v>
          </cell>
          <cell r="E32">
            <v>307.233</v>
          </cell>
          <cell r="F32">
            <v>56.084000000000003</v>
          </cell>
          <cell r="G32">
            <v>1</v>
          </cell>
          <cell r="H32">
            <v>45</v>
          </cell>
          <cell r="K32">
            <v>307.233</v>
          </cell>
          <cell r="N32">
            <v>250</v>
          </cell>
          <cell r="O32">
            <v>61.446600000000004</v>
          </cell>
          <cell r="P32">
            <v>492.72180000000009</v>
          </cell>
          <cell r="S32">
            <v>13</v>
          </cell>
          <cell r="T32">
            <v>4.9813008368241691</v>
          </cell>
          <cell r="U32">
            <v>21.238199999999999</v>
          </cell>
          <cell r="V32">
            <v>19.3474</v>
          </cell>
          <cell r="W32">
            <v>-3.7848000000000002</v>
          </cell>
          <cell r="X32">
            <v>14.282400000000001</v>
          </cell>
          <cell r="Y32">
            <v>5.0250000000000004</v>
          </cell>
          <cell r="Z32">
            <v>14.044600000000001</v>
          </cell>
          <cell r="AA32">
            <v>22.450199999999999</v>
          </cell>
          <cell r="AB32">
            <v>12.824400000000001</v>
          </cell>
          <cell r="AC32">
            <v>20.8032</v>
          </cell>
          <cell r="AD32">
            <v>46.749000000000002</v>
          </cell>
          <cell r="AF32">
            <v>492.72180000000009</v>
          </cell>
          <cell r="AG32">
            <v>100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B33" t="str">
            <v>шт</v>
          </cell>
          <cell r="D33">
            <v>246</v>
          </cell>
          <cell r="E33">
            <v>234</v>
          </cell>
          <cell r="F33">
            <v>12</v>
          </cell>
          <cell r="G33">
            <v>0.45</v>
          </cell>
          <cell r="H33">
            <v>45</v>
          </cell>
          <cell r="K33">
            <v>234</v>
          </cell>
          <cell r="N33">
            <v>444.44444444444451</v>
          </cell>
          <cell r="O33">
            <v>46.8</v>
          </cell>
          <cell r="P33">
            <v>385.95555555555546</v>
          </cell>
          <cell r="S33">
            <v>18</v>
          </cell>
          <cell r="T33">
            <v>9.7530864197530889</v>
          </cell>
          <cell r="U33">
            <v>0</v>
          </cell>
          <cell r="V33">
            <v>-0.8</v>
          </cell>
          <cell r="W33">
            <v>30</v>
          </cell>
          <cell r="X33">
            <v>60</v>
          </cell>
          <cell r="Y33">
            <v>29.2</v>
          </cell>
          <cell r="Z33">
            <v>35.4</v>
          </cell>
          <cell r="AA33">
            <v>32.6</v>
          </cell>
          <cell r="AB33">
            <v>39</v>
          </cell>
          <cell r="AC33">
            <v>33.4</v>
          </cell>
          <cell r="AD33">
            <v>58.6</v>
          </cell>
          <cell r="AE33" t="str">
            <v>завод не отгрузил</v>
          </cell>
          <cell r="AF33">
            <v>173.67999999999995</v>
          </cell>
          <cell r="AG33">
            <v>150</v>
          </cell>
        </row>
        <row r="34">
          <cell r="A34" t="str">
            <v>1721-Сосиски Вязанка Сливочные ТМ Стародворские колбасы</v>
          </cell>
          <cell r="B34" t="str">
            <v>кг</v>
          </cell>
          <cell r="C34">
            <v>722.92499999999995</v>
          </cell>
          <cell r="D34">
            <v>913.68299999999999</v>
          </cell>
          <cell r="E34">
            <v>1030.963</v>
          </cell>
          <cell r="F34">
            <v>604.57500000000005</v>
          </cell>
          <cell r="G34">
            <v>1</v>
          </cell>
          <cell r="H34">
            <v>45</v>
          </cell>
          <cell r="K34">
            <v>1030.963</v>
          </cell>
          <cell r="N34">
            <v>800</v>
          </cell>
          <cell r="O34">
            <v>206.1926</v>
          </cell>
          <cell r="P34">
            <v>1688.3140000000001</v>
          </cell>
          <cell r="S34">
            <v>15</v>
          </cell>
          <cell r="T34">
            <v>6.8119563941673951</v>
          </cell>
          <cell r="U34">
            <v>139.56960000000001</v>
          </cell>
          <cell r="V34">
            <v>180.1</v>
          </cell>
          <cell r="W34">
            <v>98.6922</v>
          </cell>
          <cell r="X34">
            <v>107.6404</v>
          </cell>
          <cell r="Y34">
            <v>63.856999999999992</v>
          </cell>
          <cell r="Z34">
            <v>64.816000000000003</v>
          </cell>
          <cell r="AA34">
            <v>101.94459999999999</v>
          </cell>
          <cell r="AB34">
            <v>77.189400000000006</v>
          </cell>
          <cell r="AC34">
            <v>94.509199999999993</v>
          </cell>
          <cell r="AD34">
            <v>121.8096</v>
          </cell>
          <cell r="AF34">
            <v>1688.3140000000001</v>
          </cell>
          <cell r="AG34">
            <v>700</v>
          </cell>
        </row>
        <row r="35">
          <cell r="A35" t="str">
            <v>1728-Сосиски сливочные по-стародворски в оболочке</v>
          </cell>
          <cell r="B35" t="str">
            <v>кг</v>
          </cell>
          <cell r="C35">
            <v>106.36199999999999</v>
          </cell>
          <cell r="E35">
            <v>95.132999999999996</v>
          </cell>
          <cell r="F35">
            <v>3.903</v>
          </cell>
          <cell r="G35">
            <v>1</v>
          </cell>
          <cell r="H35">
            <v>40</v>
          </cell>
          <cell r="K35">
            <v>95.132999999999996</v>
          </cell>
          <cell r="N35">
            <v>100</v>
          </cell>
          <cell r="O35">
            <v>19.026599999999998</v>
          </cell>
          <cell r="P35">
            <v>143.44279999999998</v>
          </cell>
          <cell r="S35">
            <v>13.000000000000002</v>
          </cell>
          <cell r="T35">
            <v>5.4609336402720405</v>
          </cell>
          <cell r="U35">
            <v>-0.11799999999999999</v>
          </cell>
          <cell r="V35">
            <v>1.087</v>
          </cell>
          <cell r="W35">
            <v>12.9772</v>
          </cell>
          <cell r="X35">
            <v>-0.1676</v>
          </cell>
          <cell r="Y35">
            <v>11.728400000000001</v>
          </cell>
          <cell r="Z35">
            <v>0</v>
          </cell>
          <cell r="AA35">
            <v>4.9908000000000001</v>
          </cell>
          <cell r="AB35">
            <v>8.2157999999999998</v>
          </cell>
          <cell r="AC35">
            <v>9.1988000000000003</v>
          </cell>
          <cell r="AD35">
            <v>-4.9188000000000001</v>
          </cell>
          <cell r="AF35">
            <v>143.44279999999998</v>
          </cell>
        </row>
        <row r="36">
          <cell r="A36" t="str">
            <v>1851-Колбаса Филедворская по-стародворски ТМ Стародворье в оболочке полиамид 0,4 кг.  ПОКОМ</v>
          </cell>
          <cell r="B36" t="str">
            <v>шт</v>
          </cell>
          <cell r="C36">
            <v>560</v>
          </cell>
          <cell r="D36">
            <v>250</v>
          </cell>
          <cell r="E36">
            <v>304</v>
          </cell>
          <cell r="F36">
            <v>491</v>
          </cell>
          <cell r="G36">
            <v>0.4</v>
          </cell>
          <cell r="H36">
            <v>55</v>
          </cell>
          <cell r="K36">
            <v>304</v>
          </cell>
          <cell r="N36">
            <v>0</v>
          </cell>
          <cell r="O36">
            <v>60.8</v>
          </cell>
          <cell r="P36">
            <v>481.79999999999995</v>
          </cell>
          <cell r="S36">
            <v>16</v>
          </cell>
          <cell r="T36">
            <v>8.0756578947368425</v>
          </cell>
          <cell r="U36">
            <v>34.799999999999997</v>
          </cell>
          <cell r="V36">
            <v>47.4</v>
          </cell>
          <cell r="W36">
            <v>52.6</v>
          </cell>
          <cell r="X36">
            <v>35.4</v>
          </cell>
          <cell r="Y36">
            <v>31.6</v>
          </cell>
          <cell r="Z36">
            <v>32.799999999999997</v>
          </cell>
          <cell r="AA36">
            <v>35.799999999999997</v>
          </cell>
          <cell r="AB36">
            <v>33.200000000000003</v>
          </cell>
          <cell r="AC36">
            <v>25</v>
          </cell>
          <cell r="AD36">
            <v>23.4</v>
          </cell>
          <cell r="AF36">
            <v>192.72</v>
          </cell>
          <cell r="AG36">
            <v>100</v>
          </cell>
        </row>
        <row r="37">
          <cell r="A37" t="str">
            <v>1867-Колбаса Филейная ТМ Особый рецепт в оболочке полиамид большой батон.  ПОКОМ</v>
          </cell>
          <cell r="B37" t="str">
            <v>кг</v>
          </cell>
          <cell r="C37">
            <v>1061.357</v>
          </cell>
          <cell r="D37">
            <v>510.11700000000002</v>
          </cell>
          <cell r="E37">
            <v>708.52700000000004</v>
          </cell>
          <cell r="F37">
            <v>799.12100000000009</v>
          </cell>
          <cell r="G37">
            <v>1</v>
          </cell>
          <cell r="H37">
            <v>60</v>
          </cell>
          <cell r="K37">
            <v>708.52700000000004</v>
          </cell>
          <cell r="N37">
            <v>300</v>
          </cell>
          <cell r="O37">
            <v>141.7054</v>
          </cell>
          <cell r="P37">
            <v>1168.1653999999999</v>
          </cell>
          <cell r="S37">
            <v>16</v>
          </cell>
          <cell r="T37">
            <v>7.7563804907928713</v>
          </cell>
          <cell r="U37">
            <v>71.686799999999991</v>
          </cell>
          <cell r="V37">
            <v>101.5622</v>
          </cell>
          <cell r="W37">
            <v>58.765200000000007</v>
          </cell>
          <cell r="X37">
            <v>85.500399999999999</v>
          </cell>
          <cell r="Y37">
            <v>85.436199999999999</v>
          </cell>
          <cell r="Z37">
            <v>56.302600000000012</v>
          </cell>
          <cell r="AA37">
            <v>64.710799999999992</v>
          </cell>
          <cell r="AB37">
            <v>58.065399999999997</v>
          </cell>
          <cell r="AC37">
            <v>95.907600000000002</v>
          </cell>
          <cell r="AD37">
            <v>42.9452</v>
          </cell>
          <cell r="AF37">
            <v>1168.1653999999999</v>
          </cell>
          <cell r="AG37">
            <v>600</v>
          </cell>
        </row>
        <row r="38">
          <cell r="A38" t="str">
            <v>1868-Колбаса Филейная ТМ Особый рецепт в оболочке полиамид 0,5 кг.  ПОКОМ</v>
          </cell>
          <cell r="B38" t="str">
            <v>шт</v>
          </cell>
          <cell r="E38">
            <v>-7</v>
          </cell>
          <cell r="G38">
            <v>0.5</v>
          </cell>
          <cell r="H38">
            <v>60</v>
          </cell>
          <cell r="K38">
            <v>-7</v>
          </cell>
          <cell r="N38">
            <v>400</v>
          </cell>
          <cell r="O38">
            <v>-1.4</v>
          </cell>
          <cell r="S38">
            <v>-285.71428571428572</v>
          </cell>
          <cell r="T38">
            <v>-285.71428571428572</v>
          </cell>
          <cell r="U38">
            <v>-0.6</v>
          </cell>
          <cell r="V38">
            <v>-1</v>
          </cell>
          <cell r="W38">
            <v>17.399999999999999</v>
          </cell>
          <cell r="X38">
            <v>18.600000000000001</v>
          </cell>
          <cell r="Y38">
            <v>17.399999999999999</v>
          </cell>
          <cell r="Z38">
            <v>24.8</v>
          </cell>
          <cell r="AA38">
            <v>20.2</v>
          </cell>
          <cell r="AB38">
            <v>24.4</v>
          </cell>
          <cell r="AC38">
            <v>18.2</v>
          </cell>
          <cell r="AD38">
            <v>25.2</v>
          </cell>
          <cell r="AE38" t="str">
            <v>завод не отгружает / мин 200</v>
          </cell>
          <cell r="AF38">
            <v>0</v>
          </cell>
          <cell r="AG38">
            <v>200</v>
          </cell>
        </row>
        <row r="39">
          <cell r="A39" t="str">
            <v>1869-Колбаса Молочная ТМ Особый рецепт в оболочке полиамид большой батон.  ПОКОМ</v>
          </cell>
          <cell r="B39" t="str">
            <v>кг</v>
          </cell>
          <cell r="C39">
            <v>317.37700000000001</v>
          </cell>
          <cell r="D39">
            <v>706.54600000000005</v>
          </cell>
          <cell r="E39">
            <v>403.71100000000001</v>
          </cell>
          <cell r="F39">
            <v>597.39499999999998</v>
          </cell>
          <cell r="G39">
            <v>1</v>
          </cell>
          <cell r="H39">
            <v>60</v>
          </cell>
          <cell r="K39">
            <v>403.71100000000001</v>
          </cell>
          <cell r="N39">
            <v>800</v>
          </cell>
          <cell r="O39">
            <v>80.742199999999997</v>
          </cell>
          <cell r="P39">
            <v>55.964600000000019</v>
          </cell>
          <cell r="S39">
            <v>18</v>
          </cell>
          <cell r="T39">
            <v>17.306872985873557</v>
          </cell>
          <cell r="U39">
            <v>97.954199999999986</v>
          </cell>
          <cell r="V39">
            <v>100.349</v>
          </cell>
          <cell r="W39">
            <v>59.334600000000002</v>
          </cell>
          <cell r="X39">
            <v>78.549799999999991</v>
          </cell>
          <cell r="Y39">
            <v>63.152200000000008</v>
          </cell>
          <cell r="Z39">
            <v>80.092999999999989</v>
          </cell>
          <cell r="AA39">
            <v>87.305800000000005</v>
          </cell>
          <cell r="AB39">
            <v>43.424400000000013</v>
          </cell>
          <cell r="AC39">
            <v>122.80240000000001</v>
          </cell>
          <cell r="AD39">
            <v>82.569600000000008</v>
          </cell>
          <cell r="AF39">
            <v>55.964600000000019</v>
          </cell>
        </row>
        <row r="40">
          <cell r="A40" t="str">
            <v>1870-Колбаса Со шпиком ТМ Особый рецепт в оболочке полиамид большой батон.  ПОКОМ</v>
          </cell>
          <cell r="B40" t="str">
            <v>кг</v>
          </cell>
          <cell r="C40">
            <v>591.87400000000002</v>
          </cell>
          <cell r="D40">
            <v>704.755</v>
          </cell>
          <cell r="E40">
            <v>500.25699999999995</v>
          </cell>
          <cell r="F40">
            <v>761.47800000000007</v>
          </cell>
          <cell r="G40">
            <v>1</v>
          </cell>
          <cell r="H40">
            <v>60</v>
          </cell>
          <cell r="K40">
            <v>500.25699999999995</v>
          </cell>
          <cell r="N40">
            <v>250</v>
          </cell>
          <cell r="O40">
            <v>100.05139999999999</v>
          </cell>
          <cell r="P40">
            <v>789.44719999999961</v>
          </cell>
          <cell r="S40">
            <v>18</v>
          </cell>
          <cell r="T40">
            <v>10.109583673991571</v>
          </cell>
          <cell r="U40">
            <v>47.908200000000001</v>
          </cell>
          <cell r="V40">
            <v>92.847399999999993</v>
          </cell>
          <cell r="W40">
            <v>49.596200000000003</v>
          </cell>
          <cell r="X40">
            <v>60.602400000000003</v>
          </cell>
          <cell r="Y40">
            <v>64.268599999999992</v>
          </cell>
          <cell r="Z40">
            <v>67.176999999999992</v>
          </cell>
          <cell r="AA40">
            <v>61.669400000000003</v>
          </cell>
          <cell r="AB40">
            <v>49.305399999999999</v>
          </cell>
          <cell r="AC40">
            <v>61.301200000000009</v>
          </cell>
          <cell r="AD40">
            <v>118.1164</v>
          </cell>
          <cell r="AF40">
            <v>789.44719999999961</v>
          </cell>
          <cell r="AG40">
            <v>250</v>
          </cell>
        </row>
        <row r="41">
          <cell r="A41" t="str">
            <v>1871-Колбаса Филейная оригинальная ТМ Особый рецепт в оболочке полиамид 0,4 кг.  ПОКОМ</v>
          </cell>
          <cell r="B41" t="str">
            <v>шт</v>
          </cell>
          <cell r="C41">
            <v>400</v>
          </cell>
          <cell r="D41">
            <v>490</v>
          </cell>
          <cell r="E41">
            <v>434</v>
          </cell>
          <cell r="F41">
            <v>427</v>
          </cell>
          <cell r="G41">
            <v>0.4</v>
          </cell>
          <cell r="H41">
            <v>60</v>
          </cell>
          <cell r="K41">
            <v>434</v>
          </cell>
          <cell r="N41">
            <v>500</v>
          </cell>
          <cell r="O41">
            <v>86.8</v>
          </cell>
          <cell r="P41">
            <v>635.39999999999986</v>
          </cell>
          <cell r="S41">
            <v>18</v>
          </cell>
          <cell r="T41">
            <v>10.679723502304148</v>
          </cell>
          <cell r="U41">
            <v>51.4</v>
          </cell>
          <cell r="V41">
            <v>51.4</v>
          </cell>
          <cell r="W41">
            <v>70.400000000000006</v>
          </cell>
          <cell r="X41">
            <v>39.6</v>
          </cell>
          <cell r="Y41">
            <v>63</v>
          </cell>
          <cell r="Z41">
            <v>83.8</v>
          </cell>
          <cell r="AA41">
            <v>27.6</v>
          </cell>
          <cell r="AB41">
            <v>0</v>
          </cell>
          <cell r="AC41">
            <v>-0.6</v>
          </cell>
          <cell r="AD41">
            <v>29.6</v>
          </cell>
          <cell r="AE41" t="str">
            <v>26,02,25 завод не отгрузил 500шт.</v>
          </cell>
          <cell r="AF41">
            <v>254.15999999999997</v>
          </cell>
          <cell r="AG41">
            <v>100</v>
          </cell>
        </row>
        <row r="42">
          <cell r="A42" t="str">
            <v>1875-Колбаса Филейная оригинальная ТМ Особый рецепт в оболочке полиамид.  ПОКОМ</v>
          </cell>
          <cell r="B42" t="str">
            <v>кг</v>
          </cell>
          <cell r="C42">
            <v>847.15</v>
          </cell>
          <cell r="D42">
            <v>708.55799999999999</v>
          </cell>
          <cell r="E42">
            <v>626.34799999999996</v>
          </cell>
          <cell r="F42">
            <v>858.30200000000002</v>
          </cell>
          <cell r="G42">
            <v>1</v>
          </cell>
          <cell r="H42">
            <v>60</v>
          </cell>
          <cell r="K42">
            <v>626.34799999999996</v>
          </cell>
          <cell r="N42">
            <v>700</v>
          </cell>
          <cell r="O42">
            <v>125.2696</v>
          </cell>
          <cell r="P42">
            <v>696.55080000000009</v>
          </cell>
          <cell r="S42">
            <v>18</v>
          </cell>
          <cell r="T42">
            <v>12.439586300267583</v>
          </cell>
          <cell r="U42">
            <v>82.332599999999999</v>
          </cell>
          <cell r="V42">
            <v>110.2586</v>
          </cell>
          <cell r="W42">
            <v>74.565799999999996</v>
          </cell>
          <cell r="X42">
            <v>112.387</v>
          </cell>
          <cell r="Y42">
            <v>76.830799999999996</v>
          </cell>
          <cell r="Z42">
            <v>99.215400000000002</v>
          </cell>
          <cell r="AA42">
            <v>55.567799999999998</v>
          </cell>
          <cell r="AB42">
            <v>8.0313999999999997</v>
          </cell>
          <cell r="AC42">
            <v>121.01779999999999</v>
          </cell>
          <cell r="AD42">
            <v>70.008200000000002</v>
          </cell>
          <cell r="AF42">
            <v>696.55080000000009</v>
          </cell>
        </row>
        <row r="43">
          <cell r="A43" t="str">
            <v>1952-Колбаса Со шпиком ТМ Особый рецепт в оболочке полиамид 0,5 кг.  ПОКОМ</v>
          </cell>
          <cell r="B43" t="str">
            <v>шт</v>
          </cell>
          <cell r="C43">
            <v>282</v>
          </cell>
          <cell r="D43">
            <v>200</v>
          </cell>
          <cell r="E43">
            <v>186</v>
          </cell>
          <cell r="F43">
            <v>292</v>
          </cell>
          <cell r="G43">
            <v>0.5</v>
          </cell>
          <cell r="H43">
            <v>60</v>
          </cell>
          <cell r="K43">
            <v>186</v>
          </cell>
          <cell r="N43">
            <v>200</v>
          </cell>
          <cell r="O43">
            <v>37.200000000000003</v>
          </cell>
          <cell r="P43">
            <v>177.60000000000002</v>
          </cell>
          <cell r="S43">
            <v>18</v>
          </cell>
          <cell r="T43">
            <v>13.225806451612902</v>
          </cell>
          <cell r="U43">
            <v>24</v>
          </cell>
          <cell r="V43">
            <v>30.4</v>
          </cell>
          <cell r="W43">
            <v>34.799999999999997</v>
          </cell>
          <cell r="X43">
            <v>12</v>
          </cell>
          <cell r="Y43">
            <v>30</v>
          </cell>
          <cell r="Z43">
            <v>14.6</v>
          </cell>
          <cell r="AA43">
            <v>14.8</v>
          </cell>
          <cell r="AB43">
            <v>26.4</v>
          </cell>
          <cell r="AC43">
            <v>17.600000000000001</v>
          </cell>
          <cell r="AD43">
            <v>-13</v>
          </cell>
          <cell r="AF43">
            <v>88.800000000000011</v>
          </cell>
        </row>
        <row r="44">
          <cell r="A44" t="str">
            <v>2027 Ветчина Нежная п/а ТМ Особый рецепт шт. 0,4кг</v>
          </cell>
          <cell r="B44" t="str">
            <v>шт</v>
          </cell>
          <cell r="C44">
            <v>250</v>
          </cell>
          <cell r="E44">
            <v>186</v>
          </cell>
          <cell r="F44">
            <v>63</v>
          </cell>
          <cell r="G44">
            <v>0.4</v>
          </cell>
          <cell r="H44">
            <v>50</v>
          </cell>
          <cell r="K44">
            <v>186</v>
          </cell>
          <cell r="N44">
            <v>250</v>
          </cell>
          <cell r="O44">
            <v>37.200000000000003</v>
          </cell>
          <cell r="P44">
            <v>282.20000000000005</v>
          </cell>
          <cell r="S44">
            <v>16</v>
          </cell>
          <cell r="T44">
            <v>8.413978494623656</v>
          </cell>
          <cell r="U44">
            <v>7.2</v>
          </cell>
          <cell r="V44">
            <v>33.6</v>
          </cell>
          <cell r="W44">
            <v>13.8</v>
          </cell>
          <cell r="X44">
            <v>3.6</v>
          </cell>
          <cell r="Y44">
            <v>18</v>
          </cell>
          <cell r="Z44">
            <v>2</v>
          </cell>
          <cell r="AA44">
            <v>14.8</v>
          </cell>
          <cell r="AB44">
            <v>10</v>
          </cell>
          <cell r="AC44">
            <v>12.4</v>
          </cell>
          <cell r="AD44">
            <v>28.8</v>
          </cell>
          <cell r="AF44">
            <v>112.88000000000002</v>
          </cell>
        </row>
        <row r="45">
          <cell r="A45" t="str">
            <v>2074-Сосиски Молочные для завтрака Особый рецепт</v>
          </cell>
          <cell r="B45" t="str">
            <v>кг</v>
          </cell>
          <cell r="C45">
            <v>1329.654</v>
          </cell>
          <cell r="D45">
            <v>1328.9570000000001</v>
          </cell>
          <cell r="E45">
            <v>1544.7</v>
          </cell>
          <cell r="F45">
            <v>1099.703</v>
          </cell>
          <cell r="G45">
            <v>1</v>
          </cell>
          <cell r="H45">
            <v>40</v>
          </cell>
          <cell r="K45">
            <v>1544.7</v>
          </cell>
          <cell r="N45">
            <v>1400</v>
          </cell>
          <cell r="O45">
            <v>308.94</v>
          </cell>
          <cell r="P45">
            <v>2443.337</v>
          </cell>
          <cell r="S45">
            <v>16</v>
          </cell>
          <cell r="T45">
            <v>8.0912248333009646</v>
          </cell>
          <cell r="U45">
            <v>180.2038</v>
          </cell>
          <cell r="V45">
            <v>186.25219999999999</v>
          </cell>
          <cell r="W45">
            <v>170.7062</v>
          </cell>
          <cell r="X45">
            <v>157.10579999999999</v>
          </cell>
          <cell r="Y45">
            <v>121.3802</v>
          </cell>
          <cell r="Z45">
            <v>149.50800000000001</v>
          </cell>
          <cell r="AA45">
            <v>99.543199999999999</v>
          </cell>
          <cell r="AB45">
            <v>122.8976</v>
          </cell>
          <cell r="AC45">
            <v>177.56960000000001</v>
          </cell>
          <cell r="AD45">
            <v>186.5068</v>
          </cell>
          <cell r="AE45" t="str">
            <v>прогноз</v>
          </cell>
          <cell r="AF45">
            <v>2443.337</v>
          </cell>
          <cell r="AG45">
            <v>700</v>
          </cell>
        </row>
        <row r="46">
          <cell r="A46" t="str">
            <v>2094 Вареные колбасы Докторская Дугушка Дугушка Весовые Вектор Стародворье, вес 1кг</v>
          </cell>
          <cell r="B46" t="str">
            <v>кг</v>
          </cell>
          <cell r="E46">
            <v>436.90899999999999</v>
          </cell>
          <cell r="F46">
            <v>467.83399999999995</v>
          </cell>
          <cell r="G46">
            <v>1</v>
          </cell>
          <cell r="H46">
            <v>60</v>
          </cell>
          <cell r="I46" t="str">
            <v>есть дубль</v>
          </cell>
          <cell r="K46">
            <v>436.90899999999999</v>
          </cell>
          <cell r="N46">
            <v>300</v>
          </cell>
          <cell r="O46">
            <v>87.381799999999998</v>
          </cell>
          <cell r="P46">
            <v>717.65660000000014</v>
          </cell>
          <cell r="S46">
            <v>17</v>
          </cell>
          <cell r="T46">
            <v>8.7871158525001771</v>
          </cell>
          <cell r="U46">
            <v>52.2682</v>
          </cell>
          <cell r="V46">
            <v>64.69</v>
          </cell>
          <cell r="W46">
            <v>62.803800000000003</v>
          </cell>
          <cell r="X46">
            <v>53.181800000000003</v>
          </cell>
          <cell r="Y46">
            <v>50.882399999999997</v>
          </cell>
          <cell r="Z46">
            <v>72.921199999999999</v>
          </cell>
          <cell r="AA46">
            <v>35.092599999999997</v>
          </cell>
          <cell r="AB46">
            <v>0</v>
          </cell>
          <cell r="AC46">
            <v>63.048000000000002</v>
          </cell>
          <cell r="AD46">
            <v>34.984400000000008</v>
          </cell>
          <cell r="AE46" t="str">
            <v>пожеланиеи тк</v>
          </cell>
          <cell r="AF46">
            <v>717.65660000000014</v>
          </cell>
          <cell r="AG46">
            <v>200</v>
          </cell>
        </row>
        <row r="47">
          <cell r="A47" t="str">
            <v>2150 В/к колбасы Рубленая Запеченная Дугушка Весовые Вектор Стародворье, вес 1кг</v>
          </cell>
          <cell r="B47" t="str">
            <v>кг</v>
          </cell>
          <cell r="C47">
            <v>539.19100000000003</v>
          </cell>
          <cell r="D47">
            <v>99.866</v>
          </cell>
          <cell r="E47">
            <v>204.715</v>
          </cell>
          <cell r="F47">
            <v>386.9</v>
          </cell>
          <cell r="G47">
            <v>1</v>
          </cell>
          <cell r="H47">
            <v>70</v>
          </cell>
          <cell r="K47">
            <v>204.715</v>
          </cell>
          <cell r="N47">
            <v>200</v>
          </cell>
          <cell r="O47">
            <v>40.942999999999998</v>
          </cell>
          <cell r="P47">
            <v>150.07399999999996</v>
          </cell>
          <cell r="S47">
            <v>18</v>
          </cell>
          <cell r="T47">
            <v>14.334562684708009</v>
          </cell>
          <cell r="U47">
            <v>37.980400000000003</v>
          </cell>
          <cell r="V47">
            <v>41.710799999999992</v>
          </cell>
          <cell r="W47">
            <v>54.906599999999997</v>
          </cell>
          <cell r="X47">
            <v>45.410400000000003</v>
          </cell>
          <cell r="Y47">
            <v>38.8108</v>
          </cell>
          <cell r="Z47">
            <v>48.449599999999997</v>
          </cell>
          <cell r="AA47">
            <v>16.1174</v>
          </cell>
          <cell r="AB47">
            <v>20.751799999999999</v>
          </cell>
          <cell r="AC47">
            <v>45.137800000000013</v>
          </cell>
          <cell r="AD47">
            <v>-7.9296000000000006</v>
          </cell>
          <cell r="AE47" t="str">
            <v>пожеланиеи тк</v>
          </cell>
          <cell r="AF47">
            <v>150.07399999999996</v>
          </cell>
          <cell r="AG47">
            <v>200</v>
          </cell>
        </row>
        <row r="48">
          <cell r="A48" t="str">
            <v>2205-Сосиски Молочные для завтрака ТМ Особый рецепт 0,4кг</v>
          </cell>
          <cell r="B48" t="str">
            <v>шт</v>
          </cell>
          <cell r="C48">
            <v>115</v>
          </cell>
          <cell r="E48">
            <v>56</v>
          </cell>
          <cell r="F48">
            <v>-5</v>
          </cell>
          <cell r="G48">
            <v>0.4</v>
          </cell>
          <cell r="H48">
            <v>40</v>
          </cell>
          <cell r="K48">
            <v>56</v>
          </cell>
          <cell r="N48">
            <v>1250</v>
          </cell>
          <cell r="O48">
            <v>11.2</v>
          </cell>
          <cell r="S48">
            <v>111.16071428571429</v>
          </cell>
          <cell r="T48">
            <v>111.16071428571429</v>
          </cell>
          <cell r="U48">
            <v>162.19999999999999</v>
          </cell>
          <cell r="V48">
            <v>101</v>
          </cell>
          <cell r="W48">
            <v>156.80000000000001</v>
          </cell>
          <cell r="X48">
            <v>131.19999999999999</v>
          </cell>
          <cell r="Y48">
            <v>90.8</v>
          </cell>
          <cell r="Z48">
            <v>120.6</v>
          </cell>
          <cell r="AA48">
            <v>69</v>
          </cell>
          <cell r="AB48">
            <v>90.4</v>
          </cell>
          <cell r="AC48">
            <v>106.2</v>
          </cell>
          <cell r="AD48">
            <v>97</v>
          </cell>
          <cell r="AF48">
            <v>0</v>
          </cell>
          <cell r="AG48">
            <v>400</v>
          </cell>
        </row>
        <row r="49">
          <cell r="A49" t="str">
            <v>2472 Сардельки Левантские Особая Без свинины Весовые NDX мгс Особый рецепт, вес 1кг</v>
          </cell>
          <cell r="B49" t="str">
            <v>кг</v>
          </cell>
          <cell r="C49">
            <v>331.52</v>
          </cell>
          <cell r="E49">
            <v>264.29599999999999</v>
          </cell>
          <cell r="F49">
            <v>-3.7669999999999959</v>
          </cell>
          <cell r="G49">
            <v>1</v>
          </cell>
          <cell r="H49">
            <v>40</v>
          </cell>
          <cell r="K49">
            <v>264.29599999999999</v>
          </cell>
          <cell r="N49">
            <v>300</v>
          </cell>
          <cell r="O49">
            <v>52.859200000000001</v>
          </cell>
          <cell r="P49">
            <v>443.79580000000004</v>
          </cell>
          <cell r="S49">
            <v>14</v>
          </cell>
          <cell r="T49">
            <v>5.6041899990919273</v>
          </cell>
          <cell r="U49">
            <v>80.7958</v>
          </cell>
          <cell r="V49">
            <v>81.067800000000005</v>
          </cell>
          <cell r="W49">
            <v>74.38000000000001</v>
          </cell>
          <cell r="X49">
            <v>66.489400000000003</v>
          </cell>
          <cell r="Y49">
            <v>46.83</v>
          </cell>
          <cell r="Z49">
            <v>73.261200000000002</v>
          </cell>
          <cell r="AA49">
            <v>38.764600000000002</v>
          </cell>
          <cell r="AB49">
            <v>47.242800000000003</v>
          </cell>
          <cell r="AC49">
            <v>86.790400000000005</v>
          </cell>
          <cell r="AD49">
            <v>80.720399999999998</v>
          </cell>
          <cell r="AE49" t="str">
            <v>пожеланиеи тк</v>
          </cell>
          <cell r="AF49">
            <v>443.79580000000004</v>
          </cell>
          <cell r="AG49">
            <v>400</v>
          </cell>
        </row>
        <row r="50">
          <cell r="A50" t="str">
            <v>2634 Колбаса Дугушка Стародворская ТМ Стародворье ТС Дугушка  ПОКОМ</v>
          </cell>
          <cell r="B50" t="str">
            <v>кг</v>
          </cell>
          <cell r="C50">
            <v>608.34299999999996</v>
          </cell>
          <cell r="D50">
            <v>302.351</v>
          </cell>
          <cell r="E50">
            <v>436.90899999999999</v>
          </cell>
          <cell r="F50">
            <v>467.83399999999995</v>
          </cell>
          <cell r="G50">
            <v>0</v>
          </cell>
          <cell r="I50" t="str">
            <v>дубль на 2094</v>
          </cell>
          <cell r="K50">
            <v>436.90899999999999</v>
          </cell>
          <cell r="O50">
            <v>87.381799999999998</v>
          </cell>
          <cell r="S50">
            <v>5.3539066487529432</v>
          </cell>
          <cell r="T50">
            <v>5.3539066487529432</v>
          </cell>
          <cell r="U50">
            <v>0</v>
          </cell>
          <cell r="V50">
            <v>68.954399999999993</v>
          </cell>
          <cell r="W50">
            <v>62.803800000000003</v>
          </cell>
          <cell r="X50">
            <v>53.181800000000003</v>
          </cell>
          <cell r="Y50">
            <v>50.882399999999997</v>
          </cell>
          <cell r="Z50">
            <v>72.921199999999999</v>
          </cell>
          <cell r="AA50">
            <v>35.092599999999997</v>
          </cell>
          <cell r="AB50">
            <v>47.344999999999999</v>
          </cell>
          <cell r="AC50">
            <v>63.048000000000002</v>
          </cell>
          <cell r="AD50">
            <v>34.984400000000008</v>
          </cell>
        </row>
        <row r="51">
          <cell r="A51" t="str">
            <v>Вареные колбасы «Филейская» Весовые Вектор ТМ «Вязанка»  ПОКОМ</v>
          </cell>
          <cell r="B51" t="str">
            <v>кг</v>
          </cell>
          <cell r="C51">
            <v>157.60499999999999</v>
          </cell>
          <cell r="D51">
            <v>107.705</v>
          </cell>
          <cell r="E51">
            <v>142.70599999999999</v>
          </cell>
          <cell r="F51">
            <v>121.232</v>
          </cell>
          <cell r="G51">
            <v>1</v>
          </cell>
          <cell r="H51">
            <v>50</v>
          </cell>
          <cell r="K51">
            <v>142.70599999999999</v>
          </cell>
          <cell r="N51">
            <v>100</v>
          </cell>
          <cell r="O51">
            <v>28.541199999999996</v>
          </cell>
          <cell r="P51">
            <v>235.42719999999994</v>
          </cell>
          <cell r="S51">
            <v>16</v>
          </cell>
          <cell r="T51">
            <v>7.751320897509566</v>
          </cell>
          <cell r="U51">
            <v>13.0962</v>
          </cell>
          <cell r="V51">
            <v>20.655000000000001</v>
          </cell>
          <cell r="W51">
            <v>24.9056</v>
          </cell>
          <cell r="X51">
            <v>2.1402000000000001</v>
          </cell>
          <cell r="Y51">
            <v>12.6754</v>
          </cell>
          <cell r="Z51">
            <v>13.949400000000001</v>
          </cell>
          <cell r="AA51">
            <v>8.5684000000000005</v>
          </cell>
          <cell r="AB51">
            <v>9.5191999999999997</v>
          </cell>
          <cell r="AC51">
            <v>13.788</v>
          </cell>
          <cell r="AD51">
            <v>15.5586</v>
          </cell>
          <cell r="AF51">
            <v>235.42719999999994</v>
          </cell>
        </row>
        <row r="52">
          <cell r="A52" t="str">
            <v>Вареные колбасы «Филейская» Фикс.вес 0,45 Вектор ТМ «Вязанка»  ПОКОМ</v>
          </cell>
          <cell r="B52" t="str">
            <v>шт</v>
          </cell>
          <cell r="C52">
            <v>44</v>
          </cell>
          <cell r="D52">
            <v>780</v>
          </cell>
          <cell r="E52">
            <v>288</v>
          </cell>
          <cell r="F52">
            <v>528</v>
          </cell>
          <cell r="G52">
            <v>0.45</v>
          </cell>
          <cell r="H52">
            <v>50</v>
          </cell>
          <cell r="K52">
            <v>288</v>
          </cell>
          <cell r="N52">
            <v>333.33333333333331</v>
          </cell>
          <cell r="O52">
            <v>57.6</v>
          </cell>
          <cell r="P52">
            <v>175.4666666666667</v>
          </cell>
          <cell r="S52">
            <v>18</v>
          </cell>
          <cell r="T52">
            <v>14.953703703703702</v>
          </cell>
          <cell r="U52">
            <v>35</v>
          </cell>
          <cell r="V52">
            <v>33.4</v>
          </cell>
          <cell r="W52">
            <v>40.6</v>
          </cell>
          <cell r="X52">
            <v>22.6</v>
          </cell>
          <cell r="Y52">
            <v>24.6</v>
          </cell>
          <cell r="Z52">
            <v>28.8</v>
          </cell>
          <cell r="AA52">
            <v>24</v>
          </cell>
          <cell r="AB52">
            <v>33.799999999999997</v>
          </cell>
          <cell r="AC52">
            <v>31.2</v>
          </cell>
          <cell r="AD52">
            <v>35</v>
          </cell>
          <cell r="AF52">
            <v>78.960000000000022</v>
          </cell>
        </row>
        <row r="53">
          <cell r="A53" t="str">
            <v>Вареные колбасы Докторская ГОСТ Вязанка Фикс.вес 0,4 Вектор Вязанка  ПОКОМ</v>
          </cell>
          <cell r="B53" t="str">
            <v>шт</v>
          </cell>
          <cell r="C53">
            <v>556</v>
          </cell>
          <cell r="D53">
            <v>630</v>
          </cell>
          <cell r="E53">
            <v>394</v>
          </cell>
          <cell r="F53">
            <v>783</v>
          </cell>
          <cell r="G53">
            <v>0.4</v>
          </cell>
          <cell r="H53">
            <v>50</v>
          </cell>
          <cell r="K53">
            <v>394</v>
          </cell>
          <cell r="N53">
            <v>625</v>
          </cell>
          <cell r="O53">
            <v>78.8</v>
          </cell>
          <cell r="P53">
            <v>10.399999999999864</v>
          </cell>
          <cell r="S53">
            <v>18</v>
          </cell>
          <cell r="T53">
            <v>17.868020304568528</v>
          </cell>
          <cell r="U53">
            <v>60</v>
          </cell>
          <cell r="V53">
            <v>74.599999999999994</v>
          </cell>
          <cell r="W53">
            <v>25.8</v>
          </cell>
          <cell r="X53">
            <v>46.2</v>
          </cell>
          <cell r="Y53">
            <v>43.4</v>
          </cell>
          <cell r="Z53">
            <v>23.2</v>
          </cell>
          <cell r="AA53">
            <v>34.6</v>
          </cell>
          <cell r="AB53">
            <v>26.6</v>
          </cell>
          <cell r="AC53">
            <v>43.2</v>
          </cell>
          <cell r="AD53">
            <v>71</v>
          </cell>
          <cell r="AF53">
            <v>4.159999999999946</v>
          </cell>
          <cell r="AG53">
            <v>100</v>
          </cell>
        </row>
        <row r="54">
          <cell r="A54" t="str">
            <v>Вареные колбасы Молокуша Вязанка Вес п/а Вязанка  ПОКОМ</v>
          </cell>
          <cell r="B54" t="str">
            <v>кг</v>
          </cell>
          <cell r="C54">
            <v>147.87</v>
          </cell>
          <cell r="D54">
            <v>150.37200000000001</v>
          </cell>
          <cell r="E54">
            <v>130.608</v>
          </cell>
          <cell r="F54">
            <v>167.63399999999999</v>
          </cell>
          <cell r="G54">
            <v>1</v>
          </cell>
          <cell r="H54">
            <v>50</v>
          </cell>
          <cell r="I54" t="str">
            <v>СК4???</v>
          </cell>
          <cell r="K54">
            <v>130.608</v>
          </cell>
          <cell r="N54">
            <v>100</v>
          </cell>
          <cell r="O54">
            <v>26.121600000000001</v>
          </cell>
          <cell r="P54">
            <v>202.55480000000003</v>
          </cell>
          <cell r="S54">
            <v>18</v>
          </cell>
          <cell r="T54">
            <v>10.245697047654049</v>
          </cell>
          <cell r="U54">
            <v>26.289200000000001</v>
          </cell>
          <cell r="V54">
            <v>25.781600000000001</v>
          </cell>
          <cell r="W54">
            <v>21.547599999999999</v>
          </cell>
          <cell r="X54">
            <v>7.4947999999999997</v>
          </cell>
          <cell r="Y54">
            <v>17.145800000000001</v>
          </cell>
          <cell r="Z54">
            <v>15.8568</v>
          </cell>
          <cell r="AA54">
            <v>8.4109999999999996</v>
          </cell>
          <cell r="AB54">
            <v>12.446400000000001</v>
          </cell>
          <cell r="AC54">
            <v>12.026999999999999</v>
          </cell>
          <cell r="AD54">
            <v>24.9512</v>
          </cell>
          <cell r="AE54" t="str">
            <v>СК4???</v>
          </cell>
          <cell r="AF54">
            <v>202.55480000000003</v>
          </cell>
        </row>
        <row r="55">
          <cell r="A55" t="str">
            <v>Вареные колбасы Сливушка Вязанка Фикс.вес 0,45 П/а Вязанка  ПОКОМ</v>
          </cell>
          <cell r="B55" t="str">
            <v>шт</v>
          </cell>
          <cell r="C55">
            <v>579</v>
          </cell>
          <cell r="D55">
            <v>230</v>
          </cell>
          <cell r="E55">
            <v>657</v>
          </cell>
          <cell r="F55">
            <v>138</v>
          </cell>
          <cell r="G55">
            <v>0.45</v>
          </cell>
          <cell r="H55">
            <v>50</v>
          </cell>
          <cell r="K55">
            <v>657</v>
          </cell>
          <cell r="N55">
            <v>444.44444444444451</v>
          </cell>
          <cell r="O55">
            <v>131.4</v>
          </cell>
          <cell r="P55">
            <v>994.35555555555561</v>
          </cell>
          <cell r="S55">
            <v>12</v>
          </cell>
          <cell r="T55">
            <v>4.4326061221038398</v>
          </cell>
          <cell r="U55">
            <v>84.8</v>
          </cell>
          <cell r="V55">
            <v>121</v>
          </cell>
          <cell r="W55">
            <v>86.2</v>
          </cell>
          <cell r="X55">
            <v>103.2</v>
          </cell>
          <cell r="Y55">
            <v>25.4</v>
          </cell>
          <cell r="Z55">
            <v>55.8</v>
          </cell>
          <cell r="AA55">
            <v>68</v>
          </cell>
          <cell r="AB55">
            <v>65.2</v>
          </cell>
          <cell r="AC55">
            <v>53.2</v>
          </cell>
          <cell r="AD55">
            <v>106.2</v>
          </cell>
          <cell r="AE55" t="str">
            <v>пожеланиеи тк</v>
          </cell>
          <cell r="AF55">
            <v>447.46000000000004</v>
          </cell>
          <cell r="AG55">
            <v>200</v>
          </cell>
        </row>
        <row r="56">
          <cell r="A56" t="str">
            <v>С/к колбасы Баварская Бавария Фикс.вес 0,17 б/о терм/п Стародворье</v>
          </cell>
          <cell r="B56" t="str">
            <v>шт</v>
          </cell>
          <cell r="C56">
            <v>300</v>
          </cell>
          <cell r="E56">
            <v>138</v>
          </cell>
          <cell r="F56">
            <v>162</v>
          </cell>
          <cell r="G56">
            <v>0.17</v>
          </cell>
          <cell r="H56">
            <v>180</v>
          </cell>
          <cell r="K56">
            <v>138</v>
          </cell>
          <cell r="N56">
            <v>294.11764705882348</v>
          </cell>
          <cell r="O56">
            <v>27.6</v>
          </cell>
          <cell r="P56">
            <v>40.682352941176532</v>
          </cell>
          <cell r="S56">
            <v>18</v>
          </cell>
          <cell r="T56">
            <v>16.526001705029834</v>
          </cell>
          <cell r="U56">
            <v>8.4</v>
          </cell>
          <cell r="V56">
            <v>11</v>
          </cell>
          <cell r="W56">
            <v>8.6</v>
          </cell>
          <cell r="X56">
            <v>10.6</v>
          </cell>
          <cell r="Y56">
            <v>6.6</v>
          </cell>
          <cell r="Z56">
            <v>16</v>
          </cell>
          <cell r="AA56">
            <v>13</v>
          </cell>
          <cell r="AB56">
            <v>6</v>
          </cell>
          <cell r="AC56">
            <v>7.2</v>
          </cell>
          <cell r="AD56">
            <v>11.4</v>
          </cell>
          <cell r="AF56">
            <v>6.916000000000011</v>
          </cell>
        </row>
        <row r="57">
          <cell r="A57" t="str">
            <v>С/к колбасы Швейцарская Бордо Фикс.вес 0,17 Фиброуз терм/п Стародворье</v>
          </cell>
          <cell r="B57" t="str">
            <v>шт</v>
          </cell>
          <cell r="C57">
            <v>206</v>
          </cell>
          <cell r="E57">
            <v>31</v>
          </cell>
          <cell r="F57">
            <v>30</v>
          </cell>
          <cell r="G57">
            <v>0.17</v>
          </cell>
          <cell r="H57">
            <v>180</v>
          </cell>
          <cell r="K57">
            <v>31</v>
          </cell>
          <cell r="N57">
            <v>294.11764705882348</v>
          </cell>
          <cell r="O57">
            <v>6.2</v>
          </cell>
          <cell r="S57">
            <v>52.277039848197333</v>
          </cell>
          <cell r="T57">
            <v>52.277039848197333</v>
          </cell>
          <cell r="U57">
            <v>12</v>
          </cell>
          <cell r="V57">
            <v>6.8</v>
          </cell>
          <cell r="W57">
            <v>14</v>
          </cell>
          <cell r="X57">
            <v>16.600000000000001</v>
          </cell>
          <cell r="Y57">
            <v>26.4</v>
          </cell>
          <cell r="Z57">
            <v>16.399999999999999</v>
          </cell>
          <cell r="AA57">
            <v>19.600000000000001</v>
          </cell>
          <cell r="AB57">
            <v>0</v>
          </cell>
          <cell r="AC57">
            <v>34</v>
          </cell>
          <cell r="AD57">
            <v>0</v>
          </cell>
          <cell r="AF57">
            <v>0</v>
          </cell>
        </row>
        <row r="58">
          <cell r="A58" t="str">
            <v>БОНУС_0178 Ветчины Нежная Особая Особая Весовые П/а Особый рецепт большой батон  ПОКОМ</v>
          </cell>
          <cell r="B58" t="str">
            <v>кг</v>
          </cell>
          <cell r="C58">
            <v>-7.5759999999999996</v>
          </cell>
          <cell r="E58">
            <v>90.941000000000003</v>
          </cell>
          <cell r="F58">
            <v>-98.516999999999996</v>
          </cell>
          <cell r="G58">
            <v>0</v>
          </cell>
          <cell r="I58" t="str">
            <v>бонус</v>
          </cell>
          <cell r="K58">
            <v>90.941000000000003</v>
          </cell>
          <cell r="O58">
            <v>18.188200000000002</v>
          </cell>
          <cell r="S58">
            <v>-5.4165337966373794</v>
          </cell>
          <cell r="T58">
            <v>-5.4165337966373794</v>
          </cell>
          <cell r="U58">
            <v>0</v>
          </cell>
          <cell r="V58">
            <v>10.5002</v>
          </cell>
          <cell r="W58">
            <v>7.4804000000000004</v>
          </cell>
          <cell r="X58">
            <v>10.991199999999999</v>
          </cell>
          <cell r="Y58">
            <v>10.4558</v>
          </cell>
          <cell r="Z58">
            <v>22.629000000000001</v>
          </cell>
          <cell r="AA58">
            <v>11.0336</v>
          </cell>
          <cell r="AB58">
            <v>5.0026000000000002</v>
          </cell>
          <cell r="AC58">
            <v>19.802800000000001</v>
          </cell>
          <cell r="AD58">
            <v>14.9948</v>
          </cell>
        </row>
        <row r="59">
          <cell r="A59" t="str">
            <v>БОНУС_0222-Ветчины Дугушка Дугушка б/о Стародворье, 1кг</v>
          </cell>
          <cell r="B59" t="str">
            <v>кг</v>
          </cell>
          <cell r="E59">
            <v>24.686</v>
          </cell>
          <cell r="F59">
            <v>-24.686</v>
          </cell>
          <cell r="G59">
            <v>0</v>
          </cell>
          <cell r="I59" t="str">
            <v>бонус</v>
          </cell>
          <cell r="K59">
            <v>24.686</v>
          </cell>
          <cell r="O59">
            <v>4.9371999999999998</v>
          </cell>
          <cell r="S59">
            <v>-5</v>
          </cell>
          <cell r="T59">
            <v>-5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БОНУС_1120 В/к колбасы Сервелат Запеченный Дугушка Вес Вектор Стародворье, вес 1кг</v>
          </cell>
          <cell r="B60" t="str">
            <v>кг</v>
          </cell>
          <cell r="E60">
            <v>58.853000000000002</v>
          </cell>
          <cell r="F60">
            <v>-58.853000000000002</v>
          </cell>
          <cell r="G60">
            <v>0</v>
          </cell>
          <cell r="I60" t="str">
            <v>бонус</v>
          </cell>
          <cell r="K60">
            <v>58.853000000000002</v>
          </cell>
          <cell r="O60">
            <v>11.7706</v>
          </cell>
          <cell r="S60">
            <v>-5</v>
          </cell>
          <cell r="T60">
            <v>-5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БОНУС_1201 В/к колбасы Сервелат Мясорубский с мелкорубленным окороком Бордо Весовой фиброуз Стародворье  ПОКОМ</v>
          </cell>
          <cell r="B61" t="str">
            <v>кг</v>
          </cell>
          <cell r="E61">
            <v>15.138</v>
          </cell>
          <cell r="F61">
            <v>-15.138</v>
          </cell>
          <cell r="G61">
            <v>0</v>
          </cell>
          <cell r="I61" t="str">
            <v>бонус</v>
          </cell>
          <cell r="K61">
            <v>15.138</v>
          </cell>
          <cell r="O61">
            <v>3.0276000000000001</v>
          </cell>
          <cell r="S61">
            <v>-5</v>
          </cell>
          <cell r="T61">
            <v>-5</v>
          </cell>
          <cell r="U61">
            <v>0</v>
          </cell>
          <cell r="V61">
            <v>0</v>
          </cell>
          <cell r="W61">
            <v>2.0068000000000001</v>
          </cell>
          <cell r="X61">
            <v>1.4366000000000001</v>
          </cell>
          <cell r="Y61">
            <v>0.14319999999999999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БОНУС_1204 Копченые колбасы Салями Мясорубская с рубленым шпиком Бордо Весовой фиброуз Стародворье  ПОКОМ</v>
          </cell>
          <cell r="B62" t="str">
            <v>кг</v>
          </cell>
          <cell r="E62">
            <v>18.126000000000001</v>
          </cell>
          <cell r="F62">
            <v>-21.001000000000001</v>
          </cell>
          <cell r="G62">
            <v>0</v>
          </cell>
          <cell r="I62" t="str">
            <v>бонус</v>
          </cell>
          <cell r="K62">
            <v>18.126000000000001</v>
          </cell>
          <cell r="O62">
            <v>3.6252000000000004</v>
          </cell>
          <cell r="S62">
            <v>-5.7930596932583027</v>
          </cell>
          <cell r="T62">
            <v>-5.7930596932583027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A63" t="str">
            <v>БОНУС_1205 Копченые колбасы Салями Мясорубская с рубленым шпиком срез Бордо ф/в 0,35 фиброуз Стародворье</v>
          </cell>
          <cell r="B63" t="str">
            <v>шт</v>
          </cell>
          <cell r="E63">
            <v>69</v>
          </cell>
          <cell r="F63">
            <v>-77</v>
          </cell>
          <cell r="G63">
            <v>0</v>
          </cell>
          <cell r="I63" t="str">
            <v>бонус</v>
          </cell>
          <cell r="K63">
            <v>69</v>
          </cell>
          <cell r="O63">
            <v>13.8</v>
          </cell>
          <cell r="S63">
            <v>-5.5797101449275361</v>
          </cell>
          <cell r="T63">
            <v>-5.5797101449275361</v>
          </cell>
          <cell r="U63">
            <v>0</v>
          </cell>
          <cell r="V63">
            <v>6</v>
          </cell>
          <cell r="W63">
            <v>12</v>
          </cell>
          <cell r="X63">
            <v>2.2000000000000002</v>
          </cell>
          <cell r="Y63">
            <v>3.4</v>
          </cell>
          <cell r="Z63">
            <v>10.8</v>
          </cell>
          <cell r="AA63">
            <v>2.4</v>
          </cell>
          <cell r="AB63">
            <v>6.6</v>
          </cell>
          <cell r="AC63">
            <v>6.8</v>
          </cell>
          <cell r="AD63">
            <v>0</v>
          </cell>
        </row>
        <row r="64">
          <cell r="A64" t="str">
            <v>БОНУС_1314-Сосиски Молокуши миникушай Вязанка Ф/в 0,45 амилюкс мгс Вязанка</v>
          </cell>
          <cell r="B64" t="str">
            <v>шт</v>
          </cell>
          <cell r="E64">
            <v>3</v>
          </cell>
          <cell r="F64">
            <v>-3</v>
          </cell>
          <cell r="G64">
            <v>0</v>
          </cell>
          <cell r="I64" t="str">
            <v>бонус</v>
          </cell>
          <cell r="K64">
            <v>3</v>
          </cell>
          <cell r="O64">
            <v>0.6</v>
          </cell>
          <cell r="S64">
            <v>-5</v>
          </cell>
          <cell r="T64">
            <v>-5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БОНУС_1370-Сосиски Сочинки Бордо Весовой п/а Стародворье</v>
          </cell>
          <cell r="B65" t="str">
            <v>кг</v>
          </cell>
          <cell r="E65">
            <v>44.616999999999997</v>
          </cell>
          <cell r="F65">
            <v>-44.616999999999997</v>
          </cell>
          <cell r="G65">
            <v>0</v>
          </cell>
          <cell r="I65" t="str">
            <v>бонус</v>
          </cell>
          <cell r="K65">
            <v>44.616999999999997</v>
          </cell>
          <cell r="O65">
            <v>8.9233999999999991</v>
          </cell>
          <cell r="S65">
            <v>-5</v>
          </cell>
          <cell r="T65">
            <v>-5</v>
          </cell>
          <cell r="U65">
            <v>0</v>
          </cell>
          <cell r="V65">
            <v>0.87520000000000009</v>
          </cell>
          <cell r="W65">
            <v>7.6360000000000001</v>
          </cell>
          <cell r="X65">
            <v>2.0653999999999999</v>
          </cell>
          <cell r="Y65">
            <v>1.1768000000000001</v>
          </cell>
          <cell r="Z65">
            <v>6.3356000000000003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БОНУС_1372-Сосиски Сочинки с сочным окороком Бордо Фикс.вес 0,4 П/а мгс Стародворье</v>
          </cell>
          <cell r="B66" t="str">
            <v>шт</v>
          </cell>
          <cell r="E66">
            <v>33</v>
          </cell>
          <cell r="F66">
            <v>-33</v>
          </cell>
          <cell r="G66">
            <v>0</v>
          </cell>
          <cell r="I66" t="str">
            <v>бонус</v>
          </cell>
          <cell r="K66">
            <v>33</v>
          </cell>
          <cell r="O66">
            <v>6.6</v>
          </cell>
          <cell r="S66">
            <v>-5</v>
          </cell>
          <cell r="T66">
            <v>-5</v>
          </cell>
          <cell r="U66">
            <v>0</v>
          </cell>
          <cell r="V66">
            <v>1.8</v>
          </cell>
          <cell r="W66">
            <v>4.4000000000000004</v>
          </cell>
          <cell r="X66">
            <v>10.199999999999999</v>
          </cell>
          <cell r="Y66">
            <v>1.8</v>
          </cell>
          <cell r="Z66">
            <v>4.5999999999999996</v>
          </cell>
          <cell r="AA66">
            <v>5.4</v>
          </cell>
          <cell r="AB66">
            <v>6.8</v>
          </cell>
          <cell r="AC66">
            <v>5.2</v>
          </cell>
          <cell r="AD66">
            <v>6.4</v>
          </cell>
        </row>
        <row r="67">
          <cell r="A67" t="str">
            <v>БОНУС_1411 Сосиски «Сочинки Сливочные» Весовые ТМ «Стародворье» 1,35 кг  ПОКОМ</v>
          </cell>
          <cell r="B67" t="str">
            <v>кг</v>
          </cell>
          <cell r="C67">
            <v>-1.343</v>
          </cell>
          <cell r="F67">
            <v>-1.343</v>
          </cell>
          <cell r="G67">
            <v>0</v>
          </cell>
          <cell r="I67" t="str">
            <v>бонус</v>
          </cell>
          <cell r="K67">
            <v>0</v>
          </cell>
          <cell r="O67">
            <v>0</v>
          </cell>
          <cell r="S67" t="e">
            <v>#DIV/0!</v>
          </cell>
          <cell r="T67" t="e">
            <v>#DIV/0!</v>
          </cell>
          <cell r="U67">
            <v>0</v>
          </cell>
          <cell r="V67">
            <v>1.6093999999999999</v>
          </cell>
          <cell r="W67">
            <v>3.2229999999999999</v>
          </cell>
          <cell r="X67">
            <v>5.2504</v>
          </cell>
          <cell r="Y67">
            <v>2.7080000000000002</v>
          </cell>
          <cell r="Z67">
            <v>5.9413999999999998</v>
          </cell>
          <cell r="AA67">
            <v>2.9916</v>
          </cell>
          <cell r="AB67">
            <v>4.6656000000000004</v>
          </cell>
          <cell r="AC67">
            <v>4.0814000000000004</v>
          </cell>
          <cell r="AD67">
            <v>2.9445999999999999</v>
          </cell>
        </row>
        <row r="68">
          <cell r="A68" t="str">
            <v>БОНУС_1444 Сосиски «Сочные без свинины» ф/в 0,4 кг ТМ «Особый рецепт»  ПОКОМ</v>
          </cell>
          <cell r="B68" t="str">
            <v>шт</v>
          </cell>
          <cell r="C68">
            <v>-31</v>
          </cell>
          <cell r="E68">
            <v>51</v>
          </cell>
          <cell r="F68">
            <v>-83</v>
          </cell>
          <cell r="G68">
            <v>0</v>
          </cell>
          <cell r="I68" t="str">
            <v>бонус</v>
          </cell>
          <cell r="K68">
            <v>51</v>
          </cell>
          <cell r="O68">
            <v>10.199999999999999</v>
          </cell>
          <cell r="S68">
            <v>-8.1372549019607856</v>
          </cell>
          <cell r="T68">
            <v>-8.1372549019607856</v>
          </cell>
          <cell r="U68">
            <v>0</v>
          </cell>
          <cell r="V68">
            <v>8.6</v>
          </cell>
          <cell r="W68">
            <v>7.2</v>
          </cell>
          <cell r="X68">
            <v>3</v>
          </cell>
          <cell r="Y68">
            <v>5.2</v>
          </cell>
          <cell r="Z68">
            <v>1.4</v>
          </cell>
          <cell r="AA68">
            <v>2</v>
          </cell>
          <cell r="AB68">
            <v>6</v>
          </cell>
          <cell r="AC68">
            <v>5.6</v>
          </cell>
          <cell r="AD68">
            <v>4.4000000000000004</v>
          </cell>
        </row>
        <row r="69">
          <cell r="A69" t="str">
            <v>БОНУС_1523-Сосиски Вязанка Молочные ТМ Стародворские колбасы</v>
          </cell>
          <cell r="B69" t="str">
            <v>кг</v>
          </cell>
          <cell r="E69">
            <v>1.3879999999999999</v>
          </cell>
          <cell r="F69">
            <v>-1.3879999999999999</v>
          </cell>
          <cell r="G69">
            <v>0</v>
          </cell>
          <cell r="I69" t="str">
            <v>бонус</v>
          </cell>
          <cell r="K69">
            <v>1.3879999999999999</v>
          </cell>
          <cell r="O69">
            <v>0.27759999999999996</v>
          </cell>
          <cell r="S69">
            <v>-5</v>
          </cell>
          <cell r="T69">
            <v>-5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БОНУС_1867-Колбаса Филейная ТМ Особый рецепт в оболочке полиамид большой батон.  ПОКОМ</v>
          </cell>
          <cell r="B70" t="str">
            <v>кг</v>
          </cell>
          <cell r="C70">
            <v>-49.033000000000001</v>
          </cell>
          <cell r="E70">
            <v>96.915999999999997</v>
          </cell>
          <cell r="F70">
            <v>-145.94900000000001</v>
          </cell>
          <cell r="G70">
            <v>0</v>
          </cell>
          <cell r="I70" t="str">
            <v>бонус</v>
          </cell>
          <cell r="K70">
            <v>96.915999999999997</v>
          </cell>
          <cell r="O70">
            <v>19.383199999999999</v>
          </cell>
          <cell r="S70">
            <v>-7.529664864418673</v>
          </cell>
          <cell r="T70">
            <v>-7.529664864418673</v>
          </cell>
          <cell r="U70">
            <v>0</v>
          </cell>
          <cell r="V70">
            <v>12.347200000000001</v>
          </cell>
          <cell r="W70">
            <v>5.3330000000000002</v>
          </cell>
          <cell r="X70">
            <v>4.9744000000000002</v>
          </cell>
          <cell r="Y70">
            <v>7.9537999999999993</v>
          </cell>
          <cell r="Z70">
            <v>3.4238</v>
          </cell>
          <cell r="AA70">
            <v>4.4067999999999996</v>
          </cell>
          <cell r="AB70">
            <v>8.9141999999999992</v>
          </cell>
          <cell r="AC70">
            <v>5.4630000000000001</v>
          </cell>
          <cell r="AD70">
            <v>0</v>
          </cell>
        </row>
        <row r="71">
          <cell r="A71" t="str">
            <v>БОНУС_1869-Колбаса Молочная ТМ Особый рецепт в оболочке полиамид большой батон.  ПОКОМ</v>
          </cell>
          <cell r="B71" t="str">
            <v>кг</v>
          </cell>
          <cell r="C71">
            <v>-10.183999999999999</v>
          </cell>
          <cell r="F71">
            <v>-12.663</v>
          </cell>
          <cell r="G71">
            <v>0</v>
          </cell>
          <cell r="I71" t="str">
            <v>бонус</v>
          </cell>
          <cell r="K71">
            <v>0</v>
          </cell>
          <cell r="O71">
            <v>0</v>
          </cell>
          <cell r="S71" t="e">
            <v>#DIV/0!</v>
          </cell>
          <cell r="T71" t="e">
            <v>#DIV/0!</v>
          </cell>
          <cell r="U71">
            <v>0</v>
          </cell>
          <cell r="V71">
            <v>7.8874000000000004</v>
          </cell>
          <cell r="W71">
            <v>7.6665999999999999</v>
          </cell>
          <cell r="X71">
            <v>7.2304000000000004</v>
          </cell>
          <cell r="Y71">
            <v>7.4055999999999997</v>
          </cell>
          <cell r="Z71">
            <v>3.9510000000000001</v>
          </cell>
          <cell r="AA71">
            <v>11.465999999999999</v>
          </cell>
          <cell r="AB71">
            <v>4.4833999999999996</v>
          </cell>
          <cell r="AC71">
            <v>13.9094</v>
          </cell>
          <cell r="AD71">
            <v>4.4359999999999999</v>
          </cell>
        </row>
        <row r="72">
          <cell r="A72" t="str">
            <v>БОНУС_1870-Колбаса Со шпиком ТМ Особый рецепт в оболочке полиамид большой батон.  ПОКОМ</v>
          </cell>
          <cell r="B72" t="str">
            <v>кг</v>
          </cell>
          <cell r="C72">
            <v>-9.9619999999999997</v>
          </cell>
          <cell r="E72">
            <v>84.231999999999999</v>
          </cell>
          <cell r="F72">
            <v>-94.194000000000003</v>
          </cell>
          <cell r="G72">
            <v>0</v>
          </cell>
          <cell r="I72" t="str">
            <v>бонус</v>
          </cell>
          <cell r="K72">
            <v>84.231999999999999</v>
          </cell>
          <cell r="O72">
            <v>16.846399999999999</v>
          </cell>
          <cell r="S72">
            <v>-5.5913429575458267</v>
          </cell>
          <cell r="T72">
            <v>-5.5913429575458267</v>
          </cell>
          <cell r="U72">
            <v>0</v>
          </cell>
          <cell r="V72">
            <v>5.4776000000000007</v>
          </cell>
          <cell r="W72">
            <v>3.4407999999999999</v>
          </cell>
          <cell r="X72">
            <v>13.021800000000001</v>
          </cell>
          <cell r="Y72">
            <v>2.9964</v>
          </cell>
          <cell r="Z72">
            <v>2.4929999999999999</v>
          </cell>
          <cell r="AA72">
            <v>1.9890000000000001</v>
          </cell>
          <cell r="AB72">
            <v>2.0142000000000002</v>
          </cell>
          <cell r="AC72">
            <v>1.9912000000000001</v>
          </cell>
          <cell r="AD72">
            <v>16.973199999999999</v>
          </cell>
        </row>
        <row r="73">
          <cell r="A73" t="str">
            <v>БОНУС_1871-Колбаса Филейная оригинальная ТМ Особый рецепт в оболочке полиамид 0,4 кг.  ПОКОМ</v>
          </cell>
          <cell r="B73" t="str">
            <v>шт</v>
          </cell>
          <cell r="C73">
            <v>-15</v>
          </cell>
          <cell r="E73">
            <v>53</v>
          </cell>
          <cell r="F73">
            <v>-68</v>
          </cell>
          <cell r="G73">
            <v>0</v>
          </cell>
          <cell r="I73" t="str">
            <v>бонус</v>
          </cell>
          <cell r="K73">
            <v>53</v>
          </cell>
          <cell r="O73">
            <v>10.6</v>
          </cell>
          <cell r="S73">
            <v>-6.4150943396226419</v>
          </cell>
          <cell r="T73">
            <v>-6.4150943396226419</v>
          </cell>
          <cell r="U73">
            <v>0</v>
          </cell>
          <cell r="V73">
            <v>5</v>
          </cell>
          <cell r="W73">
            <v>8.6</v>
          </cell>
          <cell r="X73">
            <v>6.6</v>
          </cell>
          <cell r="Y73">
            <v>8</v>
          </cell>
          <cell r="Z73">
            <v>12.2</v>
          </cell>
          <cell r="AA73">
            <v>3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БОНУС_1875-Колбаса Филейная оригинальная ТМ Особый рецепт в оболочке полиамид.  ПОКОМ</v>
          </cell>
          <cell r="B74" t="str">
            <v>кг</v>
          </cell>
          <cell r="C74">
            <v>-19.308</v>
          </cell>
          <cell r="E74">
            <v>90.694999999999993</v>
          </cell>
          <cell r="F74">
            <v>-117.202</v>
          </cell>
          <cell r="G74">
            <v>0</v>
          </cell>
          <cell r="I74" t="str">
            <v>бонус</v>
          </cell>
          <cell r="K74">
            <v>90.694999999999993</v>
          </cell>
          <cell r="O74">
            <v>18.138999999999999</v>
          </cell>
          <cell r="S74">
            <v>-6.4613264237278791</v>
          </cell>
          <cell r="T74">
            <v>-6.4613264237278791</v>
          </cell>
          <cell r="U74">
            <v>0</v>
          </cell>
          <cell r="V74">
            <v>13</v>
          </cell>
          <cell r="W74">
            <v>9.3338000000000001</v>
          </cell>
          <cell r="X74">
            <v>18.312799999999999</v>
          </cell>
          <cell r="Y74">
            <v>12.049200000000001</v>
          </cell>
          <cell r="Z74">
            <v>13.3436</v>
          </cell>
          <cell r="AA74">
            <v>7.2173999999999996</v>
          </cell>
          <cell r="AB74">
            <v>0.48299999999999998</v>
          </cell>
          <cell r="AC74">
            <v>17.837</v>
          </cell>
          <cell r="AD74">
            <v>9.6815999999999995</v>
          </cell>
        </row>
        <row r="75">
          <cell r="A75" t="str">
            <v>БОНУС_2074-Сосиски Молочные для завтрака Особый рецепт</v>
          </cell>
          <cell r="B75" t="str">
            <v>кг</v>
          </cell>
          <cell r="E75">
            <v>188.94</v>
          </cell>
          <cell r="F75">
            <v>-190.411</v>
          </cell>
          <cell r="G75">
            <v>0</v>
          </cell>
          <cell r="I75" t="str">
            <v>бонус</v>
          </cell>
          <cell r="K75">
            <v>188.94</v>
          </cell>
          <cell r="O75">
            <v>37.787999999999997</v>
          </cell>
          <cell r="S75">
            <v>-5.0389277019159531</v>
          </cell>
          <cell r="T75">
            <v>-5.0389277019159531</v>
          </cell>
          <cell r="U75">
            <v>0</v>
          </cell>
          <cell r="V75">
            <v>5.2573999999999996</v>
          </cell>
          <cell r="W75">
            <v>15.815200000000001</v>
          </cell>
          <cell r="X75">
            <v>21.065799999999999</v>
          </cell>
          <cell r="Y75">
            <v>10.9794</v>
          </cell>
          <cell r="Z75">
            <v>13.3108</v>
          </cell>
          <cell r="AA75">
            <v>12.0562</v>
          </cell>
          <cell r="AB75">
            <v>18.241599999999998</v>
          </cell>
          <cell r="AC75">
            <v>17.868400000000001</v>
          </cell>
          <cell r="AD75">
            <v>22.340199999999999</v>
          </cell>
        </row>
        <row r="76">
          <cell r="A76" t="str">
            <v>БОНУС_2150 В/к колбасы Рубленая Запеченная Дугушка Весовые Вектор Стародворье, вес 1кг</v>
          </cell>
          <cell r="B76" t="str">
            <v>кг</v>
          </cell>
          <cell r="C76">
            <v>-39.283000000000001</v>
          </cell>
          <cell r="F76">
            <v>-39.283000000000001</v>
          </cell>
          <cell r="G76">
            <v>0</v>
          </cell>
          <cell r="I76" t="str">
            <v>бонус</v>
          </cell>
          <cell r="K76">
            <v>0</v>
          </cell>
          <cell r="O76">
            <v>0</v>
          </cell>
          <cell r="S76" t="e">
            <v>#DIV/0!</v>
          </cell>
          <cell r="T76" t="e">
            <v>#DIV/0!</v>
          </cell>
          <cell r="U76">
            <v>0</v>
          </cell>
          <cell r="V76">
            <v>19.979199999999999</v>
          </cell>
          <cell r="W76">
            <v>27.705200000000001</v>
          </cell>
          <cell r="X76">
            <v>25.145</v>
          </cell>
          <cell r="Y76">
            <v>14.2204</v>
          </cell>
          <cell r="Z76">
            <v>16.2728</v>
          </cell>
          <cell r="AA76">
            <v>3.6789999999999998</v>
          </cell>
          <cell r="AB76">
            <v>11.067</v>
          </cell>
          <cell r="AC76">
            <v>14.423400000000001</v>
          </cell>
          <cell r="AD76">
            <v>0</v>
          </cell>
        </row>
        <row r="77">
          <cell r="A77" t="str">
            <v>БОНУС_2205-Сосиски Молочные для завтрака ТМ Особый рецепт 0,4кг</v>
          </cell>
          <cell r="B77" t="str">
            <v>шт</v>
          </cell>
          <cell r="C77">
            <v>-37</v>
          </cell>
          <cell r="E77">
            <v>4</v>
          </cell>
          <cell r="F77">
            <v>-43</v>
          </cell>
          <cell r="G77">
            <v>0</v>
          </cell>
          <cell r="I77" t="str">
            <v>бонус</v>
          </cell>
          <cell r="K77">
            <v>4</v>
          </cell>
          <cell r="O77">
            <v>0.8</v>
          </cell>
          <cell r="S77">
            <v>-53.75</v>
          </cell>
          <cell r="T77">
            <v>-53.75</v>
          </cell>
          <cell r="U77">
            <v>0</v>
          </cell>
          <cell r="V77">
            <v>4.4000000000000004</v>
          </cell>
          <cell r="W77">
            <v>19.600000000000001</v>
          </cell>
          <cell r="X77">
            <v>19.600000000000001</v>
          </cell>
          <cell r="Y77">
            <v>8</v>
          </cell>
          <cell r="Z77">
            <v>16.2</v>
          </cell>
          <cell r="AA77">
            <v>8</v>
          </cell>
          <cell r="AB77">
            <v>13</v>
          </cell>
          <cell r="AC77">
            <v>10.8</v>
          </cell>
          <cell r="AD77">
            <v>9</v>
          </cell>
        </row>
        <row r="78">
          <cell r="A78" t="str">
            <v>БОНУС_2472 Сардельки Левантские Особая Без свинины Весовые NDX мгс Особый рецепт, вес 1кг</v>
          </cell>
          <cell r="B78" t="str">
            <v>кг</v>
          </cell>
          <cell r="C78">
            <v>-24.094000000000001</v>
          </cell>
          <cell r="E78">
            <v>28.402000000000001</v>
          </cell>
          <cell r="F78">
            <v>-55.488999999999997</v>
          </cell>
          <cell r="G78">
            <v>0</v>
          </cell>
          <cell r="I78" t="str">
            <v>бонус</v>
          </cell>
          <cell r="K78">
            <v>28.402000000000001</v>
          </cell>
          <cell r="O78">
            <v>5.6804000000000006</v>
          </cell>
          <cell r="S78">
            <v>-9.7685022181536496</v>
          </cell>
          <cell r="T78">
            <v>-9.7685022181536496</v>
          </cell>
          <cell r="U78">
            <v>0</v>
          </cell>
          <cell r="V78">
            <v>6.6953999999999994</v>
          </cell>
          <cell r="W78">
            <v>11.3028</v>
          </cell>
          <cell r="X78">
            <v>11.3172</v>
          </cell>
          <cell r="Y78">
            <v>5.9720000000000004</v>
          </cell>
          <cell r="Z78">
            <v>7.8287999999999993</v>
          </cell>
          <cell r="AA78">
            <v>4.6551999999999998</v>
          </cell>
          <cell r="AB78">
            <v>8.1468000000000007</v>
          </cell>
          <cell r="AC78">
            <v>12.829599999999999</v>
          </cell>
          <cell r="AD78">
            <v>8.9871999999999996</v>
          </cell>
        </row>
        <row r="79">
          <cell r="A79" t="str">
            <v>БОНУС_2634 Колбаса Дугушка Стародворская ТМ Стародворье ТС Дугушка  ПОКОМ</v>
          </cell>
          <cell r="B79" t="str">
            <v>кг</v>
          </cell>
          <cell r="E79">
            <v>66.340999999999994</v>
          </cell>
          <cell r="F79">
            <v>-66.340999999999994</v>
          </cell>
          <cell r="G79">
            <v>0</v>
          </cell>
          <cell r="I79" t="str">
            <v>бонус</v>
          </cell>
          <cell r="K79">
            <v>66.340999999999994</v>
          </cell>
          <cell r="O79">
            <v>13.268199999999998</v>
          </cell>
          <cell r="S79">
            <v>-5</v>
          </cell>
          <cell r="T79">
            <v>-5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БОНУС_Вареные колбасы «Филейская» Фикс.вес 0,45 Вектор ТМ «Вязанка»  ПОКОМ</v>
          </cell>
          <cell r="B80" t="str">
            <v>шт</v>
          </cell>
          <cell r="E80">
            <v>9</v>
          </cell>
          <cell r="F80">
            <v>-9</v>
          </cell>
          <cell r="G80">
            <v>0</v>
          </cell>
          <cell r="I80" t="str">
            <v>бонус</v>
          </cell>
          <cell r="K80">
            <v>9</v>
          </cell>
          <cell r="O80">
            <v>1.8</v>
          </cell>
          <cell r="S80">
            <v>-5</v>
          </cell>
          <cell r="T80">
            <v>-5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 t="str">
            <v>БОНУС_Вареные колбасы Докторская ГОСТ Вязанка Фикс.вес 0,4 Вектор Вязанка  ПОКОМ</v>
          </cell>
          <cell r="B81" t="str">
            <v>шт</v>
          </cell>
          <cell r="E81">
            <v>12</v>
          </cell>
          <cell r="F81">
            <v>-12</v>
          </cell>
          <cell r="G81">
            <v>0</v>
          </cell>
          <cell r="I81" t="str">
            <v>бонус</v>
          </cell>
          <cell r="K81">
            <v>12</v>
          </cell>
          <cell r="O81">
            <v>2.4</v>
          </cell>
          <cell r="S81">
            <v>-5</v>
          </cell>
          <cell r="T81">
            <v>-5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A82" t="str">
            <v>БОНУС_Вареные колбасы Сливушка Вязанка Фикс.вес 0,45 П/а Вязанка  ПОКОМ</v>
          </cell>
          <cell r="B82" t="str">
            <v>шт</v>
          </cell>
          <cell r="E82">
            <v>22</v>
          </cell>
          <cell r="F82">
            <v>-22</v>
          </cell>
          <cell r="G82">
            <v>0</v>
          </cell>
          <cell r="I82" t="str">
            <v>бонус</v>
          </cell>
          <cell r="K82">
            <v>22</v>
          </cell>
          <cell r="O82">
            <v>4.4000000000000004</v>
          </cell>
          <cell r="S82">
            <v>-5</v>
          </cell>
          <cell r="T82">
            <v>-5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БОНУС_С/к колбасы Баварская Бавария Фикс.вес 0,17 б/о терм/п Стародворье</v>
          </cell>
          <cell r="B83" t="str">
            <v>шт</v>
          </cell>
          <cell r="E83">
            <v>20</v>
          </cell>
          <cell r="F83">
            <v>-20</v>
          </cell>
          <cell r="G83">
            <v>0</v>
          </cell>
          <cell r="I83" t="str">
            <v>бонус</v>
          </cell>
          <cell r="K83">
            <v>20</v>
          </cell>
          <cell r="O83">
            <v>4</v>
          </cell>
          <cell r="S83">
            <v>-5</v>
          </cell>
          <cell r="T83">
            <v>-5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 t="str">
            <v>БОНУС_С/к колбасы Швейцарская Бордо Фикс.вес 0,17 Фиброуз терм/п Стародворье</v>
          </cell>
          <cell r="B84" t="str">
            <v>шт</v>
          </cell>
          <cell r="E84">
            <v>11</v>
          </cell>
          <cell r="F84">
            <v>-11</v>
          </cell>
          <cell r="G84">
            <v>0</v>
          </cell>
          <cell r="I84" t="str">
            <v>бонус</v>
          </cell>
          <cell r="K84">
            <v>11</v>
          </cell>
          <cell r="O84">
            <v>2.2000000000000002</v>
          </cell>
          <cell r="S84">
            <v>-5</v>
          </cell>
          <cell r="T84">
            <v>-5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 t="str">
            <v>У_1201 В/к колбасы Сервелат Мясорубский с мелкорубленным окороком Бордо Весовой фиброуз Стародворье  П</v>
          </cell>
          <cell r="B85" t="str">
            <v>кг</v>
          </cell>
          <cell r="C85">
            <v>25.34</v>
          </cell>
          <cell r="F85">
            <v>25.34</v>
          </cell>
          <cell r="G85">
            <v>0</v>
          </cell>
          <cell r="I85" t="str">
            <v>уценка</v>
          </cell>
          <cell r="K85">
            <v>0</v>
          </cell>
          <cell r="O85">
            <v>0</v>
          </cell>
          <cell r="S85" t="e">
            <v>#DIV/0!</v>
          </cell>
          <cell r="T85" t="e">
            <v>#DIV/0!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 t="str">
            <v>У_1204 Копченые колбасы Салями Мясорубская с рубленым шпиком Бордо Весовой фиброуз Стародворье  ПОКОМ</v>
          </cell>
          <cell r="B86" t="str">
            <v>кг</v>
          </cell>
          <cell r="C86">
            <v>34.6</v>
          </cell>
          <cell r="F86">
            <v>34.6</v>
          </cell>
          <cell r="G86">
            <v>0</v>
          </cell>
          <cell r="I86" t="str">
            <v>уценка</v>
          </cell>
          <cell r="K86">
            <v>0</v>
          </cell>
          <cell r="O86">
            <v>0</v>
          </cell>
          <cell r="S86" t="e">
            <v>#DIV/0!</v>
          </cell>
          <cell r="T86" t="e">
            <v>#DIV/0!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A87" t="str">
            <v>У_1314-Сосиски Молокуши миникушай Вязанка Ф/в 0,45 амилюкс мгс Вязанка</v>
          </cell>
          <cell r="B87" t="str">
            <v>шт</v>
          </cell>
          <cell r="C87">
            <v>109</v>
          </cell>
          <cell r="F87">
            <v>109</v>
          </cell>
          <cell r="G87">
            <v>0</v>
          </cell>
          <cell r="I87" t="str">
            <v>уценка</v>
          </cell>
          <cell r="K87">
            <v>0</v>
          </cell>
          <cell r="O87">
            <v>0</v>
          </cell>
          <cell r="S87" t="e">
            <v>#DIV/0!</v>
          </cell>
          <cell r="T87" t="e">
            <v>#DIV/0!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У_1409 Сосиски Сочинки по-баварски ТМ Стародворье полиамид мгс вес СК3  ПОКОМ</v>
          </cell>
          <cell r="B88" t="str">
            <v>кг</v>
          </cell>
          <cell r="C88">
            <v>52.25</v>
          </cell>
          <cell r="F88">
            <v>52.25</v>
          </cell>
          <cell r="G88">
            <v>0</v>
          </cell>
          <cell r="I88" t="str">
            <v>уценка</v>
          </cell>
          <cell r="K88">
            <v>0</v>
          </cell>
          <cell r="O88">
            <v>0</v>
          </cell>
          <cell r="S88" t="e">
            <v>#DIV/0!</v>
          </cell>
          <cell r="T88" t="e">
            <v>#DIV/0!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A89" t="str">
            <v>У_1523-Сосиски Вязанка Молочные ТМ Стародворские колбасы</v>
          </cell>
          <cell r="B89" t="str">
            <v>кг</v>
          </cell>
          <cell r="C89">
            <v>185</v>
          </cell>
          <cell r="F89">
            <v>185</v>
          </cell>
          <cell r="G89">
            <v>0</v>
          </cell>
          <cell r="I89" t="str">
            <v>уценка</v>
          </cell>
          <cell r="K89">
            <v>0</v>
          </cell>
          <cell r="O89">
            <v>0</v>
          </cell>
          <cell r="S89" t="e">
            <v>#DIV/0!</v>
          </cell>
          <cell r="T89" t="e">
            <v>#DIV/0!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A90" t="str">
            <v>У_1728-Сосиски сливочные по-стародворски в оболочке</v>
          </cell>
          <cell r="B90" t="str">
            <v>кг</v>
          </cell>
          <cell r="C90">
            <v>14.3</v>
          </cell>
          <cell r="F90">
            <v>14.3</v>
          </cell>
          <cell r="G90">
            <v>0</v>
          </cell>
          <cell r="I90" t="str">
            <v>уценка</v>
          </cell>
          <cell r="K90">
            <v>0</v>
          </cell>
          <cell r="O90">
            <v>0</v>
          </cell>
          <cell r="S90" t="e">
            <v>#DIV/0!</v>
          </cell>
          <cell r="T90" t="e">
            <v>#DIV/0!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6" sqref="S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85546875" customWidth="1"/>
    <col min="10" max="13" width="0.5703125" customWidth="1"/>
    <col min="14" max="18" width="7" customWidth="1"/>
    <col min="19" max="19" width="14.28515625" customWidth="1"/>
    <col min="20" max="21" width="5" customWidth="1"/>
    <col min="22" max="31" width="6" customWidth="1"/>
    <col min="32" max="32" width="42.5703125" customWidth="1"/>
    <col min="33" max="33" width="7" customWidth="1"/>
    <col min="34" max="34" width="8" customWidth="1"/>
    <col min="35" max="35" width="1.28515625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 t="s">
        <v>139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16108.565000000002</v>
      </c>
      <c r="F5" s="4">
        <f>SUM(F6:F497)</f>
        <v>12029.516000000001</v>
      </c>
      <c r="G5" s="7"/>
      <c r="H5" s="1"/>
      <c r="I5" s="1"/>
      <c r="J5" s="4">
        <f t="shared" ref="J5:R5" si="0">SUM(J6:J497)</f>
        <v>0</v>
      </c>
      <c r="K5" s="4">
        <f t="shared" si="0"/>
        <v>16108.565000000002</v>
      </c>
      <c r="L5" s="4">
        <f t="shared" si="0"/>
        <v>0</v>
      </c>
      <c r="M5" s="4">
        <f t="shared" si="0"/>
        <v>0</v>
      </c>
      <c r="N5" s="4">
        <f t="shared" si="0"/>
        <v>15167.600373482726</v>
      </c>
      <c r="O5" s="4">
        <f t="shared" si="0"/>
        <v>3221.7130000000002</v>
      </c>
      <c r="P5" s="4">
        <f t="shared" si="0"/>
        <v>19826.9386735761</v>
      </c>
      <c r="Q5" s="4">
        <f t="shared" si="0"/>
        <v>12359.523809523809</v>
      </c>
      <c r="R5" s="4">
        <f t="shared" si="0"/>
        <v>0</v>
      </c>
      <c r="S5" s="1"/>
      <c r="T5" s="1"/>
      <c r="U5" s="1"/>
      <c r="V5" s="4">
        <f t="shared" ref="V5:AE5" si="1">SUM(V6:V497)</f>
        <v>2311.1686000000004</v>
      </c>
      <c r="W5" s="4">
        <f t="shared" si="1"/>
        <v>2820.0306000000005</v>
      </c>
      <c r="X5" s="4">
        <f t="shared" si="1"/>
        <v>2252.3929999999991</v>
      </c>
      <c r="Y5" s="4">
        <f t="shared" si="1"/>
        <v>2258.7799999999988</v>
      </c>
      <c r="Z5" s="4">
        <f t="shared" si="1"/>
        <v>1714.4851999999998</v>
      </c>
      <c r="AA5" s="4">
        <f t="shared" si="1"/>
        <v>2033.7623999999994</v>
      </c>
      <c r="AB5" s="4">
        <f t="shared" si="1"/>
        <v>1622.0308</v>
      </c>
      <c r="AC5" s="4">
        <f t="shared" si="1"/>
        <v>1554.9957999999997</v>
      </c>
      <c r="AD5" s="4">
        <f t="shared" si="1"/>
        <v>2245.9814000000006</v>
      </c>
      <c r="AE5" s="4">
        <f t="shared" si="1"/>
        <v>2194.6596</v>
      </c>
      <c r="AF5" s="1"/>
      <c r="AG5" s="4">
        <f>SUM(AG6:AG497)</f>
        <v>15140.337399999995</v>
      </c>
      <c r="AH5" s="4">
        <f>SUM(AH6:AH497)</f>
        <v>8900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35</v>
      </c>
      <c r="B6" s="10" t="s">
        <v>36</v>
      </c>
      <c r="C6" s="10"/>
      <c r="D6" s="10"/>
      <c r="E6" s="10"/>
      <c r="F6" s="10"/>
      <c r="G6" s="11">
        <v>0</v>
      </c>
      <c r="H6" s="10" t="e">
        <v>#N/A</v>
      </c>
      <c r="I6" s="10" t="s">
        <v>37</v>
      </c>
      <c r="J6" s="10"/>
      <c r="K6" s="10">
        <f t="shared" ref="K6:K37" si="2">E6-J6</f>
        <v>0</v>
      </c>
      <c r="L6" s="10"/>
      <c r="M6" s="10"/>
      <c r="N6" s="10"/>
      <c r="O6" s="10">
        <f t="shared" ref="O6:O37" si="3">E6/5</f>
        <v>0</v>
      </c>
      <c r="P6" s="12"/>
      <c r="Q6" s="12"/>
      <c r="R6" s="12"/>
      <c r="S6" s="10"/>
      <c r="T6" s="10" t="e">
        <f>(F6+N6+P6)/O6</f>
        <v>#DIV/0!</v>
      </c>
      <c r="U6" s="10" t="e">
        <f>(F6+N6)/O6</f>
        <v>#DIV/0!</v>
      </c>
      <c r="V6" s="10"/>
      <c r="W6" s="10">
        <v>0</v>
      </c>
      <c r="X6" s="10">
        <v>0</v>
      </c>
      <c r="Y6" s="10">
        <v>0</v>
      </c>
      <c r="Z6" s="10">
        <v>-0.4</v>
      </c>
      <c r="AA6" s="10">
        <v>-0.2</v>
      </c>
      <c r="AB6" s="10">
        <v>-0.2</v>
      </c>
      <c r="AC6" s="10">
        <v>0</v>
      </c>
      <c r="AD6" s="10">
        <v>-0.6</v>
      </c>
      <c r="AE6" s="10">
        <v>-5.2</v>
      </c>
      <c r="AF6" s="10" t="s">
        <v>38</v>
      </c>
      <c r="AG6" s="10"/>
      <c r="AH6" s="1"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660.75800000000004</v>
      </c>
      <c r="D7" s="1">
        <v>512.09500000000003</v>
      </c>
      <c r="E7" s="13">
        <f>337.804+E58</f>
        <v>428.745</v>
      </c>
      <c r="F7" s="13">
        <f>822.101+F58</f>
        <v>723.58400000000006</v>
      </c>
      <c r="G7" s="7">
        <v>1</v>
      </c>
      <c r="H7" s="1">
        <v>50</v>
      </c>
      <c r="I7" s="1"/>
      <c r="J7" s="1"/>
      <c r="K7" s="1">
        <f t="shared" si="2"/>
        <v>428.745</v>
      </c>
      <c r="L7" s="1"/>
      <c r="M7" s="1"/>
      <c r="N7" s="1">
        <v>0</v>
      </c>
      <c r="O7" s="1">
        <f t="shared" si="3"/>
        <v>85.748999999999995</v>
      </c>
      <c r="P7" s="5">
        <f>16*O7-N7-F7</f>
        <v>648.39999999999986</v>
      </c>
      <c r="Q7" s="5">
        <f>AH7/G7</f>
        <v>400</v>
      </c>
      <c r="R7" s="5"/>
      <c r="S7" s="1"/>
      <c r="T7" s="1">
        <f>(F7+N7+P7)/O7</f>
        <v>16</v>
      </c>
      <c r="U7" s="1">
        <f>(F7+N7)/O7</f>
        <v>8.4383957830412033</v>
      </c>
      <c r="V7" s="1">
        <v>44.305600000000013</v>
      </c>
      <c r="W7" s="1">
        <v>80.176000000000002</v>
      </c>
      <c r="X7" s="1">
        <v>39.485199999999999</v>
      </c>
      <c r="Y7" s="1">
        <v>56.013199999999998</v>
      </c>
      <c r="Z7" s="1">
        <v>45.081599999999987</v>
      </c>
      <c r="AA7" s="1">
        <v>52.767600000000002</v>
      </c>
      <c r="AB7" s="1">
        <v>47.139800000000001</v>
      </c>
      <c r="AC7" s="1">
        <v>37.405200000000001</v>
      </c>
      <c r="AD7" s="1">
        <v>64.895200000000003</v>
      </c>
      <c r="AE7" s="1">
        <v>79.818799999999996</v>
      </c>
      <c r="AF7" s="1" t="s">
        <v>41</v>
      </c>
      <c r="AG7" s="1">
        <f>G7*P7</f>
        <v>648.39999999999986</v>
      </c>
      <c r="AH7" s="1">
        <v>400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40</v>
      </c>
      <c r="C8" s="1">
        <v>677.31799999999998</v>
      </c>
      <c r="D8" s="1">
        <v>404.363</v>
      </c>
      <c r="E8" s="13">
        <f>275.919+E59</f>
        <v>300.60499999999996</v>
      </c>
      <c r="F8" s="13">
        <f>799.619+F59</f>
        <v>774.93299999999999</v>
      </c>
      <c r="G8" s="7">
        <v>1</v>
      </c>
      <c r="H8" s="1">
        <v>55</v>
      </c>
      <c r="I8" s="1"/>
      <c r="J8" s="1"/>
      <c r="K8" s="1">
        <f t="shared" si="2"/>
        <v>300.60499999999996</v>
      </c>
      <c r="L8" s="1"/>
      <c r="M8" s="1"/>
      <c r="N8" s="1">
        <v>200</v>
      </c>
      <c r="O8" s="1">
        <f t="shared" si="3"/>
        <v>60.120999999999995</v>
      </c>
      <c r="P8" s="5">
        <f t="shared" ref="P8" si="4">18*O8-N8-F8</f>
        <v>107.24499999999989</v>
      </c>
      <c r="Q8" s="5">
        <f t="shared" ref="Q8:Q9" si="5">AH8/G8</f>
        <v>0</v>
      </c>
      <c r="R8" s="5"/>
      <c r="S8" s="1"/>
      <c r="T8" s="1">
        <f t="shared" ref="T8:T78" si="6">(F8+N8+P8)/O8</f>
        <v>18</v>
      </c>
      <c r="U8" s="1">
        <f t="shared" ref="U8:U78" si="7">(F8+N8)/O8</f>
        <v>16.216180702250462</v>
      </c>
      <c r="V8" s="1">
        <v>50.537400000000012</v>
      </c>
      <c r="W8" s="1">
        <v>65.963400000000007</v>
      </c>
      <c r="X8" s="1">
        <v>64.472200000000001</v>
      </c>
      <c r="Y8" s="1">
        <v>47.720999999999997</v>
      </c>
      <c r="Z8" s="1">
        <v>41.454999999999998</v>
      </c>
      <c r="AA8" s="1">
        <v>50.347799999999999</v>
      </c>
      <c r="AB8" s="1">
        <v>36.951999999999998</v>
      </c>
      <c r="AC8" s="1">
        <v>46.1402</v>
      </c>
      <c r="AD8" s="1">
        <v>58.483400000000003</v>
      </c>
      <c r="AE8" s="1">
        <v>37.0152</v>
      </c>
      <c r="AF8" s="1"/>
      <c r="AG8" s="1">
        <f>G8*P8</f>
        <v>107.24499999999989</v>
      </c>
      <c r="AH8" s="1"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40</v>
      </c>
      <c r="C9" s="1">
        <v>41.956000000000003</v>
      </c>
      <c r="D9" s="1">
        <v>30.039000000000001</v>
      </c>
      <c r="E9" s="1">
        <v>2.3180000000000001</v>
      </c>
      <c r="F9" s="1">
        <v>69.677000000000007</v>
      </c>
      <c r="G9" s="7">
        <v>1</v>
      </c>
      <c r="H9" s="1">
        <v>180</v>
      </c>
      <c r="I9" s="1"/>
      <c r="J9" s="1"/>
      <c r="K9" s="1">
        <f t="shared" si="2"/>
        <v>2.3180000000000001</v>
      </c>
      <c r="L9" s="1"/>
      <c r="M9" s="1"/>
      <c r="N9" s="1">
        <v>0</v>
      </c>
      <c r="O9" s="1">
        <f t="shared" si="3"/>
        <v>0.46360000000000001</v>
      </c>
      <c r="P9" s="5"/>
      <c r="Q9" s="5">
        <f t="shared" si="5"/>
        <v>50</v>
      </c>
      <c r="R9" s="5"/>
      <c r="S9" s="1"/>
      <c r="T9" s="1">
        <f t="shared" si="6"/>
        <v>150.29551337359794</v>
      </c>
      <c r="U9" s="1">
        <f t="shared" si="7"/>
        <v>150.29551337359794</v>
      </c>
      <c r="V9" s="1">
        <v>1.0840000000000001</v>
      </c>
      <c r="W9" s="1">
        <v>1.2966</v>
      </c>
      <c r="X9" s="1">
        <v>0.3962</v>
      </c>
      <c r="Y9" s="1">
        <v>0.99819999999999998</v>
      </c>
      <c r="Z9" s="1">
        <v>8.2000000000000007E-3</v>
      </c>
      <c r="AA9" s="1">
        <v>1.4618</v>
      </c>
      <c r="AB9" s="1">
        <v>1.9774</v>
      </c>
      <c r="AC9" s="1">
        <v>0.82140000000000002</v>
      </c>
      <c r="AD9" s="1">
        <v>1.4903999999999999</v>
      </c>
      <c r="AE9" s="1">
        <v>0.82639999999999991</v>
      </c>
      <c r="AF9" s="16" t="s">
        <v>44</v>
      </c>
      <c r="AG9" s="1">
        <f>G9*P9</f>
        <v>0</v>
      </c>
      <c r="AH9" s="1">
        <v>50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45</v>
      </c>
      <c r="B10" s="10" t="s">
        <v>40</v>
      </c>
      <c r="C10" s="10">
        <v>8.2769999999999992</v>
      </c>
      <c r="D10" s="10"/>
      <c r="E10" s="10">
        <v>3.72</v>
      </c>
      <c r="F10" s="10">
        <v>4.5570000000000004</v>
      </c>
      <c r="G10" s="11">
        <v>0</v>
      </c>
      <c r="H10" s="10">
        <v>180</v>
      </c>
      <c r="I10" s="10" t="s">
        <v>37</v>
      </c>
      <c r="J10" s="10"/>
      <c r="K10" s="10">
        <f t="shared" si="2"/>
        <v>3.72</v>
      </c>
      <c r="L10" s="10"/>
      <c r="M10" s="10"/>
      <c r="N10" s="10"/>
      <c r="O10" s="10">
        <f t="shared" si="3"/>
        <v>0.74399999999999999</v>
      </c>
      <c r="P10" s="12"/>
      <c r="Q10" s="12"/>
      <c r="R10" s="12"/>
      <c r="S10" s="10"/>
      <c r="T10" s="10">
        <f t="shared" si="6"/>
        <v>6.1250000000000009</v>
      </c>
      <c r="U10" s="10">
        <f t="shared" si="7"/>
        <v>6.1250000000000009</v>
      </c>
      <c r="V10" s="10"/>
      <c r="W10" s="10">
        <v>1.5529999999999999</v>
      </c>
      <c r="X10" s="10">
        <v>1.2687999999999999</v>
      </c>
      <c r="Y10" s="10">
        <v>1.8740000000000001</v>
      </c>
      <c r="Z10" s="10">
        <v>0.29699999999999999</v>
      </c>
      <c r="AA10" s="10">
        <v>1.4858</v>
      </c>
      <c r="AB10" s="10">
        <v>1.9074</v>
      </c>
      <c r="AC10" s="10">
        <v>1.4892000000000001</v>
      </c>
      <c r="AD10" s="10">
        <v>1.7834000000000001</v>
      </c>
      <c r="AE10" s="10">
        <v>0.81720000000000004</v>
      </c>
      <c r="AF10" s="10" t="s">
        <v>46</v>
      </c>
      <c r="AG10" s="10"/>
      <c r="AH10" s="17">
        <f>VLOOKUP(A:A,[1]Sheet!$A:$AG,33,0)</f>
        <v>50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40</v>
      </c>
      <c r="C11" s="1">
        <v>93.602000000000004</v>
      </c>
      <c r="D11" s="1"/>
      <c r="E11" s="1">
        <v>63.758000000000003</v>
      </c>
      <c r="F11" s="1">
        <v>29.844000000000001</v>
      </c>
      <c r="G11" s="7">
        <v>1</v>
      </c>
      <c r="H11" s="1">
        <v>50</v>
      </c>
      <c r="I11" s="1"/>
      <c r="J11" s="1"/>
      <c r="K11" s="1">
        <f t="shared" si="2"/>
        <v>63.758000000000003</v>
      </c>
      <c r="L11" s="1"/>
      <c r="M11" s="1"/>
      <c r="N11" s="1">
        <v>0</v>
      </c>
      <c r="O11" s="1">
        <f t="shared" si="3"/>
        <v>12.7516</v>
      </c>
      <c r="P11" s="5">
        <f>10*O11-N11-F11</f>
        <v>97.671999999999997</v>
      </c>
      <c r="Q11" s="5">
        <f>AH11/G11</f>
        <v>0</v>
      </c>
      <c r="R11" s="5"/>
      <c r="S11" s="1"/>
      <c r="T11" s="1">
        <f t="shared" si="6"/>
        <v>10</v>
      </c>
      <c r="U11" s="1">
        <f t="shared" si="7"/>
        <v>2.340412183569121</v>
      </c>
      <c r="V11" s="1">
        <v>3.7827999999999999</v>
      </c>
      <c r="W11" s="1">
        <v>12.16</v>
      </c>
      <c r="X11" s="1">
        <v>6.7453999999999992</v>
      </c>
      <c r="Y11" s="1">
        <v>5.0880000000000001</v>
      </c>
      <c r="Z11" s="1">
        <v>8.1170000000000009</v>
      </c>
      <c r="AA11" s="1">
        <v>4.6042000000000014</v>
      </c>
      <c r="AB11" s="1">
        <v>2.1598000000000002</v>
      </c>
      <c r="AC11" s="1">
        <v>10.8428</v>
      </c>
      <c r="AD11" s="1">
        <v>0</v>
      </c>
      <c r="AE11" s="1">
        <v>17.7636</v>
      </c>
      <c r="AF11" s="1"/>
      <c r="AG11" s="1">
        <f>G11*P11</f>
        <v>97.671999999999997</v>
      </c>
      <c r="AH11" s="1"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48</v>
      </c>
      <c r="B12" s="10" t="s">
        <v>40</v>
      </c>
      <c r="C12" s="10"/>
      <c r="D12" s="10"/>
      <c r="E12" s="10"/>
      <c r="F12" s="10"/>
      <c r="G12" s="11">
        <v>0</v>
      </c>
      <c r="H12" s="10" t="e">
        <v>#N/A</v>
      </c>
      <c r="I12" s="10" t="s">
        <v>37</v>
      </c>
      <c r="J12" s="10"/>
      <c r="K12" s="10">
        <f t="shared" si="2"/>
        <v>0</v>
      </c>
      <c r="L12" s="10"/>
      <c r="M12" s="10"/>
      <c r="N12" s="10"/>
      <c r="O12" s="10">
        <f t="shared" si="3"/>
        <v>0</v>
      </c>
      <c r="P12" s="12"/>
      <c r="Q12" s="12"/>
      <c r="R12" s="12"/>
      <c r="S12" s="10"/>
      <c r="T12" s="10" t="e">
        <f t="shared" si="6"/>
        <v>#DIV/0!</v>
      </c>
      <c r="U12" s="10" t="e">
        <f t="shared" si="7"/>
        <v>#DIV/0!</v>
      </c>
      <c r="V12" s="10"/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49</v>
      </c>
      <c r="B13" s="10" t="s">
        <v>40</v>
      </c>
      <c r="C13" s="10"/>
      <c r="D13" s="10"/>
      <c r="E13" s="10"/>
      <c r="F13" s="10"/>
      <c r="G13" s="11">
        <v>0</v>
      </c>
      <c r="H13" s="10" t="e">
        <v>#N/A</v>
      </c>
      <c r="I13" s="10" t="s">
        <v>37</v>
      </c>
      <c r="J13" s="10"/>
      <c r="K13" s="10">
        <f t="shared" si="2"/>
        <v>0</v>
      </c>
      <c r="L13" s="10"/>
      <c r="M13" s="10"/>
      <c r="N13" s="10"/>
      <c r="O13" s="10">
        <f t="shared" si="3"/>
        <v>0</v>
      </c>
      <c r="P13" s="12"/>
      <c r="Q13" s="12"/>
      <c r="R13" s="12"/>
      <c r="S13" s="10"/>
      <c r="T13" s="10" t="e">
        <f t="shared" si="6"/>
        <v>#DIV/0!</v>
      </c>
      <c r="U13" s="10" t="e">
        <f t="shared" si="7"/>
        <v>#DIV/0!</v>
      </c>
      <c r="V13" s="10"/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 t="s">
        <v>50</v>
      </c>
      <c r="AG13" s="10"/>
      <c r="AH13" s="1"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40</v>
      </c>
      <c r="C14" s="1">
        <v>422.55799999999999</v>
      </c>
      <c r="D14" s="1">
        <v>253.602</v>
      </c>
      <c r="E14" s="1">
        <v>210.15799999999999</v>
      </c>
      <c r="F14" s="1">
        <v>454.59100000000001</v>
      </c>
      <c r="G14" s="7">
        <v>1</v>
      </c>
      <c r="H14" s="1">
        <v>60</v>
      </c>
      <c r="I14" s="1"/>
      <c r="J14" s="1"/>
      <c r="K14" s="1">
        <f t="shared" si="2"/>
        <v>210.15799999999999</v>
      </c>
      <c r="L14" s="1"/>
      <c r="M14" s="1"/>
      <c r="N14" s="1">
        <v>200</v>
      </c>
      <c r="O14" s="1">
        <f t="shared" si="3"/>
        <v>42.031599999999997</v>
      </c>
      <c r="P14" s="5">
        <f t="shared" ref="P14:P47" si="8">18*O14-N14-F14</f>
        <v>101.9778</v>
      </c>
      <c r="Q14" s="5">
        <f t="shared" ref="Q14:Q49" si="9">AH14/G14</f>
        <v>0</v>
      </c>
      <c r="R14" s="5"/>
      <c r="S14" s="1"/>
      <c r="T14" s="1">
        <f t="shared" si="6"/>
        <v>18</v>
      </c>
      <c r="U14" s="1">
        <f t="shared" si="7"/>
        <v>15.57378258262831</v>
      </c>
      <c r="V14" s="1">
        <v>31.984400000000001</v>
      </c>
      <c r="W14" s="1">
        <v>46.042600000000007</v>
      </c>
      <c r="X14" s="1">
        <v>52.094200000000001</v>
      </c>
      <c r="Y14" s="1">
        <v>38.1008</v>
      </c>
      <c r="Z14" s="1">
        <v>33.098999999999997</v>
      </c>
      <c r="AA14" s="1">
        <v>39.427</v>
      </c>
      <c r="AB14" s="1">
        <v>32.1708</v>
      </c>
      <c r="AC14" s="1">
        <v>34.6402</v>
      </c>
      <c r="AD14" s="1">
        <v>39.449399999999997</v>
      </c>
      <c r="AE14" s="1">
        <v>-4.3792</v>
      </c>
      <c r="AF14" s="1"/>
      <c r="AG14" s="1">
        <f t="shared" ref="AG14:AG49" si="10">G14*P14</f>
        <v>101.9778</v>
      </c>
      <c r="AH14" s="1"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40</v>
      </c>
      <c r="C15" s="1">
        <v>398.14100000000002</v>
      </c>
      <c r="D15" s="1">
        <v>301.32100000000003</v>
      </c>
      <c r="E15" s="13">
        <f>185.357+E60</f>
        <v>244.21</v>
      </c>
      <c r="F15" s="13">
        <f>502.465+F60</f>
        <v>443.61199999999997</v>
      </c>
      <c r="G15" s="7">
        <v>1</v>
      </c>
      <c r="H15" s="1">
        <v>60</v>
      </c>
      <c r="I15" s="1"/>
      <c r="J15" s="1"/>
      <c r="K15" s="1">
        <f t="shared" si="2"/>
        <v>244.21</v>
      </c>
      <c r="L15" s="1"/>
      <c r="M15" s="1"/>
      <c r="N15" s="1">
        <v>300</v>
      </c>
      <c r="O15" s="1">
        <f t="shared" si="3"/>
        <v>48.841999999999999</v>
      </c>
      <c r="P15" s="5">
        <f t="shared" si="8"/>
        <v>135.54399999999998</v>
      </c>
      <c r="Q15" s="5">
        <f t="shared" si="9"/>
        <v>300</v>
      </c>
      <c r="R15" s="5"/>
      <c r="S15" s="1"/>
      <c r="T15" s="1">
        <f t="shared" si="6"/>
        <v>18</v>
      </c>
      <c r="U15" s="1">
        <f t="shared" si="7"/>
        <v>15.224847467343679</v>
      </c>
      <c r="V15" s="1">
        <v>42.364600000000003</v>
      </c>
      <c r="W15" s="1">
        <v>57.862400000000001</v>
      </c>
      <c r="X15" s="1">
        <v>30.3642</v>
      </c>
      <c r="Y15" s="1">
        <v>57.274999999999999</v>
      </c>
      <c r="Z15" s="1">
        <v>35.036000000000001</v>
      </c>
      <c r="AA15" s="1">
        <v>30.5366</v>
      </c>
      <c r="AB15" s="1">
        <v>38.046799999999998</v>
      </c>
      <c r="AC15" s="1">
        <v>31.278400000000001</v>
      </c>
      <c r="AD15" s="1">
        <v>49.44</v>
      </c>
      <c r="AE15" s="1">
        <v>5.8708</v>
      </c>
      <c r="AF15" s="1" t="s">
        <v>53</v>
      </c>
      <c r="AG15" s="1">
        <f t="shared" si="10"/>
        <v>135.54399999999998</v>
      </c>
      <c r="AH15" s="1">
        <v>300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40</v>
      </c>
      <c r="C16" s="1">
        <v>150.721</v>
      </c>
      <c r="D16" s="1">
        <v>151.06</v>
      </c>
      <c r="E16" s="13">
        <f>166.52+E61</f>
        <v>181.65800000000002</v>
      </c>
      <c r="F16" s="13">
        <f>126.535+F61</f>
        <v>111.39699999999999</v>
      </c>
      <c r="G16" s="7">
        <v>1</v>
      </c>
      <c r="H16" s="1">
        <v>40</v>
      </c>
      <c r="I16" s="1"/>
      <c r="J16" s="1"/>
      <c r="K16" s="1">
        <f t="shared" si="2"/>
        <v>181.65800000000002</v>
      </c>
      <c r="L16" s="1"/>
      <c r="M16" s="1"/>
      <c r="N16" s="1">
        <v>100</v>
      </c>
      <c r="O16" s="1">
        <f t="shared" si="3"/>
        <v>36.331600000000002</v>
      </c>
      <c r="P16" s="5">
        <f>14*O16-N16-F16</f>
        <v>297.24540000000002</v>
      </c>
      <c r="Q16" s="5">
        <f t="shared" si="9"/>
        <v>0</v>
      </c>
      <c r="R16" s="5"/>
      <c r="S16" s="1"/>
      <c r="T16" s="1">
        <f t="shared" si="6"/>
        <v>14</v>
      </c>
      <c r="U16" s="1">
        <f t="shared" si="7"/>
        <v>5.8185436369441472</v>
      </c>
      <c r="V16" s="1">
        <v>21.318999999999999</v>
      </c>
      <c r="W16" s="1">
        <v>19.271999999999998</v>
      </c>
      <c r="X16" s="1">
        <v>16.814800000000002</v>
      </c>
      <c r="Y16" s="1">
        <v>6.9978000000000007</v>
      </c>
      <c r="Z16" s="1">
        <v>17.8386</v>
      </c>
      <c r="AA16" s="1">
        <v>9.9391999999999996</v>
      </c>
      <c r="AB16" s="1">
        <v>13.804</v>
      </c>
      <c r="AC16" s="1">
        <v>16.576799999999999</v>
      </c>
      <c r="AD16" s="1">
        <v>18.571000000000002</v>
      </c>
      <c r="AE16" s="1">
        <v>28.954999999999998</v>
      </c>
      <c r="AF16" s="1"/>
      <c r="AG16" s="1">
        <f t="shared" si="10"/>
        <v>297.24540000000002</v>
      </c>
      <c r="AH16" s="1"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>
        <v>414</v>
      </c>
      <c r="D17" s="1">
        <v>288</v>
      </c>
      <c r="E17" s="1">
        <v>610</v>
      </c>
      <c r="F17" s="1">
        <v>67</v>
      </c>
      <c r="G17" s="7">
        <v>0.35</v>
      </c>
      <c r="H17" s="1">
        <v>40</v>
      </c>
      <c r="I17" s="1"/>
      <c r="J17" s="1"/>
      <c r="K17" s="1">
        <f t="shared" si="2"/>
        <v>610</v>
      </c>
      <c r="L17" s="1"/>
      <c r="M17" s="1"/>
      <c r="N17" s="1">
        <v>428.57142857142861</v>
      </c>
      <c r="O17" s="1">
        <f t="shared" si="3"/>
        <v>122</v>
      </c>
      <c r="P17" s="5">
        <f>12*O17-N17-F17</f>
        <v>968.42857142857133</v>
      </c>
      <c r="Q17" s="5">
        <f t="shared" si="9"/>
        <v>428.57142857142861</v>
      </c>
      <c r="R17" s="5"/>
      <c r="S17" s="1"/>
      <c r="T17" s="1">
        <f t="shared" si="6"/>
        <v>12</v>
      </c>
      <c r="U17" s="1">
        <f t="shared" si="7"/>
        <v>4.062060889929743</v>
      </c>
      <c r="V17" s="1">
        <v>93.4</v>
      </c>
      <c r="W17" s="1">
        <v>99.4</v>
      </c>
      <c r="X17" s="1">
        <v>76.8</v>
      </c>
      <c r="Y17" s="1">
        <v>105.6</v>
      </c>
      <c r="Z17" s="1">
        <v>21.2</v>
      </c>
      <c r="AA17" s="1">
        <v>50.8</v>
      </c>
      <c r="AB17" s="1">
        <v>50.4</v>
      </c>
      <c r="AC17" s="1">
        <v>82.8</v>
      </c>
      <c r="AD17" s="1">
        <v>69.599999999999994</v>
      </c>
      <c r="AE17" s="1">
        <v>106.4</v>
      </c>
      <c r="AF17" s="1"/>
      <c r="AG17" s="1">
        <f t="shared" si="10"/>
        <v>338.94999999999993</v>
      </c>
      <c r="AH17" s="1">
        <v>150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40</v>
      </c>
      <c r="C18" s="1">
        <v>151.06700000000001</v>
      </c>
      <c r="D18" s="1">
        <v>152.14699999999999</v>
      </c>
      <c r="E18" s="13">
        <f>185.56+E62</f>
        <v>203.68600000000001</v>
      </c>
      <c r="F18" s="13">
        <f>108.228+F62</f>
        <v>87.22699999999999</v>
      </c>
      <c r="G18" s="7">
        <v>1</v>
      </c>
      <c r="H18" s="1">
        <v>40</v>
      </c>
      <c r="I18" s="1"/>
      <c r="J18" s="1"/>
      <c r="K18" s="1">
        <f t="shared" si="2"/>
        <v>203.68600000000001</v>
      </c>
      <c r="L18" s="1"/>
      <c r="M18" s="1"/>
      <c r="N18" s="1">
        <v>100</v>
      </c>
      <c r="O18" s="1">
        <f t="shared" si="3"/>
        <v>40.737200000000001</v>
      </c>
      <c r="P18" s="5">
        <f>13*O18-N18-F18</f>
        <v>342.35660000000007</v>
      </c>
      <c r="Q18" s="5">
        <f t="shared" si="9"/>
        <v>100</v>
      </c>
      <c r="R18" s="5"/>
      <c r="S18" s="1"/>
      <c r="T18" s="1">
        <f t="shared" si="6"/>
        <v>13</v>
      </c>
      <c r="U18" s="1">
        <f t="shared" si="7"/>
        <v>4.5959712498649878</v>
      </c>
      <c r="V18" s="1">
        <v>22.381399999999999</v>
      </c>
      <c r="W18" s="1">
        <v>17.471399999999999</v>
      </c>
      <c r="X18" s="1">
        <v>-2.3090000000000002</v>
      </c>
      <c r="Y18" s="1">
        <v>23.312799999999999</v>
      </c>
      <c r="Z18" s="1">
        <v>18.0686</v>
      </c>
      <c r="AA18" s="1">
        <v>11.051</v>
      </c>
      <c r="AB18" s="1">
        <v>16.8826</v>
      </c>
      <c r="AC18" s="1">
        <v>14.519399999999999</v>
      </c>
      <c r="AD18" s="1">
        <v>19.543199999999999</v>
      </c>
      <c r="AE18" s="1">
        <v>27.794</v>
      </c>
      <c r="AF18" s="1"/>
      <c r="AG18" s="1">
        <f t="shared" si="10"/>
        <v>342.35660000000007</v>
      </c>
      <c r="AH18" s="1">
        <v>100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438</v>
      </c>
      <c r="D19" s="1">
        <v>288</v>
      </c>
      <c r="E19" s="13">
        <f>515+E63</f>
        <v>584</v>
      </c>
      <c r="F19" s="13">
        <f>185+F63</f>
        <v>108</v>
      </c>
      <c r="G19" s="7">
        <v>0.35</v>
      </c>
      <c r="H19" s="1">
        <v>40</v>
      </c>
      <c r="I19" s="1"/>
      <c r="J19" s="1"/>
      <c r="K19" s="1">
        <f t="shared" si="2"/>
        <v>584</v>
      </c>
      <c r="L19" s="1"/>
      <c r="M19" s="1"/>
      <c r="N19" s="1">
        <v>428.57142857142861</v>
      </c>
      <c r="O19" s="1">
        <f t="shared" si="3"/>
        <v>116.8</v>
      </c>
      <c r="P19" s="5">
        <f>13*O19-N19-F19</f>
        <v>981.82857142857119</v>
      </c>
      <c r="Q19" s="5">
        <f t="shared" si="9"/>
        <v>428.57142857142861</v>
      </c>
      <c r="R19" s="5"/>
      <c r="S19" s="1"/>
      <c r="T19" s="1">
        <f t="shared" si="6"/>
        <v>13</v>
      </c>
      <c r="U19" s="1">
        <f t="shared" si="7"/>
        <v>4.5939334637964784</v>
      </c>
      <c r="V19" s="1">
        <v>91</v>
      </c>
      <c r="W19" s="1">
        <v>122.2</v>
      </c>
      <c r="X19" s="1">
        <v>105</v>
      </c>
      <c r="Y19" s="1">
        <v>19.2</v>
      </c>
      <c r="Z19" s="1">
        <v>29.8</v>
      </c>
      <c r="AA19" s="1">
        <v>66.2</v>
      </c>
      <c r="AB19" s="1">
        <v>22.8</v>
      </c>
      <c r="AC19" s="1">
        <v>41</v>
      </c>
      <c r="AD19" s="1">
        <v>60.6</v>
      </c>
      <c r="AE19" s="1">
        <v>-3.2</v>
      </c>
      <c r="AF19" s="1"/>
      <c r="AG19" s="1">
        <f t="shared" si="10"/>
        <v>343.63999999999987</v>
      </c>
      <c r="AH19" s="1">
        <v>150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40</v>
      </c>
      <c r="C20" s="1">
        <v>102.095</v>
      </c>
      <c r="D20" s="1">
        <v>208.363</v>
      </c>
      <c r="E20" s="1">
        <v>147.261</v>
      </c>
      <c r="F20" s="1">
        <v>158.28399999999999</v>
      </c>
      <c r="G20" s="7">
        <v>1</v>
      </c>
      <c r="H20" s="1">
        <v>40</v>
      </c>
      <c r="I20" s="1"/>
      <c r="J20" s="1"/>
      <c r="K20" s="1">
        <f t="shared" si="2"/>
        <v>147.261</v>
      </c>
      <c r="L20" s="1"/>
      <c r="M20" s="1"/>
      <c r="N20" s="1">
        <v>150</v>
      </c>
      <c r="O20" s="1">
        <f t="shared" si="3"/>
        <v>29.452199999999998</v>
      </c>
      <c r="P20" s="5">
        <f t="shared" si="8"/>
        <v>221.85559999999998</v>
      </c>
      <c r="Q20" s="5">
        <f t="shared" si="9"/>
        <v>0</v>
      </c>
      <c r="R20" s="5"/>
      <c r="S20" s="1"/>
      <c r="T20" s="1">
        <f t="shared" si="6"/>
        <v>18</v>
      </c>
      <c r="U20" s="1">
        <f t="shared" si="7"/>
        <v>10.467265603248654</v>
      </c>
      <c r="V20" s="1">
        <v>30.758199999999999</v>
      </c>
      <c r="W20" s="1">
        <v>30.4114</v>
      </c>
      <c r="X20" s="1">
        <v>0</v>
      </c>
      <c r="Y20" s="1">
        <v>26.065200000000001</v>
      </c>
      <c r="Z20" s="1">
        <v>15.234400000000001</v>
      </c>
      <c r="AA20" s="1">
        <v>11.714600000000001</v>
      </c>
      <c r="AB20" s="1">
        <v>18.170000000000002</v>
      </c>
      <c r="AC20" s="1">
        <v>16.2606</v>
      </c>
      <c r="AD20" s="1">
        <v>18.934999999999999</v>
      </c>
      <c r="AE20" s="1">
        <v>30.006599999999999</v>
      </c>
      <c r="AF20" s="1"/>
      <c r="AG20" s="1">
        <f t="shared" si="10"/>
        <v>221.85559999999998</v>
      </c>
      <c r="AH20" s="1"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40</v>
      </c>
      <c r="C21" s="1">
        <v>0.45600000000000002</v>
      </c>
      <c r="D21" s="1"/>
      <c r="E21" s="1">
        <v>-2.69</v>
      </c>
      <c r="F21" s="1">
        <v>0.45600000000000002</v>
      </c>
      <c r="G21" s="7">
        <v>1</v>
      </c>
      <c r="H21" s="1">
        <v>45</v>
      </c>
      <c r="I21" s="1"/>
      <c r="J21" s="1"/>
      <c r="K21" s="1">
        <f t="shared" si="2"/>
        <v>-2.69</v>
      </c>
      <c r="L21" s="1"/>
      <c r="M21" s="1"/>
      <c r="N21" s="1">
        <v>200</v>
      </c>
      <c r="O21" s="1">
        <f t="shared" si="3"/>
        <v>-0.53800000000000003</v>
      </c>
      <c r="P21" s="5"/>
      <c r="Q21" s="5">
        <f t="shared" si="9"/>
        <v>200</v>
      </c>
      <c r="R21" s="5"/>
      <c r="S21" s="1"/>
      <c r="T21" s="1">
        <f t="shared" si="6"/>
        <v>-372.59479553903344</v>
      </c>
      <c r="U21" s="1">
        <f t="shared" si="7"/>
        <v>-372.59479553903344</v>
      </c>
      <c r="V21" s="1">
        <v>30.869399999999999</v>
      </c>
      <c r="W21" s="1">
        <v>53.641000000000012</v>
      </c>
      <c r="X21" s="1">
        <v>18.746600000000001</v>
      </c>
      <c r="Y21" s="1">
        <v>7.9151999999999996</v>
      </c>
      <c r="Z21" s="1">
        <v>23.599599999999999</v>
      </c>
      <c r="AA21" s="1">
        <v>7.7530000000000001</v>
      </c>
      <c r="AB21" s="1">
        <v>9.8803999999999998</v>
      </c>
      <c r="AC21" s="1">
        <v>17.6982</v>
      </c>
      <c r="AD21" s="1">
        <v>20.2302</v>
      </c>
      <c r="AE21" s="1">
        <v>30.508199999999999</v>
      </c>
      <c r="AF21" s="1"/>
      <c r="AG21" s="1">
        <f t="shared" si="10"/>
        <v>0</v>
      </c>
      <c r="AH21" s="1">
        <v>200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36</v>
      </c>
      <c r="C22" s="1">
        <v>168</v>
      </c>
      <c r="D22" s="1">
        <v>168</v>
      </c>
      <c r="E22" s="1">
        <v>230</v>
      </c>
      <c r="F22" s="1">
        <v>98</v>
      </c>
      <c r="G22" s="7">
        <v>0.6</v>
      </c>
      <c r="H22" s="1">
        <v>45</v>
      </c>
      <c r="I22" s="1"/>
      <c r="J22" s="1"/>
      <c r="K22" s="1">
        <f t="shared" si="2"/>
        <v>230</v>
      </c>
      <c r="L22" s="1"/>
      <c r="M22" s="1"/>
      <c r="N22" s="1">
        <v>0</v>
      </c>
      <c r="O22" s="1">
        <f t="shared" si="3"/>
        <v>46</v>
      </c>
      <c r="P22" s="5">
        <f>10*O22-N22-F22</f>
        <v>362</v>
      </c>
      <c r="Q22" s="5">
        <f t="shared" si="9"/>
        <v>166.66666666666669</v>
      </c>
      <c r="R22" s="5"/>
      <c r="S22" s="1"/>
      <c r="T22" s="1">
        <f t="shared" si="6"/>
        <v>10</v>
      </c>
      <c r="U22" s="1">
        <f t="shared" si="7"/>
        <v>2.1304347826086958</v>
      </c>
      <c r="V22" s="1">
        <v>28.6</v>
      </c>
      <c r="W22" s="1">
        <v>26.8</v>
      </c>
      <c r="X22" s="1">
        <v>18.8</v>
      </c>
      <c r="Y22" s="1">
        <v>0.2</v>
      </c>
      <c r="Z22" s="1">
        <v>2.2000000000000002</v>
      </c>
      <c r="AA22" s="1">
        <v>13.4</v>
      </c>
      <c r="AB22" s="1">
        <v>14</v>
      </c>
      <c r="AC22" s="1">
        <v>8.6</v>
      </c>
      <c r="AD22" s="1">
        <v>15.2</v>
      </c>
      <c r="AE22" s="1">
        <v>-1.6</v>
      </c>
      <c r="AF22" s="1"/>
      <c r="AG22" s="1">
        <f t="shared" si="10"/>
        <v>217.2</v>
      </c>
      <c r="AH22" s="1">
        <v>100</v>
      </c>
      <c r="AI22" s="1"/>
      <c r="AJ22" s="1" t="s">
        <v>140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36</v>
      </c>
      <c r="C23" s="1">
        <v>1</v>
      </c>
      <c r="D23" s="1">
        <v>336</v>
      </c>
      <c r="E23" s="13">
        <f>169+E64</f>
        <v>172</v>
      </c>
      <c r="F23" s="13">
        <f>155+F64</f>
        <v>152</v>
      </c>
      <c r="G23" s="7">
        <v>0.45</v>
      </c>
      <c r="H23" s="1">
        <v>45</v>
      </c>
      <c r="I23" s="1"/>
      <c r="J23" s="1"/>
      <c r="K23" s="1">
        <f t="shared" si="2"/>
        <v>172</v>
      </c>
      <c r="L23" s="1"/>
      <c r="M23" s="1"/>
      <c r="N23" s="1">
        <v>0</v>
      </c>
      <c r="O23" s="1">
        <f t="shared" si="3"/>
        <v>34.4</v>
      </c>
      <c r="P23" s="5">
        <f>12*O23-N23-F23</f>
        <v>260.79999999999995</v>
      </c>
      <c r="Q23" s="5">
        <f t="shared" si="9"/>
        <v>222.22222222222223</v>
      </c>
      <c r="R23" s="5"/>
      <c r="S23" s="1"/>
      <c r="T23" s="1">
        <f t="shared" si="6"/>
        <v>12</v>
      </c>
      <c r="U23" s="1">
        <f t="shared" si="7"/>
        <v>4.4186046511627906</v>
      </c>
      <c r="V23" s="1">
        <v>44.8</v>
      </c>
      <c r="W23" s="1">
        <v>44.4</v>
      </c>
      <c r="X23" s="1">
        <v>-17.600000000000001</v>
      </c>
      <c r="Y23" s="1">
        <v>17.600000000000001</v>
      </c>
      <c r="Z23" s="1">
        <v>11</v>
      </c>
      <c r="AA23" s="1">
        <v>12.4</v>
      </c>
      <c r="AB23" s="1">
        <v>13.2</v>
      </c>
      <c r="AC23" s="1">
        <v>11.4</v>
      </c>
      <c r="AD23" s="1">
        <v>20.399999999999999</v>
      </c>
      <c r="AE23" s="1">
        <v>37.6</v>
      </c>
      <c r="AF23" s="1"/>
      <c r="AG23" s="1">
        <f t="shared" si="10"/>
        <v>117.35999999999999</v>
      </c>
      <c r="AH23" s="1">
        <v>100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40</v>
      </c>
      <c r="C24" s="1">
        <v>407.84100000000001</v>
      </c>
      <c r="D24" s="1">
        <v>302.45299999999997</v>
      </c>
      <c r="E24" s="13">
        <f>392.948+E65</f>
        <v>437.565</v>
      </c>
      <c r="F24" s="13">
        <f>314.439+F65</f>
        <v>269.822</v>
      </c>
      <c r="G24" s="7">
        <v>1</v>
      </c>
      <c r="H24" s="1">
        <v>45</v>
      </c>
      <c r="I24" s="1"/>
      <c r="J24" s="1"/>
      <c r="K24" s="1">
        <f t="shared" si="2"/>
        <v>437.565</v>
      </c>
      <c r="L24" s="1"/>
      <c r="M24" s="1"/>
      <c r="N24" s="1">
        <v>300</v>
      </c>
      <c r="O24" s="1">
        <f t="shared" si="3"/>
        <v>87.513000000000005</v>
      </c>
      <c r="P24" s="5">
        <f>15*O24-N24-F24</f>
        <v>742.87300000000016</v>
      </c>
      <c r="Q24" s="5">
        <f t="shared" si="9"/>
        <v>250</v>
      </c>
      <c r="R24" s="5"/>
      <c r="S24" s="1"/>
      <c r="T24" s="1">
        <f t="shared" si="6"/>
        <v>15.000000000000002</v>
      </c>
      <c r="U24" s="1">
        <f t="shared" si="7"/>
        <v>6.511284037800098</v>
      </c>
      <c r="V24" s="1">
        <v>50.050400000000003</v>
      </c>
      <c r="W24" s="1">
        <v>48.252600000000001</v>
      </c>
      <c r="X24" s="1">
        <v>77.245800000000003</v>
      </c>
      <c r="Y24" s="1">
        <v>24.716200000000001</v>
      </c>
      <c r="Z24" s="1">
        <v>25.936399999999999</v>
      </c>
      <c r="AA24" s="1">
        <v>55.318600000000004</v>
      </c>
      <c r="AB24" s="1">
        <v>8.5498000000000012</v>
      </c>
      <c r="AC24" s="1">
        <v>0</v>
      </c>
      <c r="AD24" s="1">
        <v>18.121200000000002</v>
      </c>
      <c r="AE24" s="1">
        <v>42.95</v>
      </c>
      <c r="AF24" s="1" t="s">
        <v>63</v>
      </c>
      <c r="AG24" s="1">
        <f t="shared" si="10"/>
        <v>742.87300000000016</v>
      </c>
      <c r="AH24" s="1">
        <v>250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3</v>
      </c>
      <c r="D25" s="1">
        <v>252</v>
      </c>
      <c r="E25" s="1">
        <v>191</v>
      </c>
      <c r="F25" s="1">
        <v>64</v>
      </c>
      <c r="G25" s="7">
        <v>0.4</v>
      </c>
      <c r="H25" s="1">
        <v>45</v>
      </c>
      <c r="I25" s="1"/>
      <c r="J25" s="1"/>
      <c r="K25" s="1">
        <f t="shared" si="2"/>
        <v>191</v>
      </c>
      <c r="L25" s="1"/>
      <c r="M25" s="1"/>
      <c r="N25" s="1">
        <v>375</v>
      </c>
      <c r="O25" s="1">
        <f t="shared" si="3"/>
        <v>38.200000000000003</v>
      </c>
      <c r="P25" s="5">
        <f t="shared" si="8"/>
        <v>248.60000000000002</v>
      </c>
      <c r="Q25" s="5">
        <f t="shared" si="9"/>
        <v>375</v>
      </c>
      <c r="R25" s="5"/>
      <c r="S25" s="1"/>
      <c r="T25" s="1">
        <f t="shared" si="6"/>
        <v>18</v>
      </c>
      <c r="U25" s="1">
        <f t="shared" si="7"/>
        <v>11.492146596858637</v>
      </c>
      <c r="V25" s="1">
        <v>75.400000000000006</v>
      </c>
      <c r="W25" s="1">
        <v>84.8</v>
      </c>
      <c r="X25" s="1">
        <v>35.4</v>
      </c>
      <c r="Y25" s="1">
        <v>73</v>
      </c>
      <c r="Z25" s="1">
        <v>25.4</v>
      </c>
      <c r="AA25" s="1">
        <v>40.6</v>
      </c>
      <c r="AB25" s="1">
        <v>44.6</v>
      </c>
      <c r="AC25" s="1">
        <v>39.6</v>
      </c>
      <c r="AD25" s="1">
        <v>46.4</v>
      </c>
      <c r="AE25" s="1">
        <v>75.2</v>
      </c>
      <c r="AF25" s="1" t="s">
        <v>41</v>
      </c>
      <c r="AG25" s="1">
        <f t="shared" si="10"/>
        <v>99.440000000000012</v>
      </c>
      <c r="AH25" s="1">
        <v>150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363</v>
      </c>
      <c r="D26" s="1">
        <v>252</v>
      </c>
      <c r="E26" s="13">
        <f>523+E66</f>
        <v>556</v>
      </c>
      <c r="F26" s="13">
        <f>91+F66</f>
        <v>58</v>
      </c>
      <c r="G26" s="7">
        <v>0.4</v>
      </c>
      <c r="H26" s="1">
        <v>45</v>
      </c>
      <c r="I26" s="1"/>
      <c r="J26" s="1"/>
      <c r="K26" s="1">
        <f t="shared" si="2"/>
        <v>556</v>
      </c>
      <c r="L26" s="1"/>
      <c r="M26" s="1"/>
      <c r="N26" s="1">
        <v>375</v>
      </c>
      <c r="O26" s="1">
        <f t="shared" si="3"/>
        <v>111.2</v>
      </c>
      <c r="P26" s="5">
        <f>12*O26-N26-F26</f>
        <v>901.40000000000009</v>
      </c>
      <c r="Q26" s="5">
        <f t="shared" si="9"/>
        <v>500</v>
      </c>
      <c r="R26" s="5"/>
      <c r="S26" s="1"/>
      <c r="T26" s="1">
        <f t="shared" si="6"/>
        <v>12</v>
      </c>
      <c r="U26" s="1">
        <f t="shared" si="7"/>
        <v>3.8938848920863309</v>
      </c>
      <c r="V26" s="1">
        <v>76.8</v>
      </c>
      <c r="W26" s="1">
        <v>81</v>
      </c>
      <c r="X26" s="1">
        <v>32</v>
      </c>
      <c r="Y26" s="1">
        <v>71.8</v>
      </c>
      <c r="Z26" s="1">
        <v>16.8</v>
      </c>
      <c r="AA26" s="1">
        <v>40.4</v>
      </c>
      <c r="AB26" s="1">
        <v>49.8</v>
      </c>
      <c r="AC26" s="1">
        <v>36</v>
      </c>
      <c r="AD26" s="1">
        <v>45</v>
      </c>
      <c r="AE26" s="1">
        <v>42</v>
      </c>
      <c r="AF26" s="1" t="s">
        <v>41</v>
      </c>
      <c r="AG26" s="1">
        <f t="shared" si="10"/>
        <v>360.56000000000006</v>
      </c>
      <c r="AH26" s="1">
        <v>200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40</v>
      </c>
      <c r="C27" s="1"/>
      <c r="D27" s="1"/>
      <c r="E27" s="1">
        <v>-2.04</v>
      </c>
      <c r="F27" s="1"/>
      <c r="G27" s="7">
        <v>1</v>
      </c>
      <c r="H27" s="1">
        <v>45</v>
      </c>
      <c r="I27" s="1"/>
      <c r="J27" s="1"/>
      <c r="K27" s="1">
        <f t="shared" si="2"/>
        <v>-2.04</v>
      </c>
      <c r="L27" s="1"/>
      <c r="M27" s="1"/>
      <c r="N27" s="1">
        <v>0</v>
      </c>
      <c r="O27" s="1">
        <f t="shared" si="3"/>
        <v>-0.40800000000000003</v>
      </c>
      <c r="P27" s="15">
        <v>0</v>
      </c>
      <c r="Q27" s="5">
        <f t="shared" si="9"/>
        <v>50</v>
      </c>
      <c r="R27" s="5"/>
      <c r="S27" s="1"/>
      <c r="T27" s="1">
        <f t="shared" si="6"/>
        <v>0</v>
      </c>
      <c r="U27" s="1">
        <f t="shared" si="7"/>
        <v>0</v>
      </c>
      <c r="V27" s="1">
        <v>0</v>
      </c>
      <c r="W27" s="1">
        <v>-1.0229999999999999</v>
      </c>
      <c r="X27" s="1">
        <v>-2.2675999999999998</v>
      </c>
      <c r="Y27" s="1">
        <v>-1.6468</v>
      </c>
      <c r="Z27" s="1">
        <v>3.5444</v>
      </c>
      <c r="AA27" s="1">
        <v>5.8918000000000008</v>
      </c>
      <c r="AB27" s="1">
        <v>1.589</v>
      </c>
      <c r="AC27" s="1">
        <v>3.5724</v>
      </c>
      <c r="AD27" s="1">
        <v>7.2114000000000003</v>
      </c>
      <c r="AE27" s="1">
        <v>10.528</v>
      </c>
      <c r="AF27" s="1" t="s">
        <v>143</v>
      </c>
      <c r="AG27" s="1">
        <f t="shared" si="10"/>
        <v>0</v>
      </c>
      <c r="AH27" s="1">
        <v>50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40</v>
      </c>
      <c r="C28" s="1">
        <v>79.75</v>
      </c>
      <c r="D28" s="1"/>
      <c r="E28" s="1">
        <v>68.781999999999996</v>
      </c>
      <c r="F28" s="1">
        <v>-8.2899999999999991</v>
      </c>
      <c r="G28" s="7">
        <v>1</v>
      </c>
      <c r="H28" s="1">
        <v>40</v>
      </c>
      <c r="I28" s="1"/>
      <c r="J28" s="1"/>
      <c r="K28" s="1">
        <f t="shared" si="2"/>
        <v>68.781999999999996</v>
      </c>
      <c r="L28" s="1"/>
      <c r="M28" s="1"/>
      <c r="N28" s="1">
        <v>400</v>
      </c>
      <c r="O28" s="1">
        <f t="shared" si="3"/>
        <v>13.756399999999999</v>
      </c>
      <c r="P28" s="5"/>
      <c r="Q28" s="5">
        <f t="shared" si="9"/>
        <v>300</v>
      </c>
      <c r="R28" s="5"/>
      <c r="S28" s="1"/>
      <c r="T28" s="1">
        <f t="shared" si="6"/>
        <v>28.474746299904044</v>
      </c>
      <c r="U28" s="1">
        <f t="shared" si="7"/>
        <v>28.474746299904044</v>
      </c>
      <c r="V28" s="1">
        <v>73.383800000000008</v>
      </c>
      <c r="W28" s="1">
        <v>63.937800000000003</v>
      </c>
      <c r="X28" s="1">
        <v>50.796999999999997</v>
      </c>
      <c r="Y28" s="1">
        <v>52.100800000000007</v>
      </c>
      <c r="Z28" s="1">
        <v>30.1144</v>
      </c>
      <c r="AA28" s="1">
        <v>43.735199999999999</v>
      </c>
      <c r="AB28" s="1">
        <v>32.511600000000001</v>
      </c>
      <c r="AC28" s="1">
        <v>38.621600000000001</v>
      </c>
      <c r="AD28" s="1">
        <v>36.813200000000002</v>
      </c>
      <c r="AE28" s="1">
        <v>61.632800000000003</v>
      </c>
      <c r="AF28" s="1" t="s">
        <v>68</v>
      </c>
      <c r="AG28" s="1">
        <f t="shared" si="10"/>
        <v>0</v>
      </c>
      <c r="AH28" s="1">
        <v>300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436</v>
      </c>
      <c r="D29" s="1"/>
      <c r="E29" s="13">
        <f>337+E68</f>
        <v>388</v>
      </c>
      <c r="F29" s="13">
        <f>82+F68</f>
        <v>-1</v>
      </c>
      <c r="G29" s="7">
        <v>0.4</v>
      </c>
      <c r="H29" s="1">
        <v>40</v>
      </c>
      <c r="I29" s="1"/>
      <c r="J29" s="1"/>
      <c r="K29" s="1">
        <f t="shared" si="2"/>
        <v>388</v>
      </c>
      <c r="L29" s="1"/>
      <c r="M29" s="1"/>
      <c r="N29" s="1">
        <v>375</v>
      </c>
      <c r="O29" s="1">
        <f t="shared" si="3"/>
        <v>77.599999999999994</v>
      </c>
      <c r="P29" s="5">
        <f>13*O29-N29-F29</f>
        <v>634.79999999999995</v>
      </c>
      <c r="Q29" s="5">
        <f t="shared" si="9"/>
        <v>500</v>
      </c>
      <c r="R29" s="5"/>
      <c r="S29" s="1"/>
      <c r="T29" s="1">
        <f t="shared" si="6"/>
        <v>13</v>
      </c>
      <c r="U29" s="1">
        <f t="shared" si="7"/>
        <v>4.81958762886598</v>
      </c>
      <c r="V29" s="1">
        <v>73.599999999999994</v>
      </c>
      <c r="W29" s="1">
        <v>84.2</v>
      </c>
      <c r="X29" s="1">
        <v>59.6</v>
      </c>
      <c r="Y29" s="1">
        <v>17.8</v>
      </c>
      <c r="Z29" s="1">
        <v>43.6</v>
      </c>
      <c r="AA29" s="1">
        <v>8</v>
      </c>
      <c r="AB29" s="1">
        <v>13.4</v>
      </c>
      <c r="AC29" s="1">
        <v>43.2</v>
      </c>
      <c r="AD29" s="1">
        <v>45</v>
      </c>
      <c r="AE29" s="1">
        <v>48.6</v>
      </c>
      <c r="AF29" s="1"/>
      <c r="AG29" s="1">
        <f t="shared" si="10"/>
        <v>253.92</v>
      </c>
      <c r="AH29" s="1">
        <v>200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40</v>
      </c>
      <c r="C30" s="1">
        <v>43.847999999999999</v>
      </c>
      <c r="D30" s="1"/>
      <c r="E30" s="1">
        <v>33.539000000000001</v>
      </c>
      <c r="F30" s="1">
        <v>3.1789999999999998</v>
      </c>
      <c r="G30" s="7">
        <v>1</v>
      </c>
      <c r="H30" s="1">
        <v>40</v>
      </c>
      <c r="I30" s="1"/>
      <c r="J30" s="1"/>
      <c r="K30" s="1">
        <f t="shared" si="2"/>
        <v>33.539000000000001</v>
      </c>
      <c r="L30" s="1"/>
      <c r="M30" s="1"/>
      <c r="N30" s="1">
        <v>600</v>
      </c>
      <c r="O30" s="1">
        <f t="shared" si="3"/>
        <v>6.7078000000000007</v>
      </c>
      <c r="P30" s="5"/>
      <c r="Q30" s="5">
        <f t="shared" si="9"/>
        <v>500</v>
      </c>
      <c r="R30" s="5"/>
      <c r="S30" s="1"/>
      <c r="T30" s="1">
        <f t="shared" si="6"/>
        <v>89.922031068308527</v>
      </c>
      <c r="U30" s="1">
        <f t="shared" si="7"/>
        <v>89.922031068308527</v>
      </c>
      <c r="V30" s="1">
        <v>101.7424</v>
      </c>
      <c r="W30" s="1">
        <v>70.320999999999998</v>
      </c>
      <c r="X30" s="1">
        <v>31.195599999999999</v>
      </c>
      <c r="Y30" s="1">
        <v>86.638599999999997</v>
      </c>
      <c r="Z30" s="1">
        <v>36.289200000000001</v>
      </c>
      <c r="AA30" s="1">
        <v>39.682399999999987</v>
      </c>
      <c r="AB30" s="1">
        <v>51.965400000000002</v>
      </c>
      <c r="AC30" s="1">
        <v>44.451999999999998</v>
      </c>
      <c r="AD30" s="1">
        <v>63.459200000000003</v>
      </c>
      <c r="AE30" s="1">
        <v>78.9392</v>
      </c>
      <c r="AF30" s="1"/>
      <c r="AG30" s="1">
        <f t="shared" si="10"/>
        <v>0</v>
      </c>
      <c r="AH30" s="1">
        <v>500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234</v>
      </c>
      <c r="D31" s="1"/>
      <c r="E31" s="1">
        <v>226</v>
      </c>
      <c r="F31" s="1">
        <v>-1</v>
      </c>
      <c r="G31" s="7">
        <v>0.35</v>
      </c>
      <c r="H31" s="1">
        <v>45</v>
      </c>
      <c r="I31" s="1"/>
      <c r="J31" s="1"/>
      <c r="K31" s="1">
        <f t="shared" si="2"/>
        <v>226</v>
      </c>
      <c r="L31" s="1"/>
      <c r="M31" s="1"/>
      <c r="N31" s="1">
        <v>0</v>
      </c>
      <c r="O31" s="1">
        <f t="shared" si="3"/>
        <v>45.2</v>
      </c>
      <c r="P31" s="5">
        <f>8*O31-N31-F31</f>
        <v>362.6</v>
      </c>
      <c r="Q31" s="5">
        <f t="shared" si="9"/>
        <v>285.71428571428572</v>
      </c>
      <c r="R31" s="5"/>
      <c r="S31" s="1"/>
      <c r="T31" s="1">
        <f t="shared" si="6"/>
        <v>8</v>
      </c>
      <c r="U31" s="1">
        <f t="shared" si="7"/>
        <v>-2.2123893805309734E-2</v>
      </c>
      <c r="V31" s="1">
        <v>-7.4</v>
      </c>
      <c r="W31" s="1">
        <v>-3</v>
      </c>
      <c r="X31" s="1">
        <v>31.4</v>
      </c>
      <c r="Y31" s="1">
        <v>14.6</v>
      </c>
      <c r="Z31" s="1">
        <v>13.4</v>
      </c>
      <c r="AA31" s="1">
        <v>13</v>
      </c>
      <c r="AB31" s="1">
        <v>5.8</v>
      </c>
      <c r="AC31" s="1">
        <v>10.4</v>
      </c>
      <c r="AD31" s="1">
        <v>21.4</v>
      </c>
      <c r="AE31" s="1">
        <v>25.4</v>
      </c>
      <c r="AF31" s="1"/>
      <c r="AG31" s="1">
        <f t="shared" si="10"/>
        <v>126.91</v>
      </c>
      <c r="AH31" s="1">
        <v>100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40</v>
      </c>
      <c r="C32" s="1">
        <v>157.376</v>
      </c>
      <c r="D32" s="1">
        <v>207.053</v>
      </c>
      <c r="E32" s="13">
        <f>305.845+E69</f>
        <v>307.233</v>
      </c>
      <c r="F32" s="13">
        <f>57.472+F69</f>
        <v>56.084000000000003</v>
      </c>
      <c r="G32" s="7">
        <v>1</v>
      </c>
      <c r="H32" s="1">
        <v>45</v>
      </c>
      <c r="I32" s="1"/>
      <c r="J32" s="1"/>
      <c r="K32" s="1">
        <f t="shared" si="2"/>
        <v>307.233</v>
      </c>
      <c r="L32" s="1"/>
      <c r="M32" s="1"/>
      <c r="N32" s="1">
        <v>250</v>
      </c>
      <c r="O32" s="1">
        <f t="shared" si="3"/>
        <v>61.446600000000004</v>
      </c>
      <c r="P32" s="5">
        <f>13*O32-N32-F32</f>
        <v>492.72180000000009</v>
      </c>
      <c r="Q32" s="5">
        <f t="shared" si="9"/>
        <v>150</v>
      </c>
      <c r="R32" s="5"/>
      <c r="S32" s="1"/>
      <c r="T32" s="1">
        <f t="shared" si="6"/>
        <v>13</v>
      </c>
      <c r="U32" s="1">
        <f t="shared" si="7"/>
        <v>4.9813008368241691</v>
      </c>
      <c r="V32" s="1">
        <v>21.238199999999999</v>
      </c>
      <c r="W32" s="1">
        <v>19.3474</v>
      </c>
      <c r="X32" s="1">
        <v>-3.7848000000000002</v>
      </c>
      <c r="Y32" s="1">
        <v>14.282400000000001</v>
      </c>
      <c r="Z32" s="1">
        <v>5.0250000000000004</v>
      </c>
      <c r="AA32" s="1">
        <v>14.044600000000001</v>
      </c>
      <c r="AB32" s="1">
        <v>22.450199999999999</v>
      </c>
      <c r="AC32" s="1">
        <v>12.824400000000001</v>
      </c>
      <c r="AD32" s="1">
        <v>20.8032</v>
      </c>
      <c r="AE32" s="1">
        <v>46.749000000000002</v>
      </c>
      <c r="AF32" s="1"/>
      <c r="AG32" s="1">
        <f t="shared" si="10"/>
        <v>492.72180000000009</v>
      </c>
      <c r="AH32" s="1">
        <v>150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/>
      <c r="D33" s="1">
        <v>246</v>
      </c>
      <c r="E33" s="1">
        <v>234</v>
      </c>
      <c r="F33" s="1">
        <v>12</v>
      </c>
      <c r="G33" s="7">
        <v>0.45</v>
      </c>
      <c r="H33" s="1">
        <v>45</v>
      </c>
      <c r="I33" s="1" t="s">
        <v>128</v>
      </c>
      <c r="J33" s="1"/>
      <c r="K33" s="1">
        <f t="shared" si="2"/>
        <v>234</v>
      </c>
      <c r="L33" s="1"/>
      <c r="M33" s="1"/>
      <c r="N33" s="1">
        <v>444.44444444444451</v>
      </c>
      <c r="O33" s="1">
        <f t="shared" si="3"/>
        <v>46.8</v>
      </c>
      <c r="P33" s="5">
        <f t="shared" si="8"/>
        <v>385.95555555555546</v>
      </c>
      <c r="Q33" s="5">
        <f t="shared" si="9"/>
        <v>333.33333333333331</v>
      </c>
      <c r="R33" s="5"/>
      <c r="S33" s="1"/>
      <c r="T33" s="1">
        <f t="shared" si="6"/>
        <v>18</v>
      </c>
      <c r="U33" s="1">
        <f t="shared" si="7"/>
        <v>9.7530864197530889</v>
      </c>
      <c r="V33" s="1">
        <v>0</v>
      </c>
      <c r="W33" s="1">
        <v>-0.8</v>
      </c>
      <c r="X33" s="1">
        <v>30</v>
      </c>
      <c r="Y33" s="1">
        <v>60</v>
      </c>
      <c r="Z33" s="1">
        <v>29.2</v>
      </c>
      <c r="AA33" s="1">
        <v>35.4</v>
      </c>
      <c r="AB33" s="1">
        <v>32.6</v>
      </c>
      <c r="AC33" s="1">
        <v>39</v>
      </c>
      <c r="AD33" s="1">
        <v>33.4</v>
      </c>
      <c r="AE33" s="1">
        <v>58.6</v>
      </c>
      <c r="AF33" s="1" t="s">
        <v>128</v>
      </c>
      <c r="AG33" s="1">
        <f t="shared" si="10"/>
        <v>173.67999999999995</v>
      </c>
      <c r="AH33" s="1">
        <v>150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40</v>
      </c>
      <c r="C34" s="1">
        <v>722.92499999999995</v>
      </c>
      <c r="D34" s="1">
        <v>913.68299999999999</v>
      </c>
      <c r="E34" s="1">
        <v>1030.963</v>
      </c>
      <c r="F34" s="1">
        <v>604.57500000000005</v>
      </c>
      <c r="G34" s="7">
        <v>1</v>
      </c>
      <c r="H34" s="1">
        <v>45</v>
      </c>
      <c r="I34" s="1"/>
      <c r="J34" s="1"/>
      <c r="K34" s="1">
        <f t="shared" si="2"/>
        <v>1030.963</v>
      </c>
      <c r="L34" s="1"/>
      <c r="M34" s="1"/>
      <c r="N34" s="1">
        <v>800</v>
      </c>
      <c r="O34" s="1">
        <f t="shared" si="3"/>
        <v>206.1926</v>
      </c>
      <c r="P34" s="5">
        <f>15*O34-N34-F34</f>
        <v>1688.3140000000001</v>
      </c>
      <c r="Q34" s="5">
        <f t="shared" si="9"/>
        <v>700</v>
      </c>
      <c r="R34" s="5"/>
      <c r="S34" s="1"/>
      <c r="T34" s="1">
        <f t="shared" si="6"/>
        <v>15</v>
      </c>
      <c r="U34" s="1">
        <f t="shared" si="7"/>
        <v>6.8119563941673951</v>
      </c>
      <c r="V34" s="1">
        <v>139.56960000000001</v>
      </c>
      <c r="W34" s="1">
        <v>180.1</v>
      </c>
      <c r="X34" s="1">
        <v>98.6922</v>
      </c>
      <c r="Y34" s="1">
        <v>107.6404</v>
      </c>
      <c r="Z34" s="1">
        <v>63.856999999999992</v>
      </c>
      <c r="AA34" s="1">
        <v>64.816000000000003</v>
      </c>
      <c r="AB34" s="1">
        <v>101.94459999999999</v>
      </c>
      <c r="AC34" s="1">
        <v>77.189400000000006</v>
      </c>
      <c r="AD34" s="1">
        <v>94.509199999999993</v>
      </c>
      <c r="AE34" s="1">
        <v>121.8096</v>
      </c>
      <c r="AF34" s="1"/>
      <c r="AG34" s="1">
        <f t="shared" si="10"/>
        <v>1688.3140000000001</v>
      </c>
      <c r="AH34" s="1">
        <v>700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40</v>
      </c>
      <c r="C35" s="1">
        <v>106.36199999999999</v>
      </c>
      <c r="D35" s="1"/>
      <c r="E35" s="1">
        <v>95.132999999999996</v>
      </c>
      <c r="F35" s="1">
        <v>3.903</v>
      </c>
      <c r="G35" s="7">
        <v>1</v>
      </c>
      <c r="H35" s="1">
        <v>40</v>
      </c>
      <c r="I35" s="1"/>
      <c r="J35" s="1"/>
      <c r="K35" s="1">
        <f t="shared" si="2"/>
        <v>95.132999999999996</v>
      </c>
      <c r="L35" s="1"/>
      <c r="M35" s="1"/>
      <c r="N35" s="1">
        <v>100</v>
      </c>
      <c r="O35" s="1">
        <f t="shared" si="3"/>
        <v>19.026599999999998</v>
      </c>
      <c r="P35" s="5">
        <f>13*O35-N35-F35</f>
        <v>143.44279999999998</v>
      </c>
      <c r="Q35" s="5">
        <f t="shared" si="9"/>
        <v>0</v>
      </c>
      <c r="R35" s="5"/>
      <c r="S35" s="1"/>
      <c r="T35" s="1">
        <f t="shared" si="6"/>
        <v>13.000000000000002</v>
      </c>
      <c r="U35" s="1">
        <f t="shared" si="7"/>
        <v>5.4609336402720405</v>
      </c>
      <c r="V35" s="1">
        <v>-0.11799999999999999</v>
      </c>
      <c r="W35" s="1">
        <v>1.087</v>
      </c>
      <c r="X35" s="1">
        <v>12.9772</v>
      </c>
      <c r="Y35" s="1">
        <v>-0.1676</v>
      </c>
      <c r="Z35" s="1">
        <v>11.728400000000001</v>
      </c>
      <c r="AA35" s="1">
        <v>0</v>
      </c>
      <c r="AB35" s="1">
        <v>4.9908000000000001</v>
      </c>
      <c r="AC35" s="1">
        <v>8.2157999999999998</v>
      </c>
      <c r="AD35" s="1">
        <v>9.1988000000000003</v>
      </c>
      <c r="AE35" s="1">
        <v>-4.9188000000000001</v>
      </c>
      <c r="AF35" s="1"/>
      <c r="AG35" s="1">
        <f t="shared" si="10"/>
        <v>143.44279999999998</v>
      </c>
      <c r="AH35" s="1"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36</v>
      </c>
      <c r="C36" s="1">
        <v>560</v>
      </c>
      <c r="D36" s="1">
        <v>250</v>
      </c>
      <c r="E36" s="1">
        <v>304</v>
      </c>
      <c r="F36" s="1">
        <v>491</v>
      </c>
      <c r="G36" s="7">
        <v>0.4</v>
      </c>
      <c r="H36" s="1">
        <v>55</v>
      </c>
      <c r="I36" s="1"/>
      <c r="J36" s="1"/>
      <c r="K36" s="1">
        <f t="shared" si="2"/>
        <v>304</v>
      </c>
      <c r="L36" s="1"/>
      <c r="M36" s="1"/>
      <c r="N36" s="1">
        <v>0</v>
      </c>
      <c r="O36" s="1">
        <f t="shared" si="3"/>
        <v>60.8</v>
      </c>
      <c r="P36" s="5">
        <f t="shared" ref="P36:P37" si="11">16*O36-N36-F36</f>
        <v>481.79999999999995</v>
      </c>
      <c r="Q36" s="5">
        <f t="shared" si="9"/>
        <v>250</v>
      </c>
      <c r="R36" s="5"/>
      <c r="S36" s="1"/>
      <c r="T36" s="1">
        <f t="shared" si="6"/>
        <v>16</v>
      </c>
      <c r="U36" s="1">
        <f t="shared" si="7"/>
        <v>8.0756578947368425</v>
      </c>
      <c r="V36" s="1">
        <v>34.799999999999997</v>
      </c>
      <c r="W36" s="1">
        <v>47.4</v>
      </c>
      <c r="X36" s="1">
        <v>52.6</v>
      </c>
      <c r="Y36" s="1">
        <v>35.4</v>
      </c>
      <c r="Z36" s="1">
        <v>31.6</v>
      </c>
      <c r="AA36" s="1">
        <v>32.799999999999997</v>
      </c>
      <c r="AB36" s="1">
        <v>35.799999999999997</v>
      </c>
      <c r="AC36" s="1">
        <v>33.200000000000003</v>
      </c>
      <c r="AD36" s="1">
        <v>25</v>
      </c>
      <c r="AE36" s="1">
        <v>23.4</v>
      </c>
      <c r="AF36" s="1"/>
      <c r="AG36" s="1">
        <f t="shared" si="10"/>
        <v>192.72</v>
      </c>
      <c r="AH36" s="1">
        <v>100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40</v>
      </c>
      <c r="C37" s="1">
        <v>1061.357</v>
      </c>
      <c r="D37" s="1">
        <v>510.11700000000002</v>
      </c>
      <c r="E37" s="13">
        <f>611.611+E70</f>
        <v>708.52700000000004</v>
      </c>
      <c r="F37" s="13">
        <f>945.07+F70</f>
        <v>799.12100000000009</v>
      </c>
      <c r="G37" s="7">
        <v>1</v>
      </c>
      <c r="H37" s="1">
        <v>60</v>
      </c>
      <c r="I37" s="1"/>
      <c r="J37" s="1"/>
      <c r="K37" s="1">
        <f t="shared" si="2"/>
        <v>708.52700000000004</v>
      </c>
      <c r="L37" s="1"/>
      <c r="M37" s="1"/>
      <c r="N37" s="1">
        <v>300</v>
      </c>
      <c r="O37" s="1">
        <f t="shared" si="3"/>
        <v>141.7054</v>
      </c>
      <c r="P37" s="5">
        <f t="shared" si="11"/>
        <v>1168.1653999999999</v>
      </c>
      <c r="Q37" s="5">
        <f t="shared" si="9"/>
        <v>800</v>
      </c>
      <c r="R37" s="5"/>
      <c r="S37" s="1"/>
      <c r="T37" s="1">
        <f t="shared" si="6"/>
        <v>16</v>
      </c>
      <c r="U37" s="1">
        <f t="shared" si="7"/>
        <v>7.7563804907928713</v>
      </c>
      <c r="V37" s="1">
        <v>71.686799999999991</v>
      </c>
      <c r="W37" s="1">
        <v>101.5622</v>
      </c>
      <c r="X37" s="1">
        <v>58.765200000000007</v>
      </c>
      <c r="Y37" s="1">
        <v>85.500399999999999</v>
      </c>
      <c r="Z37" s="1">
        <v>85.436199999999999</v>
      </c>
      <c r="AA37" s="1">
        <v>56.302600000000012</v>
      </c>
      <c r="AB37" s="1">
        <v>64.710799999999992</v>
      </c>
      <c r="AC37" s="1">
        <v>58.065399999999997</v>
      </c>
      <c r="AD37" s="1">
        <v>95.907600000000002</v>
      </c>
      <c r="AE37" s="1">
        <v>42.9452</v>
      </c>
      <c r="AF37" s="1"/>
      <c r="AG37" s="1">
        <f t="shared" si="10"/>
        <v>1168.1653999999999</v>
      </c>
      <c r="AH37" s="1">
        <v>800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36</v>
      </c>
      <c r="C38" s="1"/>
      <c r="D38" s="1"/>
      <c r="E38" s="1">
        <v>-7</v>
      </c>
      <c r="F38" s="1"/>
      <c r="G38" s="7">
        <v>0.5</v>
      </c>
      <c r="H38" s="1">
        <v>60</v>
      </c>
      <c r="I38" s="1"/>
      <c r="J38" s="1"/>
      <c r="K38" s="1">
        <f t="shared" ref="K38:K74" si="12">E38-J38</f>
        <v>-7</v>
      </c>
      <c r="L38" s="1"/>
      <c r="M38" s="1"/>
      <c r="N38" s="1">
        <v>400</v>
      </c>
      <c r="O38" s="1">
        <f t="shared" ref="O38:O69" si="13">E38/5</f>
        <v>-1.4</v>
      </c>
      <c r="P38" s="5"/>
      <c r="Q38" s="5">
        <f t="shared" si="9"/>
        <v>400</v>
      </c>
      <c r="R38" s="5"/>
      <c r="S38" s="1"/>
      <c r="T38" s="1">
        <f t="shared" si="6"/>
        <v>-285.71428571428572</v>
      </c>
      <c r="U38" s="1">
        <f t="shared" si="7"/>
        <v>-285.71428571428572</v>
      </c>
      <c r="V38" s="1">
        <v>-0.6</v>
      </c>
      <c r="W38" s="1">
        <v>-1</v>
      </c>
      <c r="X38" s="1">
        <v>17.399999999999999</v>
      </c>
      <c r="Y38" s="1">
        <v>18.600000000000001</v>
      </c>
      <c r="Z38" s="1">
        <v>17.399999999999999</v>
      </c>
      <c r="AA38" s="1">
        <v>24.8</v>
      </c>
      <c r="AB38" s="1">
        <v>20.2</v>
      </c>
      <c r="AC38" s="1">
        <v>24.4</v>
      </c>
      <c r="AD38" s="1">
        <v>18.2</v>
      </c>
      <c r="AE38" s="1">
        <v>25.2</v>
      </c>
      <c r="AF38" s="1" t="s">
        <v>79</v>
      </c>
      <c r="AG38" s="1">
        <f t="shared" si="10"/>
        <v>0</v>
      </c>
      <c r="AH38" s="1">
        <v>200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40</v>
      </c>
      <c r="C39" s="1">
        <v>317.37700000000001</v>
      </c>
      <c r="D39" s="1">
        <v>706.54600000000005</v>
      </c>
      <c r="E39" s="1">
        <v>403.71100000000001</v>
      </c>
      <c r="F39" s="13">
        <f>610.058+F71</f>
        <v>597.39499999999998</v>
      </c>
      <c r="G39" s="7">
        <v>1</v>
      </c>
      <c r="H39" s="1">
        <v>60</v>
      </c>
      <c r="I39" s="1"/>
      <c r="J39" s="1"/>
      <c r="K39" s="1">
        <f t="shared" si="12"/>
        <v>403.71100000000001</v>
      </c>
      <c r="L39" s="1"/>
      <c r="M39" s="1"/>
      <c r="N39" s="1">
        <v>800</v>
      </c>
      <c r="O39" s="1">
        <f t="shared" si="13"/>
        <v>80.742199999999997</v>
      </c>
      <c r="P39" s="5">
        <f t="shared" si="8"/>
        <v>55.964600000000019</v>
      </c>
      <c r="Q39" s="5">
        <f t="shared" si="9"/>
        <v>0</v>
      </c>
      <c r="R39" s="5"/>
      <c r="S39" s="1"/>
      <c r="T39" s="1">
        <f t="shared" si="6"/>
        <v>18</v>
      </c>
      <c r="U39" s="1">
        <f t="shared" si="7"/>
        <v>17.306872985873557</v>
      </c>
      <c r="V39" s="1">
        <v>97.954199999999986</v>
      </c>
      <c r="W39" s="1">
        <v>100.349</v>
      </c>
      <c r="X39" s="1">
        <v>59.334600000000002</v>
      </c>
      <c r="Y39" s="1">
        <v>78.549799999999991</v>
      </c>
      <c r="Z39" s="1">
        <v>63.152200000000008</v>
      </c>
      <c r="AA39" s="1">
        <v>80.092999999999989</v>
      </c>
      <c r="AB39" s="1">
        <v>87.305800000000005</v>
      </c>
      <c r="AC39" s="1">
        <v>43.424400000000013</v>
      </c>
      <c r="AD39" s="1">
        <v>122.80240000000001</v>
      </c>
      <c r="AE39" s="1">
        <v>82.569600000000008</v>
      </c>
      <c r="AF39" s="1"/>
      <c r="AG39" s="1">
        <f t="shared" si="10"/>
        <v>55.964600000000019</v>
      </c>
      <c r="AH39" s="1"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40</v>
      </c>
      <c r="C40" s="1">
        <v>591.87400000000002</v>
      </c>
      <c r="D40" s="1">
        <v>704.755</v>
      </c>
      <c r="E40" s="13">
        <f>416.025+E72</f>
        <v>500.25699999999995</v>
      </c>
      <c r="F40" s="13">
        <f>855.672+F72</f>
        <v>761.47800000000007</v>
      </c>
      <c r="G40" s="7">
        <v>1</v>
      </c>
      <c r="H40" s="1">
        <v>60</v>
      </c>
      <c r="I40" s="1"/>
      <c r="J40" s="1"/>
      <c r="K40" s="1">
        <f t="shared" si="12"/>
        <v>500.25699999999995</v>
      </c>
      <c r="L40" s="1"/>
      <c r="M40" s="1"/>
      <c r="N40" s="1">
        <v>250</v>
      </c>
      <c r="O40" s="1">
        <f t="shared" si="13"/>
        <v>100.05139999999999</v>
      </c>
      <c r="P40" s="5">
        <f t="shared" si="8"/>
        <v>789.44719999999961</v>
      </c>
      <c r="Q40" s="5">
        <f t="shared" si="9"/>
        <v>500</v>
      </c>
      <c r="R40" s="5"/>
      <c r="S40" s="1"/>
      <c r="T40" s="1">
        <f t="shared" si="6"/>
        <v>18</v>
      </c>
      <c r="U40" s="1">
        <f t="shared" si="7"/>
        <v>10.109583673991571</v>
      </c>
      <c r="V40" s="1">
        <v>47.908200000000001</v>
      </c>
      <c r="W40" s="1">
        <v>92.847399999999993</v>
      </c>
      <c r="X40" s="1">
        <v>49.596200000000003</v>
      </c>
      <c r="Y40" s="1">
        <v>60.602400000000003</v>
      </c>
      <c r="Z40" s="1">
        <v>64.268599999999992</v>
      </c>
      <c r="AA40" s="1">
        <v>67.176999999999992</v>
      </c>
      <c r="AB40" s="1">
        <v>61.669400000000003</v>
      </c>
      <c r="AC40" s="1">
        <v>49.305399999999999</v>
      </c>
      <c r="AD40" s="1">
        <v>61.301200000000009</v>
      </c>
      <c r="AE40" s="1">
        <v>118.1164</v>
      </c>
      <c r="AF40" s="1"/>
      <c r="AG40" s="1">
        <f t="shared" si="10"/>
        <v>789.44719999999961</v>
      </c>
      <c r="AH40" s="1">
        <v>500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36</v>
      </c>
      <c r="C41" s="1">
        <v>400</v>
      </c>
      <c r="D41" s="1">
        <v>490</v>
      </c>
      <c r="E41" s="13">
        <f>381+E73</f>
        <v>434</v>
      </c>
      <c r="F41" s="13">
        <f>495+F73</f>
        <v>427</v>
      </c>
      <c r="G41" s="7">
        <v>0.4</v>
      </c>
      <c r="H41" s="1">
        <v>60</v>
      </c>
      <c r="I41" s="1"/>
      <c r="J41" s="1"/>
      <c r="K41" s="1">
        <f t="shared" si="12"/>
        <v>434</v>
      </c>
      <c r="L41" s="1"/>
      <c r="M41" s="1"/>
      <c r="N41" s="1">
        <v>500</v>
      </c>
      <c r="O41" s="1">
        <f t="shared" si="13"/>
        <v>86.8</v>
      </c>
      <c r="P41" s="5">
        <f t="shared" si="8"/>
        <v>635.39999999999986</v>
      </c>
      <c r="Q41" s="5">
        <f t="shared" si="9"/>
        <v>375</v>
      </c>
      <c r="R41" s="5"/>
      <c r="S41" s="1"/>
      <c r="T41" s="1">
        <f t="shared" si="6"/>
        <v>18</v>
      </c>
      <c r="U41" s="1">
        <f t="shared" si="7"/>
        <v>10.679723502304148</v>
      </c>
      <c r="V41" s="1">
        <v>51.4</v>
      </c>
      <c r="W41" s="1">
        <v>51.4</v>
      </c>
      <c r="X41" s="1">
        <v>70.400000000000006</v>
      </c>
      <c r="Y41" s="1">
        <v>39.6</v>
      </c>
      <c r="Z41" s="1">
        <v>63</v>
      </c>
      <c r="AA41" s="1">
        <v>83.8</v>
      </c>
      <c r="AB41" s="1">
        <v>27.6</v>
      </c>
      <c r="AC41" s="1">
        <v>0</v>
      </c>
      <c r="AD41" s="1">
        <v>-0.6</v>
      </c>
      <c r="AE41" s="1">
        <v>29.6</v>
      </c>
      <c r="AF41" s="1" t="s">
        <v>83</v>
      </c>
      <c r="AG41" s="1">
        <f t="shared" si="10"/>
        <v>254.15999999999997</v>
      </c>
      <c r="AH41" s="1">
        <v>150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40</v>
      </c>
      <c r="C42" s="1">
        <v>847.15</v>
      </c>
      <c r="D42" s="1">
        <v>708.55799999999999</v>
      </c>
      <c r="E42" s="13">
        <f>535.653+E74</f>
        <v>626.34799999999996</v>
      </c>
      <c r="F42" s="13">
        <f>975.504+F74</f>
        <v>858.30200000000002</v>
      </c>
      <c r="G42" s="7">
        <v>1</v>
      </c>
      <c r="H42" s="1">
        <v>60</v>
      </c>
      <c r="I42" s="1"/>
      <c r="J42" s="1"/>
      <c r="K42" s="1">
        <f t="shared" si="12"/>
        <v>626.34799999999996</v>
      </c>
      <c r="L42" s="1"/>
      <c r="M42" s="1"/>
      <c r="N42" s="1">
        <v>700</v>
      </c>
      <c r="O42" s="1">
        <f t="shared" si="13"/>
        <v>125.2696</v>
      </c>
      <c r="P42" s="5">
        <f t="shared" si="8"/>
        <v>696.55080000000009</v>
      </c>
      <c r="Q42" s="5">
        <f t="shared" si="9"/>
        <v>300</v>
      </c>
      <c r="R42" s="5"/>
      <c r="S42" s="1"/>
      <c r="T42" s="1">
        <f t="shared" si="6"/>
        <v>18</v>
      </c>
      <c r="U42" s="1">
        <f t="shared" si="7"/>
        <v>12.439586300267583</v>
      </c>
      <c r="V42" s="1">
        <v>82.332599999999999</v>
      </c>
      <c r="W42" s="1">
        <v>110.2586</v>
      </c>
      <c r="X42" s="1">
        <v>74.565799999999996</v>
      </c>
      <c r="Y42" s="1">
        <v>112.387</v>
      </c>
      <c r="Z42" s="1">
        <v>76.830799999999996</v>
      </c>
      <c r="AA42" s="1">
        <v>99.215400000000002</v>
      </c>
      <c r="AB42" s="1">
        <v>55.567799999999998</v>
      </c>
      <c r="AC42" s="1">
        <v>8.0313999999999997</v>
      </c>
      <c r="AD42" s="1">
        <v>121.01779999999999</v>
      </c>
      <c r="AE42" s="1">
        <v>70.008200000000002</v>
      </c>
      <c r="AF42" s="1"/>
      <c r="AG42" s="1">
        <f t="shared" si="10"/>
        <v>696.55080000000009</v>
      </c>
      <c r="AH42" s="1">
        <v>300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36</v>
      </c>
      <c r="C43" s="1">
        <v>282</v>
      </c>
      <c r="D43" s="1">
        <v>200</v>
      </c>
      <c r="E43" s="1">
        <v>186</v>
      </c>
      <c r="F43" s="1">
        <v>292</v>
      </c>
      <c r="G43" s="7">
        <v>0.5</v>
      </c>
      <c r="H43" s="1">
        <v>60</v>
      </c>
      <c r="I43" s="1"/>
      <c r="J43" s="1"/>
      <c r="K43" s="1">
        <f t="shared" si="12"/>
        <v>186</v>
      </c>
      <c r="L43" s="1"/>
      <c r="M43" s="1"/>
      <c r="N43" s="1">
        <v>200</v>
      </c>
      <c r="O43" s="1">
        <f t="shared" si="13"/>
        <v>37.200000000000003</v>
      </c>
      <c r="P43" s="5">
        <f t="shared" si="8"/>
        <v>177.60000000000002</v>
      </c>
      <c r="Q43" s="5">
        <f t="shared" si="9"/>
        <v>0</v>
      </c>
      <c r="R43" s="5"/>
      <c r="S43" s="1"/>
      <c r="T43" s="1">
        <f t="shared" si="6"/>
        <v>18</v>
      </c>
      <c r="U43" s="1">
        <f t="shared" si="7"/>
        <v>13.225806451612902</v>
      </c>
      <c r="V43" s="1">
        <v>24</v>
      </c>
      <c r="W43" s="1">
        <v>30.4</v>
      </c>
      <c r="X43" s="1">
        <v>34.799999999999997</v>
      </c>
      <c r="Y43" s="1">
        <v>12</v>
      </c>
      <c r="Z43" s="1">
        <v>30</v>
      </c>
      <c r="AA43" s="1">
        <v>14.6</v>
      </c>
      <c r="AB43" s="1">
        <v>14.8</v>
      </c>
      <c r="AC43" s="1">
        <v>26.4</v>
      </c>
      <c r="AD43" s="1">
        <v>17.600000000000001</v>
      </c>
      <c r="AE43" s="1">
        <v>-13</v>
      </c>
      <c r="AF43" s="1"/>
      <c r="AG43" s="1">
        <f t="shared" si="10"/>
        <v>88.800000000000011</v>
      </c>
      <c r="AH43" s="1"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36</v>
      </c>
      <c r="C44" s="1">
        <v>250</v>
      </c>
      <c r="D44" s="1"/>
      <c r="E44" s="1">
        <v>186</v>
      </c>
      <c r="F44" s="1">
        <v>63</v>
      </c>
      <c r="G44" s="7">
        <v>0.4</v>
      </c>
      <c r="H44" s="1">
        <v>50</v>
      </c>
      <c r="I44" s="1"/>
      <c r="J44" s="1"/>
      <c r="K44" s="1">
        <f t="shared" si="12"/>
        <v>186</v>
      </c>
      <c r="L44" s="1"/>
      <c r="M44" s="1"/>
      <c r="N44" s="1">
        <v>250</v>
      </c>
      <c r="O44" s="1">
        <f t="shared" si="13"/>
        <v>37.200000000000003</v>
      </c>
      <c r="P44" s="5">
        <f t="shared" ref="P44:P45" si="14">16*O44-N44-F44</f>
        <v>282.20000000000005</v>
      </c>
      <c r="Q44" s="5">
        <f t="shared" si="9"/>
        <v>0</v>
      </c>
      <c r="R44" s="5"/>
      <c r="S44" s="1"/>
      <c r="T44" s="1">
        <f t="shared" si="6"/>
        <v>16</v>
      </c>
      <c r="U44" s="1">
        <f t="shared" si="7"/>
        <v>8.413978494623656</v>
      </c>
      <c r="V44" s="1">
        <v>7.2</v>
      </c>
      <c r="W44" s="1">
        <v>33.6</v>
      </c>
      <c r="X44" s="1">
        <v>13.8</v>
      </c>
      <c r="Y44" s="1">
        <v>3.6</v>
      </c>
      <c r="Z44" s="1">
        <v>18</v>
      </c>
      <c r="AA44" s="1">
        <v>2</v>
      </c>
      <c r="AB44" s="1">
        <v>14.8</v>
      </c>
      <c r="AC44" s="1">
        <v>10</v>
      </c>
      <c r="AD44" s="1">
        <v>12.4</v>
      </c>
      <c r="AE44" s="1">
        <v>28.8</v>
      </c>
      <c r="AF44" s="1"/>
      <c r="AG44" s="1">
        <f t="shared" si="10"/>
        <v>112.88000000000002</v>
      </c>
      <c r="AH44" s="1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40</v>
      </c>
      <c r="C45" s="1">
        <v>1329.654</v>
      </c>
      <c r="D45" s="1">
        <v>1328.9570000000001</v>
      </c>
      <c r="E45" s="13">
        <f>1355.76+E75</f>
        <v>1544.7</v>
      </c>
      <c r="F45" s="13">
        <f>1290.114+F75</f>
        <v>1099.703</v>
      </c>
      <c r="G45" s="7">
        <v>1</v>
      </c>
      <c r="H45" s="1">
        <v>40</v>
      </c>
      <c r="I45" s="1"/>
      <c r="J45" s="1"/>
      <c r="K45" s="1">
        <f t="shared" si="12"/>
        <v>1544.7</v>
      </c>
      <c r="L45" s="1"/>
      <c r="M45" s="1"/>
      <c r="N45" s="1">
        <v>1400</v>
      </c>
      <c r="O45" s="1">
        <f t="shared" si="13"/>
        <v>308.94</v>
      </c>
      <c r="P45" s="5">
        <f t="shared" si="14"/>
        <v>2443.337</v>
      </c>
      <c r="Q45" s="5">
        <f t="shared" si="9"/>
        <v>800</v>
      </c>
      <c r="R45" s="5"/>
      <c r="S45" s="1"/>
      <c r="T45" s="1">
        <f t="shared" si="6"/>
        <v>16</v>
      </c>
      <c r="U45" s="1">
        <f t="shared" si="7"/>
        <v>8.0912248333009646</v>
      </c>
      <c r="V45" s="1">
        <v>180.2038</v>
      </c>
      <c r="W45" s="1">
        <v>186.25219999999999</v>
      </c>
      <c r="X45" s="1">
        <v>170.7062</v>
      </c>
      <c r="Y45" s="1">
        <v>157.10579999999999</v>
      </c>
      <c r="Z45" s="1">
        <v>121.3802</v>
      </c>
      <c r="AA45" s="1">
        <v>149.50800000000001</v>
      </c>
      <c r="AB45" s="1">
        <v>99.543199999999999</v>
      </c>
      <c r="AC45" s="1">
        <v>122.8976</v>
      </c>
      <c r="AD45" s="1">
        <v>177.56960000000001</v>
      </c>
      <c r="AE45" s="1">
        <v>186.5068</v>
      </c>
      <c r="AF45" s="1" t="s">
        <v>88</v>
      </c>
      <c r="AG45" s="1">
        <f t="shared" si="10"/>
        <v>2443.337</v>
      </c>
      <c r="AH45" s="1">
        <v>800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40</v>
      </c>
      <c r="C46" s="1"/>
      <c r="D46" s="1"/>
      <c r="E46" s="13">
        <f>E50</f>
        <v>436.90899999999999</v>
      </c>
      <c r="F46" s="13">
        <f>F50</f>
        <v>467.83399999999995</v>
      </c>
      <c r="G46" s="7">
        <v>1</v>
      </c>
      <c r="H46" s="1">
        <v>60</v>
      </c>
      <c r="I46" s="1" t="s">
        <v>90</v>
      </c>
      <c r="J46" s="1"/>
      <c r="K46" s="1">
        <f t="shared" si="12"/>
        <v>436.90899999999999</v>
      </c>
      <c r="L46" s="1"/>
      <c r="M46" s="1"/>
      <c r="N46" s="1">
        <v>300</v>
      </c>
      <c r="O46" s="1">
        <f t="shared" si="13"/>
        <v>87.381799999999998</v>
      </c>
      <c r="P46" s="5">
        <f>17*O46-N46-F46</f>
        <v>717.65660000000014</v>
      </c>
      <c r="Q46" s="5">
        <f t="shared" si="9"/>
        <v>300</v>
      </c>
      <c r="R46" s="5"/>
      <c r="S46" s="1"/>
      <c r="T46" s="1">
        <f t="shared" si="6"/>
        <v>17</v>
      </c>
      <c r="U46" s="1">
        <f t="shared" si="7"/>
        <v>8.7871158525001771</v>
      </c>
      <c r="V46" s="1">
        <v>52.2682</v>
      </c>
      <c r="W46" s="1">
        <v>64.69</v>
      </c>
      <c r="X46" s="1">
        <v>62.803800000000003</v>
      </c>
      <c r="Y46" s="1">
        <v>53.181800000000003</v>
      </c>
      <c r="Z46" s="1">
        <v>50.882399999999997</v>
      </c>
      <c r="AA46" s="1">
        <v>72.921199999999999</v>
      </c>
      <c r="AB46" s="1">
        <v>35.092599999999997</v>
      </c>
      <c r="AC46" s="1">
        <v>0</v>
      </c>
      <c r="AD46" s="1">
        <v>63.048000000000002</v>
      </c>
      <c r="AE46" s="1">
        <v>34.984400000000008</v>
      </c>
      <c r="AF46" s="1" t="s">
        <v>53</v>
      </c>
      <c r="AG46" s="1">
        <f t="shared" si="10"/>
        <v>717.65660000000014</v>
      </c>
      <c r="AH46" s="1">
        <v>300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40</v>
      </c>
      <c r="C47" s="1">
        <v>539.19100000000003</v>
      </c>
      <c r="D47" s="1">
        <v>99.866</v>
      </c>
      <c r="E47" s="1">
        <v>204.715</v>
      </c>
      <c r="F47" s="13">
        <f>426.183+F76</f>
        <v>386.9</v>
      </c>
      <c r="G47" s="7">
        <v>1</v>
      </c>
      <c r="H47" s="1">
        <v>70</v>
      </c>
      <c r="I47" s="1"/>
      <c r="J47" s="1"/>
      <c r="K47" s="1">
        <f t="shared" si="12"/>
        <v>204.715</v>
      </c>
      <c r="L47" s="1"/>
      <c r="M47" s="1"/>
      <c r="N47" s="1">
        <v>200</v>
      </c>
      <c r="O47" s="1">
        <f t="shared" si="13"/>
        <v>40.942999999999998</v>
      </c>
      <c r="P47" s="5">
        <f t="shared" si="8"/>
        <v>150.07399999999996</v>
      </c>
      <c r="Q47" s="5">
        <f t="shared" si="9"/>
        <v>200</v>
      </c>
      <c r="R47" s="5"/>
      <c r="S47" s="1"/>
      <c r="T47" s="1">
        <f t="shared" si="6"/>
        <v>18</v>
      </c>
      <c r="U47" s="1">
        <f t="shared" si="7"/>
        <v>14.334562684708009</v>
      </c>
      <c r="V47" s="1">
        <v>37.980400000000003</v>
      </c>
      <c r="W47" s="1">
        <v>41.710799999999992</v>
      </c>
      <c r="X47" s="1">
        <v>54.906599999999997</v>
      </c>
      <c r="Y47" s="1">
        <v>45.410400000000003</v>
      </c>
      <c r="Z47" s="1">
        <v>38.8108</v>
      </c>
      <c r="AA47" s="1">
        <v>48.449599999999997</v>
      </c>
      <c r="AB47" s="1">
        <v>16.1174</v>
      </c>
      <c r="AC47" s="1">
        <v>20.751799999999999</v>
      </c>
      <c r="AD47" s="1">
        <v>45.137800000000013</v>
      </c>
      <c r="AE47" s="1">
        <v>-7.9296000000000006</v>
      </c>
      <c r="AF47" s="1" t="s">
        <v>53</v>
      </c>
      <c r="AG47" s="1">
        <f t="shared" si="10"/>
        <v>150.07399999999996</v>
      </c>
      <c r="AH47" s="1">
        <v>200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36</v>
      </c>
      <c r="C48" s="1">
        <v>115</v>
      </c>
      <c r="D48" s="1"/>
      <c r="E48" s="13">
        <f>52+E77</f>
        <v>56</v>
      </c>
      <c r="F48" s="13">
        <f>38+F77</f>
        <v>-5</v>
      </c>
      <c r="G48" s="7">
        <v>0.4</v>
      </c>
      <c r="H48" s="1">
        <v>40</v>
      </c>
      <c r="I48" s="1"/>
      <c r="J48" s="1"/>
      <c r="K48" s="1">
        <f t="shared" si="12"/>
        <v>56</v>
      </c>
      <c r="L48" s="1"/>
      <c r="M48" s="1"/>
      <c r="N48" s="1">
        <v>1250</v>
      </c>
      <c r="O48" s="1">
        <f t="shared" si="13"/>
        <v>11.2</v>
      </c>
      <c r="P48" s="5"/>
      <c r="Q48" s="5">
        <f t="shared" si="9"/>
        <v>1000</v>
      </c>
      <c r="R48" s="5"/>
      <c r="S48" s="1"/>
      <c r="T48" s="1">
        <f t="shared" si="6"/>
        <v>111.16071428571429</v>
      </c>
      <c r="U48" s="1">
        <f t="shared" si="7"/>
        <v>111.16071428571429</v>
      </c>
      <c r="V48" s="1">
        <v>162.19999999999999</v>
      </c>
      <c r="W48" s="1">
        <v>101</v>
      </c>
      <c r="X48" s="1">
        <v>156.80000000000001</v>
      </c>
      <c r="Y48" s="1">
        <v>131.19999999999999</v>
      </c>
      <c r="Z48" s="1">
        <v>90.8</v>
      </c>
      <c r="AA48" s="1">
        <v>120.6</v>
      </c>
      <c r="AB48" s="1">
        <v>69</v>
      </c>
      <c r="AC48" s="1">
        <v>90.4</v>
      </c>
      <c r="AD48" s="1">
        <v>106.2</v>
      </c>
      <c r="AE48" s="1">
        <v>97</v>
      </c>
      <c r="AF48" s="1"/>
      <c r="AG48" s="1">
        <f t="shared" si="10"/>
        <v>0</v>
      </c>
      <c r="AH48" s="1">
        <v>400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40</v>
      </c>
      <c r="C49" s="1">
        <v>331.52</v>
      </c>
      <c r="D49" s="1"/>
      <c r="E49" s="13">
        <f>235.894+E78</f>
        <v>264.29599999999999</v>
      </c>
      <c r="F49" s="13">
        <f>51.722+F78</f>
        <v>-3.7669999999999959</v>
      </c>
      <c r="G49" s="7">
        <v>1</v>
      </c>
      <c r="H49" s="1">
        <v>40</v>
      </c>
      <c r="I49" s="1"/>
      <c r="J49" s="1"/>
      <c r="K49" s="1">
        <f t="shared" si="12"/>
        <v>264.29599999999999</v>
      </c>
      <c r="L49" s="1"/>
      <c r="M49" s="1"/>
      <c r="N49" s="1">
        <v>300</v>
      </c>
      <c r="O49" s="1">
        <f t="shared" si="13"/>
        <v>52.859200000000001</v>
      </c>
      <c r="P49" s="5">
        <f>14*O49-N49-F49</f>
        <v>443.79580000000004</v>
      </c>
      <c r="Q49" s="5">
        <f t="shared" si="9"/>
        <v>400</v>
      </c>
      <c r="R49" s="5"/>
      <c r="S49" s="1"/>
      <c r="T49" s="1">
        <f t="shared" si="6"/>
        <v>14</v>
      </c>
      <c r="U49" s="1">
        <f t="shared" si="7"/>
        <v>5.6041899990919273</v>
      </c>
      <c r="V49" s="1">
        <v>80.7958</v>
      </c>
      <c r="W49" s="1">
        <v>81.067800000000005</v>
      </c>
      <c r="X49" s="1">
        <v>74.38000000000001</v>
      </c>
      <c r="Y49" s="1">
        <v>66.489400000000003</v>
      </c>
      <c r="Z49" s="1">
        <v>46.83</v>
      </c>
      <c r="AA49" s="1">
        <v>73.261200000000002</v>
      </c>
      <c r="AB49" s="1">
        <v>38.764600000000002</v>
      </c>
      <c r="AC49" s="1">
        <v>47.242800000000003</v>
      </c>
      <c r="AD49" s="1">
        <v>86.790400000000005</v>
      </c>
      <c r="AE49" s="1">
        <v>80.720399999999998</v>
      </c>
      <c r="AF49" s="1" t="s">
        <v>53</v>
      </c>
      <c r="AG49" s="1">
        <f t="shared" si="10"/>
        <v>443.79580000000004</v>
      </c>
      <c r="AH49" s="1">
        <v>400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94</v>
      </c>
      <c r="B50" s="10" t="s">
        <v>40</v>
      </c>
      <c r="C50" s="10">
        <v>608.34299999999996</v>
      </c>
      <c r="D50" s="10">
        <v>302.351</v>
      </c>
      <c r="E50" s="13">
        <f>370.568+E79</f>
        <v>436.90899999999999</v>
      </c>
      <c r="F50" s="13">
        <f>534.175+F79</f>
        <v>467.83399999999995</v>
      </c>
      <c r="G50" s="11">
        <v>0</v>
      </c>
      <c r="H50" s="10"/>
      <c r="I50" s="10" t="s">
        <v>95</v>
      </c>
      <c r="J50" s="10"/>
      <c r="K50" s="10">
        <f t="shared" si="12"/>
        <v>436.90899999999999</v>
      </c>
      <c r="L50" s="10"/>
      <c r="M50" s="10"/>
      <c r="N50" s="10"/>
      <c r="O50" s="10">
        <f t="shared" si="13"/>
        <v>87.381799999999998</v>
      </c>
      <c r="P50" s="12"/>
      <c r="Q50" s="12"/>
      <c r="R50" s="12"/>
      <c r="S50" s="10"/>
      <c r="T50" s="10">
        <f t="shared" si="6"/>
        <v>5.3539066487529432</v>
      </c>
      <c r="U50" s="10">
        <f t="shared" si="7"/>
        <v>5.3539066487529432</v>
      </c>
      <c r="V50" s="10">
        <v>0</v>
      </c>
      <c r="W50" s="10">
        <v>68.954399999999993</v>
      </c>
      <c r="X50" s="10">
        <v>62.803800000000003</v>
      </c>
      <c r="Y50" s="10">
        <v>53.181800000000003</v>
      </c>
      <c r="Z50" s="10">
        <v>50.882399999999997</v>
      </c>
      <c r="AA50" s="10">
        <v>72.921199999999999</v>
      </c>
      <c r="AB50" s="10">
        <v>35.092599999999997</v>
      </c>
      <c r="AC50" s="10">
        <v>47.344999999999999</v>
      </c>
      <c r="AD50" s="10">
        <v>63.048000000000002</v>
      </c>
      <c r="AE50" s="10">
        <v>34.984400000000008</v>
      </c>
      <c r="AF50" s="10"/>
      <c r="AG50" s="10"/>
      <c r="AH50" s="1"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124</v>
      </c>
      <c r="B51" s="1" t="s">
        <v>40</v>
      </c>
      <c r="C51" s="1">
        <v>157.60499999999999</v>
      </c>
      <c r="D51" s="1">
        <v>107.705</v>
      </c>
      <c r="E51" s="1">
        <v>142.70599999999999</v>
      </c>
      <c r="F51" s="1">
        <v>121.232</v>
      </c>
      <c r="G51" s="7">
        <v>1</v>
      </c>
      <c r="H51" s="1">
        <v>50</v>
      </c>
      <c r="I51" s="1"/>
      <c r="J51" s="1"/>
      <c r="K51" s="1">
        <f t="shared" ref="K51:K57" si="15">E51-J51</f>
        <v>142.70599999999999</v>
      </c>
      <c r="L51" s="1"/>
      <c r="M51" s="1"/>
      <c r="N51" s="1">
        <v>100</v>
      </c>
      <c r="O51" s="1">
        <f t="shared" si="13"/>
        <v>28.541199999999996</v>
      </c>
      <c r="P51" s="5">
        <f>16*O51-N51-F51</f>
        <v>235.42719999999994</v>
      </c>
      <c r="Q51" s="5">
        <f t="shared" ref="Q51:Q56" si="16">AH51/G51</f>
        <v>0</v>
      </c>
      <c r="R51" s="5"/>
      <c r="S51" s="1"/>
      <c r="T51" s="1">
        <f t="shared" ref="T51:T57" si="17">(F51+N51+P51)/O51</f>
        <v>16</v>
      </c>
      <c r="U51" s="1">
        <f t="shared" ref="U51:U57" si="18">(F51+N51)/O51</f>
        <v>7.751320897509566</v>
      </c>
      <c r="V51" s="1">
        <v>13.0962</v>
      </c>
      <c r="W51" s="1">
        <v>20.655000000000001</v>
      </c>
      <c r="X51" s="1">
        <v>24.9056</v>
      </c>
      <c r="Y51" s="1">
        <v>2.1402000000000001</v>
      </c>
      <c r="Z51" s="1">
        <v>12.6754</v>
      </c>
      <c r="AA51" s="1">
        <v>13.949400000000001</v>
      </c>
      <c r="AB51" s="1">
        <v>8.5684000000000005</v>
      </c>
      <c r="AC51" s="1">
        <v>9.5191999999999997</v>
      </c>
      <c r="AD51" s="1">
        <v>13.788</v>
      </c>
      <c r="AE51" s="1">
        <v>15.5586</v>
      </c>
      <c r="AF51" s="1"/>
      <c r="AG51" s="1">
        <f t="shared" ref="AG51:AG57" si="19">G51*P51</f>
        <v>235.42719999999994</v>
      </c>
      <c r="AH51" s="1"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125</v>
      </c>
      <c r="B52" s="1" t="s">
        <v>36</v>
      </c>
      <c r="C52" s="1">
        <v>44</v>
      </c>
      <c r="D52" s="1">
        <v>780</v>
      </c>
      <c r="E52" s="13">
        <f>279+E80</f>
        <v>288</v>
      </c>
      <c r="F52" s="13">
        <f>537+F80</f>
        <v>528</v>
      </c>
      <c r="G52" s="7">
        <v>0.45</v>
      </c>
      <c r="H52" s="1">
        <v>50</v>
      </c>
      <c r="I52" s="1"/>
      <c r="J52" s="1"/>
      <c r="K52" s="1">
        <f t="shared" si="15"/>
        <v>288</v>
      </c>
      <c r="L52" s="1"/>
      <c r="M52" s="1"/>
      <c r="N52" s="1">
        <v>333.33333333333331</v>
      </c>
      <c r="O52" s="1">
        <f t="shared" si="13"/>
        <v>57.6</v>
      </c>
      <c r="P52" s="5">
        <f t="shared" ref="P52:P56" si="20">18*O52-N52-F52</f>
        <v>175.4666666666667</v>
      </c>
      <c r="Q52" s="5">
        <f t="shared" si="16"/>
        <v>0</v>
      </c>
      <c r="R52" s="5"/>
      <c r="S52" s="1"/>
      <c r="T52" s="1">
        <f t="shared" si="17"/>
        <v>18</v>
      </c>
      <c r="U52" s="1">
        <f t="shared" si="18"/>
        <v>14.953703703703702</v>
      </c>
      <c r="V52" s="1">
        <v>35</v>
      </c>
      <c r="W52" s="1">
        <v>33.4</v>
      </c>
      <c r="X52" s="1">
        <v>40.6</v>
      </c>
      <c r="Y52" s="1">
        <v>22.6</v>
      </c>
      <c r="Z52" s="1">
        <v>24.6</v>
      </c>
      <c r="AA52" s="1">
        <v>28.8</v>
      </c>
      <c r="AB52" s="1">
        <v>24</v>
      </c>
      <c r="AC52" s="1">
        <v>33.799999999999997</v>
      </c>
      <c r="AD52" s="1">
        <v>31.2</v>
      </c>
      <c r="AE52" s="1">
        <v>35</v>
      </c>
      <c r="AF52" s="1"/>
      <c r="AG52" s="1">
        <f t="shared" si="19"/>
        <v>78.960000000000022</v>
      </c>
      <c r="AH52" s="1"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126</v>
      </c>
      <c r="B53" s="1" t="s">
        <v>36</v>
      </c>
      <c r="C53" s="1">
        <v>556</v>
      </c>
      <c r="D53" s="1">
        <v>630</v>
      </c>
      <c r="E53" s="13">
        <f>382+E81</f>
        <v>394</v>
      </c>
      <c r="F53" s="13">
        <f>795+F81</f>
        <v>783</v>
      </c>
      <c r="G53" s="7">
        <v>0.4</v>
      </c>
      <c r="H53" s="1">
        <v>50</v>
      </c>
      <c r="I53" s="1"/>
      <c r="J53" s="1"/>
      <c r="K53" s="1">
        <f t="shared" si="15"/>
        <v>394</v>
      </c>
      <c r="L53" s="1"/>
      <c r="M53" s="1"/>
      <c r="N53" s="1">
        <v>625</v>
      </c>
      <c r="O53" s="1">
        <f t="shared" si="13"/>
        <v>78.8</v>
      </c>
      <c r="P53" s="5">
        <f t="shared" si="20"/>
        <v>10.399999999999864</v>
      </c>
      <c r="Q53" s="5">
        <f t="shared" si="16"/>
        <v>250</v>
      </c>
      <c r="R53" s="5"/>
      <c r="S53" s="1"/>
      <c r="T53" s="1">
        <f t="shared" si="17"/>
        <v>18</v>
      </c>
      <c r="U53" s="1">
        <f t="shared" si="18"/>
        <v>17.868020304568528</v>
      </c>
      <c r="V53" s="1">
        <v>60</v>
      </c>
      <c r="W53" s="1">
        <v>74.599999999999994</v>
      </c>
      <c r="X53" s="1">
        <v>25.8</v>
      </c>
      <c r="Y53" s="1">
        <v>46.2</v>
      </c>
      <c r="Z53" s="1">
        <v>43.4</v>
      </c>
      <c r="AA53" s="1">
        <v>23.2</v>
      </c>
      <c r="AB53" s="1">
        <v>34.6</v>
      </c>
      <c r="AC53" s="1">
        <v>26.6</v>
      </c>
      <c r="AD53" s="1">
        <v>43.2</v>
      </c>
      <c r="AE53" s="1">
        <v>71</v>
      </c>
      <c r="AF53" s="1"/>
      <c r="AG53" s="1">
        <f t="shared" si="19"/>
        <v>4.159999999999946</v>
      </c>
      <c r="AH53" s="1">
        <v>100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127</v>
      </c>
      <c r="B54" s="1" t="s">
        <v>40</v>
      </c>
      <c r="C54" s="1">
        <v>147.87</v>
      </c>
      <c r="D54" s="1">
        <v>150.37200000000001</v>
      </c>
      <c r="E54" s="1">
        <v>130.608</v>
      </c>
      <c r="F54" s="1">
        <v>167.63399999999999</v>
      </c>
      <c r="G54" s="7">
        <v>1</v>
      </c>
      <c r="H54" s="1">
        <v>50</v>
      </c>
      <c r="I54" s="1" t="s">
        <v>128</v>
      </c>
      <c r="J54" s="1"/>
      <c r="K54" s="1">
        <f t="shared" si="15"/>
        <v>130.608</v>
      </c>
      <c r="L54" s="1"/>
      <c r="M54" s="1"/>
      <c r="N54" s="1">
        <v>100</v>
      </c>
      <c r="O54" s="1">
        <f t="shared" si="13"/>
        <v>26.121600000000001</v>
      </c>
      <c r="P54" s="5">
        <f t="shared" si="20"/>
        <v>202.55480000000003</v>
      </c>
      <c r="Q54" s="5">
        <f t="shared" si="16"/>
        <v>100</v>
      </c>
      <c r="R54" s="5"/>
      <c r="S54" s="1"/>
      <c r="T54" s="1">
        <f t="shared" si="17"/>
        <v>18</v>
      </c>
      <c r="U54" s="1">
        <f t="shared" si="18"/>
        <v>10.245697047654049</v>
      </c>
      <c r="V54" s="1">
        <v>26.289200000000001</v>
      </c>
      <c r="W54" s="1">
        <v>25.781600000000001</v>
      </c>
      <c r="X54" s="1">
        <v>21.547599999999999</v>
      </c>
      <c r="Y54" s="1">
        <v>7.4947999999999997</v>
      </c>
      <c r="Z54" s="1">
        <v>17.145800000000001</v>
      </c>
      <c r="AA54" s="1">
        <v>15.8568</v>
      </c>
      <c r="AB54" s="1">
        <v>8.4109999999999996</v>
      </c>
      <c r="AC54" s="1">
        <v>12.446400000000001</v>
      </c>
      <c r="AD54" s="1">
        <v>12.026999999999999</v>
      </c>
      <c r="AE54" s="1">
        <v>24.9512</v>
      </c>
      <c r="AF54" s="1" t="s">
        <v>128</v>
      </c>
      <c r="AG54" s="1">
        <f t="shared" si="19"/>
        <v>202.55480000000003</v>
      </c>
      <c r="AH54" s="1">
        <v>100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129</v>
      </c>
      <c r="B55" s="1" t="s">
        <v>36</v>
      </c>
      <c r="C55" s="1">
        <v>579</v>
      </c>
      <c r="D55" s="1">
        <v>230</v>
      </c>
      <c r="E55" s="13">
        <f>635+E82</f>
        <v>657</v>
      </c>
      <c r="F55" s="13">
        <f>160+F82</f>
        <v>138</v>
      </c>
      <c r="G55" s="7">
        <v>0.45</v>
      </c>
      <c r="H55" s="1">
        <v>50</v>
      </c>
      <c r="I55" s="1"/>
      <c r="J55" s="1"/>
      <c r="K55" s="1">
        <f t="shared" si="15"/>
        <v>657</v>
      </c>
      <c r="L55" s="1"/>
      <c r="M55" s="1"/>
      <c r="N55" s="1">
        <v>444.44444444444451</v>
      </c>
      <c r="O55" s="1">
        <f t="shared" si="13"/>
        <v>131.4</v>
      </c>
      <c r="P55" s="5">
        <f>12*O55-N55-F55</f>
        <v>994.35555555555561</v>
      </c>
      <c r="Q55" s="5">
        <f t="shared" si="16"/>
        <v>444.44444444444446</v>
      </c>
      <c r="R55" s="5"/>
      <c r="S55" s="1"/>
      <c r="T55" s="1">
        <f t="shared" si="17"/>
        <v>12</v>
      </c>
      <c r="U55" s="1">
        <f t="shared" si="18"/>
        <v>4.4326061221038398</v>
      </c>
      <c r="V55" s="1">
        <v>84.8</v>
      </c>
      <c r="W55" s="1">
        <v>121</v>
      </c>
      <c r="X55" s="1">
        <v>86.2</v>
      </c>
      <c r="Y55" s="1">
        <v>103.2</v>
      </c>
      <c r="Z55" s="1">
        <v>25.4</v>
      </c>
      <c r="AA55" s="1">
        <v>55.8</v>
      </c>
      <c r="AB55" s="1">
        <v>68</v>
      </c>
      <c r="AC55" s="1">
        <v>65.2</v>
      </c>
      <c r="AD55" s="1">
        <v>53.2</v>
      </c>
      <c r="AE55" s="1">
        <v>106.2</v>
      </c>
      <c r="AF55" s="1" t="s">
        <v>53</v>
      </c>
      <c r="AG55" s="1">
        <f t="shared" si="19"/>
        <v>447.46000000000004</v>
      </c>
      <c r="AH55" s="1">
        <v>200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130</v>
      </c>
      <c r="B56" s="1" t="s">
        <v>36</v>
      </c>
      <c r="C56" s="1">
        <v>300</v>
      </c>
      <c r="D56" s="1"/>
      <c r="E56" s="13">
        <f>118+E83</f>
        <v>138</v>
      </c>
      <c r="F56" s="13">
        <f>182+F83</f>
        <v>162</v>
      </c>
      <c r="G56" s="7">
        <v>0.17</v>
      </c>
      <c r="H56" s="1">
        <v>180</v>
      </c>
      <c r="I56" s="1"/>
      <c r="J56" s="1"/>
      <c r="K56" s="1">
        <f t="shared" si="15"/>
        <v>138</v>
      </c>
      <c r="L56" s="1"/>
      <c r="M56" s="1"/>
      <c r="N56" s="1">
        <v>294.11764705882348</v>
      </c>
      <c r="O56" s="1">
        <f t="shared" si="13"/>
        <v>27.6</v>
      </c>
      <c r="P56" s="5">
        <f t="shared" si="20"/>
        <v>40.682352941176532</v>
      </c>
      <c r="Q56" s="5">
        <f t="shared" si="16"/>
        <v>0</v>
      </c>
      <c r="R56" s="5"/>
      <c r="S56" s="1"/>
      <c r="T56" s="1">
        <f t="shared" si="17"/>
        <v>18</v>
      </c>
      <c r="U56" s="1">
        <f t="shared" si="18"/>
        <v>16.526001705029834</v>
      </c>
      <c r="V56" s="1">
        <v>8.4</v>
      </c>
      <c r="W56" s="1">
        <v>11</v>
      </c>
      <c r="X56" s="1">
        <v>8.6</v>
      </c>
      <c r="Y56" s="1">
        <v>10.6</v>
      </c>
      <c r="Z56" s="1">
        <v>6.6</v>
      </c>
      <c r="AA56" s="1">
        <v>16</v>
      </c>
      <c r="AB56" s="1">
        <v>13</v>
      </c>
      <c r="AC56" s="1">
        <v>6</v>
      </c>
      <c r="AD56" s="1">
        <v>7.2</v>
      </c>
      <c r="AE56" s="1">
        <v>11.4</v>
      </c>
      <c r="AF56" s="1"/>
      <c r="AG56" s="1">
        <f t="shared" si="19"/>
        <v>6.916000000000011</v>
      </c>
      <c r="AH56" s="1">
        <f>VLOOKUP(A:A,[1]Sheet!$A:$AG,33,0)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131</v>
      </c>
      <c r="B57" s="1" t="s">
        <v>36</v>
      </c>
      <c r="C57" s="1">
        <v>206</v>
      </c>
      <c r="D57" s="1"/>
      <c r="E57" s="13">
        <f>20+E84</f>
        <v>31</v>
      </c>
      <c r="F57" s="13">
        <f>41+F84</f>
        <v>30</v>
      </c>
      <c r="G57" s="7">
        <v>0.17</v>
      </c>
      <c r="H57" s="1">
        <v>180</v>
      </c>
      <c r="I57" s="1"/>
      <c r="J57" s="1"/>
      <c r="K57" s="1">
        <f t="shared" si="15"/>
        <v>31</v>
      </c>
      <c r="L57" s="1"/>
      <c r="M57" s="1"/>
      <c r="N57" s="1">
        <v>294.11764705882348</v>
      </c>
      <c r="O57" s="1">
        <f t="shared" si="13"/>
        <v>6.2</v>
      </c>
      <c r="P57" s="5"/>
      <c r="Q57" s="5"/>
      <c r="R57" s="5"/>
      <c r="S57" s="1"/>
      <c r="T57" s="1">
        <f t="shared" si="17"/>
        <v>52.277039848197333</v>
      </c>
      <c r="U57" s="1">
        <f t="shared" si="18"/>
        <v>52.277039848197333</v>
      </c>
      <c r="V57" s="1">
        <v>12</v>
      </c>
      <c r="W57" s="1">
        <v>6.8</v>
      </c>
      <c r="X57" s="1">
        <v>14</v>
      </c>
      <c r="Y57" s="1">
        <v>16.600000000000001</v>
      </c>
      <c r="Z57" s="1">
        <v>26.4</v>
      </c>
      <c r="AA57" s="1">
        <v>16.399999999999999</v>
      </c>
      <c r="AB57" s="1">
        <v>19.600000000000001</v>
      </c>
      <c r="AC57" s="1">
        <v>0</v>
      </c>
      <c r="AD57" s="1">
        <v>34</v>
      </c>
      <c r="AE57" s="1">
        <v>0</v>
      </c>
      <c r="AF57" s="1"/>
      <c r="AG57" s="1">
        <f t="shared" si="19"/>
        <v>0</v>
      </c>
      <c r="AH57" s="1">
        <f>VLOOKUP(A:A,[1]Sheet!$A:$AG,33,0)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40</v>
      </c>
      <c r="C58" s="1">
        <v>-7.5759999999999996</v>
      </c>
      <c r="D58" s="1"/>
      <c r="E58" s="13">
        <v>90.941000000000003</v>
      </c>
      <c r="F58" s="13">
        <v>-98.516999999999996</v>
      </c>
      <c r="G58" s="7">
        <v>0</v>
      </c>
      <c r="H58" s="1"/>
      <c r="I58" s="1" t="s">
        <v>97</v>
      </c>
      <c r="J58" s="1"/>
      <c r="K58" s="1">
        <f t="shared" si="12"/>
        <v>90.941000000000003</v>
      </c>
      <c r="L58" s="1"/>
      <c r="M58" s="1"/>
      <c r="N58" s="1"/>
      <c r="O58" s="1">
        <f t="shared" si="13"/>
        <v>18.188200000000002</v>
      </c>
      <c r="P58" s="5"/>
      <c r="Q58" s="5"/>
      <c r="R58" s="5"/>
      <c r="S58" s="1"/>
      <c r="T58" s="1">
        <f t="shared" si="6"/>
        <v>-5.4165337966373794</v>
      </c>
      <c r="U58" s="1">
        <f t="shared" si="7"/>
        <v>-5.4165337966373794</v>
      </c>
      <c r="V58" s="1">
        <v>0</v>
      </c>
      <c r="W58" s="1">
        <v>10.5002</v>
      </c>
      <c r="X58" s="1">
        <v>7.4804000000000004</v>
      </c>
      <c r="Y58" s="1">
        <v>10.991199999999999</v>
      </c>
      <c r="Z58" s="1">
        <v>10.4558</v>
      </c>
      <c r="AA58" s="1">
        <v>22.629000000000001</v>
      </c>
      <c r="AB58" s="1">
        <v>11.0336</v>
      </c>
      <c r="AC58" s="1">
        <v>5.0026000000000002</v>
      </c>
      <c r="AD58" s="1">
        <v>19.802800000000001</v>
      </c>
      <c r="AE58" s="1">
        <v>14.9948</v>
      </c>
      <c r="AF58" s="1"/>
      <c r="AG58" s="1"/>
      <c r="AH58" s="1">
        <f>VLOOKUP(A:A,[1]Sheet!$A:$AG,33,0)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4" t="s">
        <v>40</v>
      </c>
      <c r="C59" s="1"/>
      <c r="D59" s="1"/>
      <c r="E59" s="13">
        <v>24.686</v>
      </c>
      <c r="F59" s="13">
        <v>-24.686</v>
      </c>
      <c r="G59" s="7">
        <v>0</v>
      </c>
      <c r="H59" s="1"/>
      <c r="I59" s="1" t="s">
        <v>97</v>
      </c>
      <c r="J59" s="1"/>
      <c r="K59" s="1">
        <f t="shared" si="12"/>
        <v>24.686</v>
      </c>
      <c r="L59" s="1"/>
      <c r="M59" s="1"/>
      <c r="N59" s="1"/>
      <c r="O59" s="1">
        <f t="shared" si="13"/>
        <v>4.9371999999999998</v>
      </c>
      <c r="P59" s="5"/>
      <c r="Q59" s="5"/>
      <c r="R59" s="5"/>
      <c r="S59" s="1"/>
      <c r="T59" s="1">
        <f t="shared" si="6"/>
        <v>-5</v>
      </c>
      <c r="U59" s="1">
        <f t="shared" si="7"/>
        <v>-5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/>
      <c r="AG59" s="1"/>
      <c r="AH59" s="1">
        <f>VLOOKUP(A:A,[1]Sheet!$A:$AG,33,0)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4" t="s">
        <v>40</v>
      </c>
      <c r="C60" s="1"/>
      <c r="D60" s="1"/>
      <c r="E60" s="13">
        <v>58.853000000000002</v>
      </c>
      <c r="F60" s="13">
        <v>-58.853000000000002</v>
      </c>
      <c r="G60" s="7">
        <v>0</v>
      </c>
      <c r="H60" s="1"/>
      <c r="I60" s="1" t="s">
        <v>97</v>
      </c>
      <c r="J60" s="1"/>
      <c r="K60" s="1">
        <f t="shared" si="12"/>
        <v>58.853000000000002</v>
      </c>
      <c r="L60" s="1"/>
      <c r="M60" s="1"/>
      <c r="N60" s="1"/>
      <c r="O60" s="1">
        <f t="shared" si="13"/>
        <v>11.7706</v>
      </c>
      <c r="P60" s="5"/>
      <c r="Q60" s="5"/>
      <c r="R60" s="5"/>
      <c r="S60" s="1"/>
      <c r="T60" s="1">
        <f t="shared" si="6"/>
        <v>-5</v>
      </c>
      <c r="U60" s="1">
        <f t="shared" si="7"/>
        <v>-5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/>
      <c r="AG60" s="1"/>
      <c r="AH60" s="1">
        <f>VLOOKUP(A:A,[1]Sheet!$A:$AG,33,0)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40</v>
      </c>
      <c r="C61" s="1"/>
      <c r="D61" s="1"/>
      <c r="E61" s="13">
        <v>15.138</v>
      </c>
      <c r="F61" s="13">
        <v>-15.138</v>
      </c>
      <c r="G61" s="7">
        <v>0</v>
      </c>
      <c r="H61" s="1"/>
      <c r="I61" s="1" t="s">
        <v>97</v>
      </c>
      <c r="J61" s="1"/>
      <c r="K61" s="1">
        <f t="shared" si="12"/>
        <v>15.138</v>
      </c>
      <c r="L61" s="1"/>
      <c r="M61" s="1"/>
      <c r="N61" s="1"/>
      <c r="O61" s="1">
        <f t="shared" si="13"/>
        <v>3.0276000000000001</v>
      </c>
      <c r="P61" s="5"/>
      <c r="Q61" s="5"/>
      <c r="R61" s="5"/>
      <c r="S61" s="1"/>
      <c r="T61" s="1">
        <f t="shared" si="6"/>
        <v>-5</v>
      </c>
      <c r="U61" s="1">
        <f t="shared" si="7"/>
        <v>-5</v>
      </c>
      <c r="V61" s="1">
        <v>0</v>
      </c>
      <c r="W61" s="1">
        <v>0</v>
      </c>
      <c r="X61" s="1">
        <v>2.0068000000000001</v>
      </c>
      <c r="Y61" s="1">
        <v>1.4366000000000001</v>
      </c>
      <c r="Z61" s="1">
        <v>0.14319999999999999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/>
      <c r="AG61" s="1"/>
      <c r="AH61" s="1">
        <f>VLOOKUP(A:A,[1]Sheet!$A:$AG,33,0)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4" t="s">
        <v>40</v>
      </c>
      <c r="C62" s="1"/>
      <c r="D62" s="1"/>
      <c r="E62" s="13">
        <v>18.126000000000001</v>
      </c>
      <c r="F62" s="13">
        <v>-21.001000000000001</v>
      </c>
      <c r="G62" s="7">
        <v>0</v>
      </c>
      <c r="H62" s="1"/>
      <c r="I62" s="1" t="s">
        <v>97</v>
      </c>
      <c r="J62" s="1"/>
      <c r="K62" s="1">
        <f t="shared" si="12"/>
        <v>18.126000000000001</v>
      </c>
      <c r="L62" s="1"/>
      <c r="M62" s="1"/>
      <c r="N62" s="1"/>
      <c r="O62" s="1">
        <f t="shared" si="13"/>
        <v>3.6252000000000004</v>
      </c>
      <c r="P62" s="5"/>
      <c r="Q62" s="5"/>
      <c r="R62" s="5"/>
      <c r="S62" s="1"/>
      <c r="T62" s="1">
        <f t="shared" si="6"/>
        <v>-5.7930596932583027</v>
      </c>
      <c r="U62" s="1">
        <f t="shared" si="7"/>
        <v>-5.7930596932583027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/>
      <c r="AG62" s="1"/>
      <c r="AH62" s="1">
        <f>VLOOKUP(A:A,[1]Sheet!$A:$AG,33,0)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36</v>
      </c>
      <c r="C63" s="1"/>
      <c r="D63" s="1"/>
      <c r="E63" s="13">
        <v>69</v>
      </c>
      <c r="F63" s="13">
        <v>-77</v>
      </c>
      <c r="G63" s="7">
        <v>0</v>
      </c>
      <c r="H63" s="1"/>
      <c r="I63" s="1" t="s">
        <v>97</v>
      </c>
      <c r="J63" s="1"/>
      <c r="K63" s="1">
        <f t="shared" si="12"/>
        <v>69</v>
      </c>
      <c r="L63" s="1"/>
      <c r="M63" s="1"/>
      <c r="N63" s="1"/>
      <c r="O63" s="1">
        <f t="shared" si="13"/>
        <v>13.8</v>
      </c>
      <c r="P63" s="5"/>
      <c r="Q63" s="5"/>
      <c r="R63" s="5"/>
      <c r="S63" s="1"/>
      <c r="T63" s="1">
        <f t="shared" si="6"/>
        <v>-5.5797101449275361</v>
      </c>
      <c r="U63" s="1">
        <f t="shared" si="7"/>
        <v>-5.5797101449275361</v>
      </c>
      <c r="V63" s="1">
        <v>0</v>
      </c>
      <c r="W63" s="1">
        <v>6</v>
      </c>
      <c r="X63" s="1">
        <v>12</v>
      </c>
      <c r="Y63" s="1">
        <v>2.2000000000000002</v>
      </c>
      <c r="Z63" s="1">
        <v>3.4</v>
      </c>
      <c r="AA63" s="1">
        <v>10.8</v>
      </c>
      <c r="AB63" s="1">
        <v>2.4</v>
      </c>
      <c r="AC63" s="1">
        <v>6.6</v>
      </c>
      <c r="AD63" s="1">
        <v>6.8</v>
      </c>
      <c r="AE63" s="1">
        <v>0</v>
      </c>
      <c r="AF63" s="1"/>
      <c r="AG63" s="1"/>
      <c r="AH63" s="1">
        <f>VLOOKUP(A:A,[1]Sheet!$A:$AG,33,0)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4" t="s">
        <v>36</v>
      </c>
      <c r="C64" s="1"/>
      <c r="D64" s="1"/>
      <c r="E64" s="13">
        <v>3</v>
      </c>
      <c r="F64" s="13">
        <v>-3</v>
      </c>
      <c r="G64" s="7">
        <v>0</v>
      </c>
      <c r="H64" s="1"/>
      <c r="I64" s="1" t="s">
        <v>97</v>
      </c>
      <c r="J64" s="1"/>
      <c r="K64" s="1">
        <f t="shared" si="12"/>
        <v>3</v>
      </c>
      <c r="L64" s="1"/>
      <c r="M64" s="1"/>
      <c r="N64" s="1"/>
      <c r="O64" s="1">
        <f t="shared" si="13"/>
        <v>0.6</v>
      </c>
      <c r="P64" s="5"/>
      <c r="Q64" s="5"/>
      <c r="R64" s="5"/>
      <c r="S64" s="1"/>
      <c r="T64" s="1">
        <f t="shared" si="6"/>
        <v>-5</v>
      </c>
      <c r="U64" s="1">
        <f t="shared" si="7"/>
        <v>-5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/>
      <c r="AG64" s="1"/>
      <c r="AH64" s="1">
        <f>VLOOKUP(A:A,[1]Sheet!$A:$AG,33,0)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40</v>
      </c>
      <c r="C65" s="1"/>
      <c r="D65" s="1"/>
      <c r="E65" s="13">
        <v>44.616999999999997</v>
      </c>
      <c r="F65" s="13">
        <v>-44.616999999999997</v>
      </c>
      <c r="G65" s="7">
        <v>0</v>
      </c>
      <c r="H65" s="1"/>
      <c r="I65" s="1" t="s">
        <v>97</v>
      </c>
      <c r="J65" s="1"/>
      <c r="K65" s="1">
        <f t="shared" si="12"/>
        <v>44.616999999999997</v>
      </c>
      <c r="L65" s="1"/>
      <c r="M65" s="1"/>
      <c r="N65" s="1"/>
      <c r="O65" s="1">
        <f t="shared" si="13"/>
        <v>8.9233999999999991</v>
      </c>
      <c r="P65" s="5"/>
      <c r="Q65" s="5"/>
      <c r="R65" s="5"/>
      <c r="S65" s="1"/>
      <c r="T65" s="1">
        <f t="shared" si="6"/>
        <v>-5</v>
      </c>
      <c r="U65" s="1">
        <f t="shared" si="7"/>
        <v>-5</v>
      </c>
      <c r="V65" s="1">
        <v>0</v>
      </c>
      <c r="W65" s="1">
        <v>0.87520000000000009</v>
      </c>
      <c r="X65" s="1">
        <v>7.6360000000000001</v>
      </c>
      <c r="Y65" s="1">
        <v>2.0653999999999999</v>
      </c>
      <c r="Z65" s="1">
        <v>1.1768000000000001</v>
      </c>
      <c r="AA65" s="1">
        <v>6.3356000000000003</v>
      </c>
      <c r="AB65" s="1">
        <v>0</v>
      </c>
      <c r="AC65" s="1">
        <v>0</v>
      </c>
      <c r="AD65" s="1">
        <v>0</v>
      </c>
      <c r="AE65" s="1">
        <v>0</v>
      </c>
      <c r="AF65" s="1"/>
      <c r="AG65" s="1"/>
      <c r="AH65" s="1">
        <f>VLOOKUP(A:A,[1]Sheet!$A:$AG,33,0)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36</v>
      </c>
      <c r="C66" s="1"/>
      <c r="D66" s="1"/>
      <c r="E66" s="13">
        <v>33</v>
      </c>
      <c r="F66" s="13">
        <v>-33</v>
      </c>
      <c r="G66" s="7">
        <v>0</v>
      </c>
      <c r="H66" s="1"/>
      <c r="I66" s="1" t="s">
        <v>97</v>
      </c>
      <c r="J66" s="1"/>
      <c r="K66" s="1">
        <f t="shared" si="12"/>
        <v>33</v>
      </c>
      <c r="L66" s="1"/>
      <c r="M66" s="1"/>
      <c r="N66" s="1"/>
      <c r="O66" s="1">
        <f t="shared" si="13"/>
        <v>6.6</v>
      </c>
      <c r="P66" s="5"/>
      <c r="Q66" s="5"/>
      <c r="R66" s="5"/>
      <c r="S66" s="1"/>
      <c r="T66" s="1">
        <f t="shared" si="6"/>
        <v>-5</v>
      </c>
      <c r="U66" s="1">
        <f t="shared" si="7"/>
        <v>-5</v>
      </c>
      <c r="V66" s="1">
        <v>0</v>
      </c>
      <c r="W66" s="1">
        <v>1.8</v>
      </c>
      <c r="X66" s="1">
        <v>4.4000000000000004</v>
      </c>
      <c r="Y66" s="1">
        <v>10.199999999999999</v>
      </c>
      <c r="Z66" s="1">
        <v>1.8</v>
      </c>
      <c r="AA66" s="1">
        <v>4.5999999999999996</v>
      </c>
      <c r="AB66" s="1">
        <v>5.4</v>
      </c>
      <c r="AC66" s="1">
        <v>6.8</v>
      </c>
      <c r="AD66" s="1">
        <v>5.2</v>
      </c>
      <c r="AE66" s="1">
        <v>6.4</v>
      </c>
      <c r="AF66" s="1"/>
      <c r="AG66" s="1"/>
      <c r="AH66" s="1">
        <f>VLOOKUP(A:A,[1]Sheet!$A:$AG,33,0)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40</v>
      </c>
      <c r="C67" s="1">
        <v>-1.343</v>
      </c>
      <c r="D67" s="1"/>
      <c r="E67" s="1"/>
      <c r="F67" s="1">
        <v>-1.343</v>
      </c>
      <c r="G67" s="7">
        <v>0</v>
      </c>
      <c r="H67" s="1"/>
      <c r="I67" s="1" t="s">
        <v>97</v>
      </c>
      <c r="J67" s="1"/>
      <c r="K67" s="1">
        <f t="shared" si="12"/>
        <v>0</v>
      </c>
      <c r="L67" s="1"/>
      <c r="M67" s="1"/>
      <c r="N67" s="1"/>
      <c r="O67" s="1">
        <f t="shared" si="13"/>
        <v>0</v>
      </c>
      <c r="P67" s="5"/>
      <c r="Q67" s="5"/>
      <c r="R67" s="5"/>
      <c r="S67" s="1"/>
      <c r="T67" s="1" t="e">
        <f t="shared" si="6"/>
        <v>#DIV/0!</v>
      </c>
      <c r="U67" s="1" t="e">
        <f t="shared" si="7"/>
        <v>#DIV/0!</v>
      </c>
      <c r="V67" s="1">
        <v>0</v>
      </c>
      <c r="W67" s="1">
        <v>1.6093999999999999</v>
      </c>
      <c r="X67" s="1">
        <v>3.2229999999999999</v>
      </c>
      <c r="Y67" s="1">
        <v>5.2504</v>
      </c>
      <c r="Z67" s="1">
        <v>2.7080000000000002</v>
      </c>
      <c r="AA67" s="1">
        <v>5.9413999999999998</v>
      </c>
      <c r="AB67" s="1">
        <v>2.9916</v>
      </c>
      <c r="AC67" s="1">
        <v>4.6656000000000004</v>
      </c>
      <c r="AD67" s="1">
        <v>4.0814000000000004</v>
      </c>
      <c r="AE67" s="1">
        <v>2.9445999999999999</v>
      </c>
      <c r="AF67" s="1"/>
      <c r="AG67" s="1"/>
      <c r="AH67" s="1">
        <f>VLOOKUP(A:A,[1]Sheet!$A:$AG,33,0)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36</v>
      </c>
      <c r="C68" s="1">
        <v>-31</v>
      </c>
      <c r="D68" s="1"/>
      <c r="E68" s="13">
        <v>51</v>
      </c>
      <c r="F68" s="13">
        <v>-83</v>
      </c>
      <c r="G68" s="7">
        <v>0</v>
      </c>
      <c r="H68" s="1"/>
      <c r="I68" s="1" t="s">
        <v>97</v>
      </c>
      <c r="J68" s="1"/>
      <c r="K68" s="1">
        <f t="shared" si="12"/>
        <v>51</v>
      </c>
      <c r="L68" s="1"/>
      <c r="M68" s="1"/>
      <c r="N68" s="1"/>
      <c r="O68" s="1">
        <f t="shared" si="13"/>
        <v>10.199999999999999</v>
      </c>
      <c r="P68" s="5"/>
      <c r="Q68" s="5"/>
      <c r="R68" s="5"/>
      <c r="S68" s="1"/>
      <c r="T68" s="1">
        <f t="shared" si="6"/>
        <v>-8.1372549019607856</v>
      </c>
      <c r="U68" s="1">
        <f t="shared" si="7"/>
        <v>-8.1372549019607856</v>
      </c>
      <c r="V68" s="1">
        <v>0</v>
      </c>
      <c r="W68" s="1">
        <v>8.6</v>
      </c>
      <c r="X68" s="1">
        <v>7.2</v>
      </c>
      <c r="Y68" s="1">
        <v>3</v>
      </c>
      <c r="Z68" s="1">
        <v>5.2</v>
      </c>
      <c r="AA68" s="1">
        <v>1.4</v>
      </c>
      <c r="AB68" s="1">
        <v>2</v>
      </c>
      <c r="AC68" s="1">
        <v>6</v>
      </c>
      <c r="AD68" s="1">
        <v>5.6</v>
      </c>
      <c r="AE68" s="1">
        <v>4.4000000000000004</v>
      </c>
      <c r="AF68" s="1"/>
      <c r="AG68" s="1"/>
      <c r="AH68" s="1">
        <f>VLOOKUP(A:A,[1]Sheet!$A:$AG,33,0)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4" t="s">
        <v>40</v>
      </c>
      <c r="C69" s="1"/>
      <c r="D69" s="1"/>
      <c r="E69" s="13">
        <v>1.3879999999999999</v>
      </c>
      <c r="F69" s="13">
        <v>-1.3879999999999999</v>
      </c>
      <c r="G69" s="7">
        <v>0</v>
      </c>
      <c r="H69" s="1"/>
      <c r="I69" s="1" t="s">
        <v>97</v>
      </c>
      <c r="J69" s="1"/>
      <c r="K69" s="1">
        <f t="shared" si="12"/>
        <v>1.3879999999999999</v>
      </c>
      <c r="L69" s="1"/>
      <c r="M69" s="1"/>
      <c r="N69" s="1"/>
      <c r="O69" s="1">
        <f t="shared" si="13"/>
        <v>0.27759999999999996</v>
      </c>
      <c r="P69" s="5"/>
      <c r="Q69" s="5"/>
      <c r="R69" s="5"/>
      <c r="S69" s="1"/>
      <c r="T69" s="1">
        <f t="shared" si="6"/>
        <v>-5</v>
      </c>
      <c r="U69" s="1">
        <f t="shared" si="7"/>
        <v>-5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/>
      <c r="AG69" s="1"/>
      <c r="AH69" s="1">
        <f>VLOOKUP(A:A,[1]Sheet!$A:$AG,33,0)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40</v>
      </c>
      <c r="C70" s="1">
        <v>-49.033000000000001</v>
      </c>
      <c r="D70" s="1"/>
      <c r="E70" s="13">
        <v>96.915999999999997</v>
      </c>
      <c r="F70" s="13">
        <v>-145.94900000000001</v>
      </c>
      <c r="G70" s="7">
        <v>0</v>
      </c>
      <c r="H70" s="1"/>
      <c r="I70" s="1" t="s">
        <v>97</v>
      </c>
      <c r="J70" s="1"/>
      <c r="K70" s="1">
        <f t="shared" si="12"/>
        <v>96.915999999999997</v>
      </c>
      <c r="L70" s="1"/>
      <c r="M70" s="1"/>
      <c r="N70" s="1"/>
      <c r="O70" s="1">
        <f t="shared" ref="O70:O90" si="21">E70/5</f>
        <v>19.383199999999999</v>
      </c>
      <c r="P70" s="5"/>
      <c r="Q70" s="5"/>
      <c r="R70" s="5"/>
      <c r="S70" s="1"/>
      <c r="T70" s="1">
        <f t="shared" si="6"/>
        <v>-7.529664864418673</v>
      </c>
      <c r="U70" s="1">
        <f t="shared" si="7"/>
        <v>-7.529664864418673</v>
      </c>
      <c r="V70" s="1">
        <v>0</v>
      </c>
      <c r="W70" s="1">
        <v>12.347200000000001</v>
      </c>
      <c r="X70" s="1">
        <v>5.3330000000000002</v>
      </c>
      <c r="Y70" s="1">
        <v>4.9744000000000002</v>
      </c>
      <c r="Z70" s="1">
        <v>7.9537999999999993</v>
      </c>
      <c r="AA70" s="1">
        <v>3.4238</v>
      </c>
      <c r="AB70" s="1">
        <v>4.4067999999999996</v>
      </c>
      <c r="AC70" s="1">
        <v>8.9141999999999992</v>
      </c>
      <c r="AD70" s="1">
        <v>5.4630000000000001</v>
      </c>
      <c r="AE70" s="1">
        <v>0</v>
      </c>
      <c r="AF70" s="1"/>
      <c r="AG70" s="1"/>
      <c r="AH70" s="1">
        <f>VLOOKUP(A:A,[1]Sheet!$A:$AG,33,0)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40</v>
      </c>
      <c r="C71" s="1">
        <v>-10.183999999999999</v>
      </c>
      <c r="D71" s="1"/>
      <c r="E71" s="1"/>
      <c r="F71" s="13">
        <v>-12.663</v>
      </c>
      <c r="G71" s="7">
        <v>0</v>
      </c>
      <c r="H71" s="1"/>
      <c r="I71" s="1" t="s">
        <v>97</v>
      </c>
      <c r="J71" s="1"/>
      <c r="K71" s="1">
        <f t="shared" si="12"/>
        <v>0</v>
      </c>
      <c r="L71" s="1"/>
      <c r="M71" s="1"/>
      <c r="N71" s="1"/>
      <c r="O71" s="1">
        <f t="shared" si="21"/>
        <v>0</v>
      </c>
      <c r="P71" s="5"/>
      <c r="Q71" s="5"/>
      <c r="R71" s="5"/>
      <c r="S71" s="1"/>
      <c r="T71" s="1" t="e">
        <f t="shared" si="6"/>
        <v>#DIV/0!</v>
      </c>
      <c r="U71" s="1" t="e">
        <f t="shared" si="7"/>
        <v>#DIV/0!</v>
      </c>
      <c r="V71" s="1">
        <v>0</v>
      </c>
      <c r="W71" s="1">
        <v>7.8874000000000004</v>
      </c>
      <c r="X71" s="1">
        <v>7.6665999999999999</v>
      </c>
      <c r="Y71" s="1">
        <v>7.2304000000000004</v>
      </c>
      <c r="Z71" s="1">
        <v>7.4055999999999997</v>
      </c>
      <c r="AA71" s="1">
        <v>3.9510000000000001</v>
      </c>
      <c r="AB71" s="1">
        <v>11.465999999999999</v>
      </c>
      <c r="AC71" s="1">
        <v>4.4833999999999996</v>
      </c>
      <c r="AD71" s="1">
        <v>13.9094</v>
      </c>
      <c r="AE71" s="1">
        <v>4.4359999999999999</v>
      </c>
      <c r="AF71" s="1"/>
      <c r="AG71" s="1"/>
      <c r="AH71" s="1">
        <f>VLOOKUP(A:A,[1]Sheet!$A:$AG,33,0)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40</v>
      </c>
      <c r="C72" s="1">
        <v>-9.9619999999999997</v>
      </c>
      <c r="D72" s="1"/>
      <c r="E72" s="13">
        <v>84.231999999999999</v>
      </c>
      <c r="F72" s="13">
        <v>-94.194000000000003</v>
      </c>
      <c r="G72" s="7">
        <v>0</v>
      </c>
      <c r="H72" s="1"/>
      <c r="I72" s="1" t="s">
        <v>97</v>
      </c>
      <c r="J72" s="1"/>
      <c r="K72" s="1">
        <f t="shared" si="12"/>
        <v>84.231999999999999</v>
      </c>
      <c r="L72" s="1"/>
      <c r="M72" s="1"/>
      <c r="N72" s="1"/>
      <c r="O72" s="1">
        <f t="shared" si="21"/>
        <v>16.846399999999999</v>
      </c>
      <c r="P72" s="5"/>
      <c r="Q72" s="5"/>
      <c r="R72" s="5"/>
      <c r="S72" s="1"/>
      <c r="T72" s="1">
        <f t="shared" si="6"/>
        <v>-5.5913429575458267</v>
      </c>
      <c r="U72" s="1">
        <f t="shared" si="7"/>
        <v>-5.5913429575458267</v>
      </c>
      <c r="V72" s="1">
        <v>0</v>
      </c>
      <c r="W72" s="1">
        <v>5.4776000000000007</v>
      </c>
      <c r="X72" s="1">
        <v>3.4407999999999999</v>
      </c>
      <c r="Y72" s="1">
        <v>13.021800000000001</v>
      </c>
      <c r="Z72" s="1">
        <v>2.9964</v>
      </c>
      <c r="AA72" s="1">
        <v>2.4929999999999999</v>
      </c>
      <c r="AB72" s="1">
        <v>1.9890000000000001</v>
      </c>
      <c r="AC72" s="1">
        <v>2.0142000000000002</v>
      </c>
      <c r="AD72" s="1">
        <v>1.9912000000000001</v>
      </c>
      <c r="AE72" s="1">
        <v>16.973199999999999</v>
      </c>
      <c r="AF72" s="1"/>
      <c r="AG72" s="1"/>
      <c r="AH72" s="1">
        <f>VLOOKUP(A:A,[1]Sheet!$A:$AG,33,0)</f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36</v>
      </c>
      <c r="C73" s="1">
        <v>-15</v>
      </c>
      <c r="D73" s="1"/>
      <c r="E73" s="13">
        <v>53</v>
      </c>
      <c r="F73" s="13">
        <v>-68</v>
      </c>
      <c r="G73" s="7">
        <v>0</v>
      </c>
      <c r="H73" s="1"/>
      <c r="I73" s="1" t="s">
        <v>97</v>
      </c>
      <c r="J73" s="1"/>
      <c r="K73" s="1">
        <f t="shared" si="12"/>
        <v>53</v>
      </c>
      <c r="L73" s="1"/>
      <c r="M73" s="1"/>
      <c r="N73" s="1"/>
      <c r="O73" s="1">
        <f t="shared" si="21"/>
        <v>10.6</v>
      </c>
      <c r="P73" s="5"/>
      <c r="Q73" s="5"/>
      <c r="R73" s="5"/>
      <c r="S73" s="1"/>
      <c r="T73" s="1">
        <f t="shared" si="6"/>
        <v>-6.4150943396226419</v>
      </c>
      <c r="U73" s="1">
        <f t="shared" si="7"/>
        <v>-6.4150943396226419</v>
      </c>
      <c r="V73" s="1">
        <v>0</v>
      </c>
      <c r="W73" s="1">
        <v>5</v>
      </c>
      <c r="X73" s="1">
        <v>8.6</v>
      </c>
      <c r="Y73" s="1">
        <v>6.6</v>
      </c>
      <c r="Z73" s="1">
        <v>8</v>
      </c>
      <c r="AA73" s="1">
        <v>12.2</v>
      </c>
      <c r="AB73" s="1">
        <v>3</v>
      </c>
      <c r="AC73" s="1">
        <v>0</v>
      </c>
      <c r="AD73" s="1">
        <v>0</v>
      </c>
      <c r="AE73" s="1">
        <v>0</v>
      </c>
      <c r="AF73" s="1"/>
      <c r="AG73" s="1"/>
      <c r="AH73" s="1">
        <f>VLOOKUP(A:A,[1]Sheet!$A:$AG,33,0)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40</v>
      </c>
      <c r="C74" s="1">
        <v>-19.308</v>
      </c>
      <c r="D74" s="1"/>
      <c r="E74" s="13">
        <v>90.694999999999993</v>
      </c>
      <c r="F74" s="13">
        <v>-117.202</v>
      </c>
      <c r="G74" s="7">
        <v>0</v>
      </c>
      <c r="H74" s="1"/>
      <c r="I74" s="1" t="s">
        <v>97</v>
      </c>
      <c r="J74" s="1"/>
      <c r="K74" s="1">
        <f t="shared" si="12"/>
        <v>90.694999999999993</v>
      </c>
      <c r="L74" s="1"/>
      <c r="M74" s="1"/>
      <c r="N74" s="1"/>
      <c r="O74" s="1">
        <f t="shared" si="21"/>
        <v>18.138999999999999</v>
      </c>
      <c r="P74" s="5"/>
      <c r="Q74" s="5"/>
      <c r="R74" s="5"/>
      <c r="S74" s="1"/>
      <c r="T74" s="1">
        <f t="shared" si="6"/>
        <v>-6.4613264237278791</v>
      </c>
      <c r="U74" s="1">
        <f t="shared" si="7"/>
        <v>-6.4613264237278791</v>
      </c>
      <c r="V74" s="1">
        <v>0</v>
      </c>
      <c r="W74" s="1">
        <v>13</v>
      </c>
      <c r="X74" s="1">
        <v>9.3338000000000001</v>
      </c>
      <c r="Y74" s="1">
        <v>18.312799999999999</v>
      </c>
      <c r="Z74" s="1">
        <v>12.049200000000001</v>
      </c>
      <c r="AA74" s="1">
        <v>13.3436</v>
      </c>
      <c r="AB74" s="1">
        <v>7.2173999999999996</v>
      </c>
      <c r="AC74" s="1">
        <v>0.48299999999999998</v>
      </c>
      <c r="AD74" s="1">
        <v>17.837</v>
      </c>
      <c r="AE74" s="1">
        <v>9.6815999999999995</v>
      </c>
      <c r="AF74" s="1"/>
      <c r="AG74" s="1"/>
      <c r="AH74" s="1">
        <f>VLOOKUP(A:A,[1]Sheet!$A:$AG,33,0)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40</v>
      </c>
      <c r="C75" s="1"/>
      <c r="D75" s="1"/>
      <c r="E75" s="13">
        <v>188.94</v>
      </c>
      <c r="F75" s="13">
        <v>-190.411</v>
      </c>
      <c r="G75" s="7">
        <v>0</v>
      </c>
      <c r="H75" s="1"/>
      <c r="I75" s="1" t="s">
        <v>97</v>
      </c>
      <c r="J75" s="1"/>
      <c r="K75" s="1">
        <f t="shared" ref="K75:K90" si="22">E75-J75</f>
        <v>188.94</v>
      </c>
      <c r="L75" s="1"/>
      <c r="M75" s="1"/>
      <c r="N75" s="1"/>
      <c r="O75" s="1">
        <f t="shared" si="21"/>
        <v>37.787999999999997</v>
      </c>
      <c r="P75" s="5"/>
      <c r="Q75" s="5"/>
      <c r="R75" s="5"/>
      <c r="S75" s="1"/>
      <c r="T75" s="1">
        <f t="shared" si="6"/>
        <v>-5.0389277019159531</v>
      </c>
      <c r="U75" s="1">
        <f t="shared" si="7"/>
        <v>-5.0389277019159531</v>
      </c>
      <c r="V75" s="1">
        <v>0</v>
      </c>
      <c r="W75" s="1">
        <v>5.2573999999999996</v>
      </c>
      <c r="X75" s="1">
        <v>15.815200000000001</v>
      </c>
      <c r="Y75" s="1">
        <v>21.065799999999999</v>
      </c>
      <c r="Z75" s="1">
        <v>10.9794</v>
      </c>
      <c r="AA75" s="1">
        <v>13.3108</v>
      </c>
      <c r="AB75" s="1">
        <v>12.0562</v>
      </c>
      <c r="AC75" s="1">
        <v>18.241599999999998</v>
      </c>
      <c r="AD75" s="1">
        <v>17.868400000000001</v>
      </c>
      <c r="AE75" s="1">
        <v>22.340199999999999</v>
      </c>
      <c r="AF75" s="1"/>
      <c r="AG75" s="1"/>
      <c r="AH75" s="1">
        <f>VLOOKUP(A:A,[1]Sheet!$A:$AG,33,0)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40</v>
      </c>
      <c r="C76" s="1">
        <v>-39.283000000000001</v>
      </c>
      <c r="D76" s="1"/>
      <c r="E76" s="1"/>
      <c r="F76" s="13">
        <v>-39.283000000000001</v>
      </c>
      <c r="G76" s="7">
        <v>0</v>
      </c>
      <c r="H76" s="1"/>
      <c r="I76" s="1" t="s">
        <v>97</v>
      </c>
      <c r="J76" s="1"/>
      <c r="K76" s="1">
        <f t="shared" si="22"/>
        <v>0</v>
      </c>
      <c r="L76" s="1"/>
      <c r="M76" s="1"/>
      <c r="N76" s="1"/>
      <c r="O76" s="1">
        <f t="shared" si="21"/>
        <v>0</v>
      </c>
      <c r="P76" s="5"/>
      <c r="Q76" s="5"/>
      <c r="R76" s="5"/>
      <c r="S76" s="1"/>
      <c r="T76" s="1" t="e">
        <f t="shared" si="6"/>
        <v>#DIV/0!</v>
      </c>
      <c r="U76" s="1" t="e">
        <f t="shared" si="7"/>
        <v>#DIV/0!</v>
      </c>
      <c r="V76" s="1">
        <v>0</v>
      </c>
      <c r="W76" s="1">
        <v>19.979199999999999</v>
      </c>
      <c r="X76" s="1">
        <v>27.705200000000001</v>
      </c>
      <c r="Y76" s="1">
        <v>25.145</v>
      </c>
      <c r="Z76" s="1">
        <v>14.2204</v>
      </c>
      <c r="AA76" s="1">
        <v>16.2728</v>
      </c>
      <c r="AB76" s="1">
        <v>3.6789999999999998</v>
      </c>
      <c r="AC76" s="1">
        <v>11.067</v>
      </c>
      <c r="AD76" s="1">
        <v>14.423400000000001</v>
      </c>
      <c r="AE76" s="1">
        <v>0</v>
      </c>
      <c r="AF76" s="1"/>
      <c r="AG76" s="1"/>
      <c r="AH76" s="1">
        <f>VLOOKUP(A:A,[1]Sheet!$A:$AG,33,0)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36</v>
      </c>
      <c r="C77" s="1">
        <v>-37</v>
      </c>
      <c r="D77" s="1"/>
      <c r="E77" s="13">
        <v>4</v>
      </c>
      <c r="F77" s="13">
        <v>-43</v>
      </c>
      <c r="G77" s="7">
        <v>0</v>
      </c>
      <c r="H77" s="1"/>
      <c r="I77" s="1" t="s">
        <v>97</v>
      </c>
      <c r="J77" s="1"/>
      <c r="K77" s="1">
        <f t="shared" si="22"/>
        <v>4</v>
      </c>
      <c r="L77" s="1"/>
      <c r="M77" s="1"/>
      <c r="N77" s="1"/>
      <c r="O77" s="1">
        <f t="shared" si="21"/>
        <v>0.8</v>
      </c>
      <c r="P77" s="5"/>
      <c r="Q77" s="5"/>
      <c r="R77" s="5"/>
      <c r="S77" s="1"/>
      <c r="T77" s="1">
        <f t="shared" si="6"/>
        <v>-53.75</v>
      </c>
      <c r="U77" s="1">
        <f t="shared" si="7"/>
        <v>-53.75</v>
      </c>
      <c r="V77" s="1">
        <v>0</v>
      </c>
      <c r="W77" s="1">
        <v>4.4000000000000004</v>
      </c>
      <c r="X77" s="1">
        <v>19.600000000000001</v>
      </c>
      <c r="Y77" s="1">
        <v>19.600000000000001</v>
      </c>
      <c r="Z77" s="1">
        <v>8</v>
      </c>
      <c r="AA77" s="1">
        <v>16.2</v>
      </c>
      <c r="AB77" s="1">
        <v>8</v>
      </c>
      <c r="AC77" s="1">
        <v>13</v>
      </c>
      <c r="AD77" s="1">
        <v>10.8</v>
      </c>
      <c r="AE77" s="1">
        <v>9</v>
      </c>
      <c r="AF77" s="1"/>
      <c r="AG77" s="1"/>
      <c r="AH77" s="1">
        <f>VLOOKUP(A:A,[1]Sheet!$A:$AG,33,0)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40</v>
      </c>
      <c r="C78" s="1">
        <v>-24.094000000000001</v>
      </c>
      <c r="D78" s="1"/>
      <c r="E78" s="13">
        <v>28.402000000000001</v>
      </c>
      <c r="F78" s="13">
        <v>-55.488999999999997</v>
      </c>
      <c r="G78" s="7">
        <v>0</v>
      </c>
      <c r="H78" s="1"/>
      <c r="I78" s="1" t="s">
        <v>97</v>
      </c>
      <c r="J78" s="1"/>
      <c r="K78" s="1">
        <f t="shared" si="22"/>
        <v>28.402000000000001</v>
      </c>
      <c r="L78" s="1"/>
      <c r="M78" s="1"/>
      <c r="N78" s="1"/>
      <c r="O78" s="1">
        <f t="shared" si="21"/>
        <v>5.6804000000000006</v>
      </c>
      <c r="P78" s="5"/>
      <c r="Q78" s="5"/>
      <c r="R78" s="5"/>
      <c r="S78" s="1"/>
      <c r="T78" s="1">
        <f t="shared" si="6"/>
        <v>-9.7685022181536496</v>
      </c>
      <c r="U78" s="1">
        <f t="shared" si="7"/>
        <v>-9.7685022181536496</v>
      </c>
      <c r="V78" s="1">
        <v>0</v>
      </c>
      <c r="W78" s="1">
        <v>6.6953999999999994</v>
      </c>
      <c r="X78" s="1">
        <v>11.3028</v>
      </c>
      <c r="Y78" s="1">
        <v>11.3172</v>
      </c>
      <c r="Z78" s="1">
        <v>5.9720000000000004</v>
      </c>
      <c r="AA78" s="1">
        <v>7.8287999999999993</v>
      </c>
      <c r="AB78" s="1">
        <v>4.6551999999999998</v>
      </c>
      <c r="AC78" s="1">
        <v>8.1468000000000007</v>
      </c>
      <c r="AD78" s="1">
        <v>12.829599999999999</v>
      </c>
      <c r="AE78" s="1">
        <v>8.9871999999999996</v>
      </c>
      <c r="AF78" s="1"/>
      <c r="AG78" s="1"/>
      <c r="AH78" s="1">
        <f>VLOOKUP(A:A,[1]Sheet!$A:$AG,33,0)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4" t="s">
        <v>40</v>
      </c>
      <c r="C79" s="1"/>
      <c r="D79" s="1"/>
      <c r="E79" s="13">
        <v>66.340999999999994</v>
      </c>
      <c r="F79" s="13">
        <v>-66.340999999999994</v>
      </c>
      <c r="G79" s="7">
        <v>0</v>
      </c>
      <c r="H79" s="1"/>
      <c r="I79" s="1" t="s">
        <v>97</v>
      </c>
      <c r="J79" s="1"/>
      <c r="K79" s="1">
        <f t="shared" si="22"/>
        <v>66.340999999999994</v>
      </c>
      <c r="L79" s="1"/>
      <c r="M79" s="1"/>
      <c r="N79" s="1"/>
      <c r="O79" s="1">
        <f t="shared" si="21"/>
        <v>13.268199999999998</v>
      </c>
      <c r="P79" s="5"/>
      <c r="Q79" s="5"/>
      <c r="R79" s="5"/>
      <c r="S79" s="1"/>
      <c r="T79" s="1">
        <f t="shared" ref="T79:T90" si="23">(F79+N79+P79)/O79</f>
        <v>-5</v>
      </c>
      <c r="U79" s="1">
        <f t="shared" ref="U79:U90" si="24">(F79+N79)/O79</f>
        <v>-5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/>
      <c r="AG79" s="1"/>
      <c r="AH79" s="1">
        <f>VLOOKUP(A:A,[1]Sheet!$A:$AG,33,0)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119</v>
      </c>
      <c r="B80" s="14" t="s">
        <v>36</v>
      </c>
      <c r="C80" s="1"/>
      <c r="D80" s="1"/>
      <c r="E80" s="13">
        <v>9</v>
      </c>
      <c r="F80" s="13">
        <v>-9</v>
      </c>
      <c r="G80" s="7">
        <v>0</v>
      </c>
      <c r="H80" s="1"/>
      <c r="I80" s="1" t="s">
        <v>97</v>
      </c>
      <c r="J80" s="1"/>
      <c r="K80" s="1">
        <f t="shared" si="22"/>
        <v>9</v>
      </c>
      <c r="L80" s="1"/>
      <c r="M80" s="1"/>
      <c r="N80" s="1"/>
      <c r="O80" s="1">
        <f t="shared" si="21"/>
        <v>1.8</v>
      </c>
      <c r="P80" s="5"/>
      <c r="Q80" s="5"/>
      <c r="R80" s="5"/>
      <c r="S80" s="1"/>
      <c r="T80" s="1">
        <f t="shared" si="23"/>
        <v>-5</v>
      </c>
      <c r="U80" s="1">
        <f t="shared" si="24"/>
        <v>-5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/>
      <c r="AG80" s="1"/>
      <c r="AH80" s="1">
        <f>VLOOKUP(A:A,[1]Sheet!$A:$AG,33,0)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120</v>
      </c>
      <c r="B81" s="14" t="s">
        <v>36</v>
      </c>
      <c r="C81" s="1"/>
      <c r="D81" s="1"/>
      <c r="E81" s="13">
        <v>12</v>
      </c>
      <c r="F81" s="13">
        <v>-12</v>
      </c>
      <c r="G81" s="7">
        <v>0</v>
      </c>
      <c r="H81" s="1"/>
      <c r="I81" s="1" t="s">
        <v>97</v>
      </c>
      <c r="J81" s="1"/>
      <c r="K81" s="1">
        <f t="shared" si="22"/>
        <v>12</v>
      </c>
      <c r="L81" s="1"/>
      <c r="M81" s="1"/>
      <c r="N81" s="1"/>
      <c r="O81" s="1">
        <f t="shared" si="21"/>
        <v>2.4</v>
      </c>
      <c r="P81" s="5"/>
      <c r="Q81" s="5"/>
      <c r="R81" s="5"/>
      <c r="S81" s="1"/>
      <c r="T81" s="1">
        <f t="shared" si="23"/>
        <v>-5</v>
      </c>
      <c r="U81" s="1">
        <f t="shared" si="24"/>
        <v>-5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/>
      <c r="AG81" s="1"/>
      <c r="AH81" s="1">
        <f>VLOOKUP(A:A,[1]Sheet!$A:$AG,33,0)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121</v>
      </c>
      <c r="B82" s="14" t="s">
        <v>36</v>
      </c>
      <c r="C82" s="1"/>
      <c r="D82" s="1"/>
      <c r="E82" s="13">
        <v>22</v>
      </c>
      <c r="F82" s="13">
        <v>-22</v>
      </c>
      <c r="G82" s="7">
        <v>0</v>
      </c>
      <c r="H82" s="1"/>
      <c r="I82" s="1" t="s">
        <v>97</v>
      </c>
      <c r="J82" s="1"/>
      <c r="K82" s="1">
        <f t="shared" si="22"/>
        <v>22</v>
      </c>
      <c r="L82" s="1"/>
      <c r="M82" s="1"/>
      <c r="N82" s="1"/>
      <c r="O82" s="1">
        <f t="shared" si="21"/>
        <v>4.4000000000000004</v>
      </c>
      <c r="P82" s="5"/>
      <c r="Q82" s="5"/>
      <c r="R82" s="5"/>
      <c r="S82" s="1"/>
      <c r="T82" s="1">
        <f t="shared" si="23"/>
        <v>-5</v>
      </c>
      <c r="U82" s="1">
        <f t="shared" si="24"/>
        <v>-5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/>
      <c r="AG82" s="1"/>
      <c r="AH82" s="1">
        <f>VLOOKUP(A:A,[1]Sheet!$A:$AG,33,0)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122</v>
      </c>
      <c r="B83" s="14" t="s">
        <v>36</v>
      </c>
      <c r="C83" s="1"/>
      <c r="D83" s="1"/>
      <c r="E83" s="13">
        <v>20</v>
      </c>
      <c r="F83" s="13">
        <v>-20</v>
      </c>
      <c r="G83" s="7">
        <v>0</v>
      </c>
      <c r="H83" s="1"/>
      <c r="I83" s="1" t="s">
        <v>97</v>
      </c>
      <c r="J83" s="1"/>
      <c r="K83" s="1">
        <f t="shared" si="22"/>
        <v>20</v>
      </c>
      <c r="L83" s="1"/>
      <c r="M83" s="1"/>
      <c r="N83" s="1"/>
      <c r="O83" s="1">
        <f t="shared" si="21"/>
        <v>4</v>
      </c>
      <c r="P83" s="5"/>
      <c r="Q83" s="5"/>
      <c r="R83" s="5"/>
      <c r="S83" s="1"/>
      <c r="T83" s="1">
        <f t="shared" si="23"/>
        <v>-5</v>
      </c>
      <c r="U83" s="1">
        <f t="shared" si="24"/>
        <v>-5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/>
      <c r="AG83" s="1"/>
      <c r="AH83" s="1">
        <f>VLOOKUP(A:A,[1]Sheet!$A:$AG,33,0)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123</v>
      </c>
      <c r="B84" s="14" t="s">
        <v>36</v>
      </c>
      <c r="C84" s="1"/>
      <c r="D84" s="1"/>
      <c r="E84" s="13">
        <v>11</v>
      </c>
      <c r="F84" s="13">
        <v>-11</v>
      </c>
      <c r="G84" s="7">
        <v>0</v>
      </c>
      <c r="H84" s="1"/>
      <c r="I84" s="1" t="s">
        <v>97</v>
      </c>
      <c r="J84" s="1"/>
      <c r="K84" s="1">
        <f t="shared" si="22"/>
        <v>11</v>
      </c>
      <c r="L84" s="1"/>
      <c r="M84" s="1"/>
      <c r="N84" s="1"/>
      <c r="O84" s="1">
        <f t="shared" si="21"/>
        <v>2.2000000000000002</v>
      </c>
      <c r="P84" s="5"/>
      <c r="Q84" s="5"/>
      <c r="R84" s="5"/>
      <c r="S84" s="1"/>
      <c r="T84" s="1">
        <f t="shared" si="23"/>
        <v>-5</v>
      </c>
      <c r="U84" s="1">
        <f t="shared" si="24"/>
        <v>-5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/>
      <c r="AG84" s="1"/>
      <c r="AH84" s="1">
        <f>VLOOKUP(A:A,[1]Sheet!$A:$AG,33,0)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132</v>
      </c>
      <c r="B85" s="10" t="s">
        <v>40</v>
      </c>
      <c r="C85" s="10">
        <v>25.34</v>
      </c>
      <c r="D85" s="10"/>
      <c r="E85" s="10"/>
      <c r="F85" s="10">
        <v>25.34</v>
      </c>
      <c r="G85" s="11">
        <v>0</v>
      </c>
      <c r="H85" s="10"/>
      <c r="I85" s="10" t="s">
        <v>133</v>
      </c>
      <c r="J85" s="10"/>
      <c r="K85" s="10">
        <f t="shared" si="22"/>
        <v>0</v>
      </c>
      <c r="L85" s="10"/>
      <c r="M85" s="10"/>
      <c r="N85" s="10"/>
      <c r="O85" s="10">
        <f t="shared" si="21"/>
        <v>0</v>
      </c>
      <c r="P85" s="12"/>
      <c r="Q85" s="12"/>
      <c r="R85" s="12"/>
      <c r="S85" s="10"/>
      <c r="T85" s="10" t="e">
        <f t="shared" si="23"/>
        <v>#DIV/0!</v>
      </c>
      <c r="U85" s="10" t="e">
        <f t="shared" si="24"/>
        <v>#DIV/0!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/>
      <c r="AG85" s="10"/>
      <c r="AH85" s="1">
        <f>VLOOKUP(A:A,[1]Sheet!$A:$AG,33,0)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134</v>
      </c>
      <c r="B86" s="10" t="s">
        <v>40</v>
      </c>
      <c r="C86" s="10">
        <v>34.6</v>
      </c>
      <c r="D86" s="10"/>
      <c r="E86" s="10"/>
      <c r="F86" s="10">
        <v>34.6</v>
      </c>
      <c r="G86" s="11">
        <v>0</v>
      </c>
      <c r="H86" s="10"/>
      <c r="I86" s="10" t="s">
        <v>133</v>
      </c>
      <c r="J86" s="10"/>
      <c r="K86" s="10">
        <f t="shared" si="22"/>
        <v>0</v>
      </c>
      <c r="L86" s="10"/>
      <c r="M86" s="10"/>
      <c r="N86" s="10"/>
      <c r="O86" s="10">
        <f t="shared" si="21"/>
        <v>0</v>
      </c>
      <c r="P86" s="12"/>
      <c r="Q86" s="12"/>
      <c r="R86" s="12"/>
      <c r="S86" s="10"/>
      <c r="T86" s="10" t="e">
        <f t="shared" si="23"/>
        <v>#DIV/0!</v>
      </c>
      <c r="U86" s="10" t="e">
        <f t="shared" si="24"/>
        <v>#DIV/0!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/>
      <c r="AG86" s="10"/>
      <c r="AH86" s="1">
        <f>VLOOKUP(A:A,[1]Sheet!$A:$AG,33,0)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135</v>
      </c>
      <c r="B87" s="10" t="s">
        <v>36</v>
      </c>
      <c r="C87" s="10">
        <v>109</v>
      </c>
      <c r="D87" s="10"/>
      <c r="E87" s="10"/>
      <c r="F87" s="10">
        <v>109</v>
      </c>
      <c r="G87" s="11">
        <v>0</v>
      </c>
      <c r="H87" s="10"/>
      <c r="I87" s="10" t="s">
        <v>133</v>
      </c>
      <c r="J87" s="10"/>
      <c r="K87" s="10">
        <f t="shared" si="22"/>
        <v>0</v>
      </c>
      <c r="L87" s="10"/>
      <c r="M87" s="10"/>
      <c r="N87" s="10"/>
      <c r="O87" s="10">
        <f t="shared" si="21"/>
        <v>0</v>
      </c>
      <c r="P87" s="12"/>
      <c r="Q87" s="12"/>
      <c r="R87" s="12"/>
      <c r="S87" s="10"/>
      <c r="T87" s="10" t="e">
        <f t="shared" si="23"/>
        <v>#DIV/0!</v>
      </c>
      <c r="U87" s="10" t="e">
        <f t="shared" si="24"/>
        <v>#DIV/0!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/>
      <c r="AG87" s="10"/>
      <c r="AH87" s="1">
        <f>VLOOKUP(A:A,[1]Sheet!$A:$AG,33,0)</f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136</v>
      </c>
      <c r="B88" s="10" t="s">
        <v>40</v>
      </c>
      <c r="C88" s="10">
        <v>52.25</v>
      </c>
      <c r="D88" s="10"/>
      <c r="E88" s="10"/>
      <c r="F88" s="10">
        <v>52.25</v>
      </c>
      <c r="G88" s="11">
        <v>0</v>
      </c>
      <c r="H88" s="10"/>
      <c r="I88" s="10" t="s">
        <v>133</v>
      </c>
      <c r="J88" s="10"/>
      <c r="K88" s="10">
        <f t="shared" si="22"/>
        <v>0</v>
      </c>
      <c r="L88" s="10"/>
      <c r="M88" s="10"/>
      <c r="N88" s="10"/>
      <c r="O88" s="10">
        <f t="shared" si="21"/>
        <v>0</v>
      </c>
      <c r="P88" s="12"/>
      <c r="Q88" s="12"/>
      <c r="R88" s="12"/>
      <c r="S88" s="10"/>
      <c r="T88" s="10" t="e">
        <f t="shared" si="23"/>
        <v>#DIV/0!</v>
      </c>
      <c r="U88" s="10" t="e">
        <f t="shared" si="24"/>
        <v>#DIV/0!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/>
      <c r="AG88" s="10"/>
      <c r="AH88" s="1">
        <f>VLOOKUP(A:A,[1]Sheet!$A:$AG,33,0)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137</v>
      </c>
      <c r="B89" s="10" t="s">
        <v>40</v>
      </c>
      <c r="C89" s="10">
        <v>185</v>
      </c>
      <c r="D89" s="10"/>
      <c r="E89" s="10"/>
      <c r="F89" s="10">
        <v>185</v>
      </c>
      <c r="G89" s="11">
        <v>0</v>
      </c>
      <c r="H89" s="10"/>
      <c r="I89" s="10" t="s">
        <v>133</v>
      </c>
      <c r="J89" s="10"/>
      <c r="K89" s="10">
        <f t="shared" si="22"/>
        <v>0</v>
      </c>
      <c r="L89" s="10"/>
      <c r="M89" s="10"/>
      <c r="N89" s="10"/>
      <c r="O89" s="10">
        <f t="shared" si="21"/>
        <v>0</v>
      </c>
      <c r="P89" s="12"/>
      <c r="Q89" s="12"/>
      <c r="R89" s="12"/>
      <c r="S89" s="10"/>
      <c r="T89" s="10" t="e">
        <f t="shared" si="23"/>
        <v>#DIV/0!</v>
      </c>
      <c r="U89" s="10" t="e">
        <f t="shared" si="24"/>
        <v>#DIV/0!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/>
      <c r="AG89" s="10"/>
      <c r="AH89" s="1">
        <f>VLOOKUP(A:A,[1]Sheet!$A:$AG,33,0)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138</v>
      </c>
      <c r="B90" s="10" t="s">
        <v>40</v>
      </c>
      <c r="C90" s="10">
        <v>14.3</v>
      </c>
      <c r="D90" s="10"/>
      <c r="E90" s="10"/>
      <c r="F90" s="10">
        <v>14.3</v>
      </c>
      <c r="G90" s="11">
        <v>0</v>
      </c>
      <c r="H90" s="10"/>
      <c r="I90" s="10" t="s">
        <v>133</v>
      </c>
      <c r="J90" s="10"/>
      <c r="K90" s="10">
        <f t="shared" si="22"/>
        <v>0</v>
      </c>
      <c r="L90" s="10"/>
      <c r="M90" s="10"/>
      <c r="N90" s="10"/>
      <c r="O90" s="10">
        <f t="shared" si="21"/>
        <v>0</v>
      </c>
      <c r="P90" s="12"/>
      <c r="Q90" s="12"/>
      <c r="R90" s="12"/>
      <c r="S90" s="10"/>
      <c r="T90" s="10" t="e">
        <f t="shared" si="23"/>
        <v>#DIV/0!</v>
      </c>
      <c r="U90" s="10" t="e">
        <f t="shared" si="24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/>
      <c r="AG90" s="10"/>
      <c r="AH90" s="1">
        <f>VLOOKUP(A:A,[1]Sheet!$A:$AG,33,0)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H90" xr:uid="{00000000-0001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2025-05-08T13:08:45Z</dcterms:created>
  <dcterms:modified xsi:type="dcterms:W3CDTF">2025-05-09T13:18:26Z</dcterms:modified>
</cp:coreProperties>
</file>