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KSK_Simf\"/>
    </mc:Choice>
  </mc:AlternateContent>
  <xr:revisionPtr revIDLastSave="0" documentId="13_ncr:1_{5638C9D1-12E8-4ACC-9384-79A99E95F9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1" l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Z276" i="1" s="1"/>
  <c r="Y264" i="1"/>
  <c r="P264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BO258" i="1"/>
  <c r="BM258" i="1"/>
  <c r="Z258" i="1"/>
  <c r="Y258" i="1"/>
  <c r="P258" i="1"/>
  <c r="Y256" i="1"/>
  <c r="X256" i="1"/>
  <c r="Z255" i="1"/>
  <c r="X255" i="1"/>
  <c r="BO254" i="1"/>
  <c r="BM254" i="1"/>
  <c r="Z254" i="1"/>
  <c r="Y254" i="1"/>
  <c r="P254" i="1"/>
  <c r="BP253" i="1"/>
  <c r="BO253" i="1"/>
  <c r="BN253" i="1"/>
  <c r="BM253" i="1"/>
  <c r="Z253" i="1"/>
  <c r="Y253" i="1"/>
  <c r="Y255" i="1" s="1"/>
  <c r="P253" i="1"/>
  <c r="X251" i="1"/>
  <c r="X250" i="1"/>
  <c r="BP249" i="1"/>
  <c r="BO249" i="1"/>
  <c r="BN249" i="1"/>
  <c r="BM249" i="1"/>
  <c r="Z249" i="1"/>
  <c r="Y249" i="1"/>
  <c r="P249" i="1"/>
  <c r="BO248" i="1"/>
  <c r="BM248" i="1"/>
  <c r="Z248" i="1"/>
  <c r="Y248" i="1"/>
  <c r="P248" i="1"/>
  <c r="BP247" i="1"/>
  <c r="BO247" i="1"/>
  <c r="BN247" i="1"/>
  <c r="BM247" i="1"/>
  <c r="Z247" i="1"/>
  <c r="Z250" i="1" s="1"/>
  <c r="Y247" i="1"/>
  <c r="Y251" i="1" s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7" i="1"/>
  <c r="Y226" i="1"/>
  <c r="X226" i="1"/>
  <c r="BP225" i="1"/>
  <c r="BO225" i="1"/>
  <c r="BN225" i="1"/>
  <c r="BM225" i="1"/>
  <c r="Z225" i="1"/>
  <c r="Z226" i="1" s="1"/>
  <c r="Y225" i="1"/>
  <c r="Y227" i="1" s="1"/>
  <c r="P225" i="1"/>
  <c r="X221" i="1"/>
  <c r="Y220" i="1"/>
  <c r="X220" i="1"/>
  <c r="BP219" i="1"/>
  <c r="BO219" i="1"/>
  <c r="BN219" i="1"/>
  <c r="BM219" i="1"/>
  <c r="Z219" i="1"/>
  <c r="Y219" i="1"/>
  <c r="BP218" i="1"/>
  <c r="BO218" i="1"/>
  <c r="BN218" i="1"/>
  <c r="BM218" i="1"/>
  <c r="Z218" i="1"/>
  <c r="Z220" i="1" s="1"/>
  <c r="Y218" i="1"/>
  <c r="Y221" i="1" s="1"/>
  <c r="P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4" i="1" s="1"/>
  <c r="Y211" i="1"/>
  <c r="Y215" i="1" s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Y203" i="1"/>
  <c r="X203" i="1"/>
  <c r="BP202" i="1"/>
  <c r="BO202" i="1"/>
  <c r="BN202" i="1"/>
  <c r="BM202" i="1"/>
  <c r="Z202" i="1"/>
  <c r="Z203" i="1" s="1"/>
  <c r="Y202" i="1"/>
  <c r="Y204" i="1" s="1"/>
  <c r="X199" i="1"/>
  <c r="X198" i="1"/>
  <c r="BO197" i="1"/>
  <c r="BM197" i="1"/>
  <c r="Z197" i="1"/>
  <c r="Y197" i="1"/>
  <c r="BO196" i="1"/>
  <c r="BM196" i="1"/>
  <c r="Z196" i="1"/>
  <c r="Y196" i="1"/>
  <c r="P196" i="1"/>
  <c r="BP195" i="1"/>
  <c r="BO195" i="1"/>
  <c r="BN195" i="1"/>
  <c r="BM195" i="1"/>
  <c r="Z195" i="1"/>
  <c r="Y195" i="1"/>
  <c r="BP194" i="1"/>
  <c r="BO194" i="1"/>
  <c r="BN194" i="1"/>
  <c r="BM194" i="1"/>
  <c r="Z194" i="1"/>
  <c r="Z198" i="1" s="1"/>
  <c r="Y194" i="1"/>
  <c r="Y191" i="1"/>
  <c r="X191" i="1"/>
  <c r="Z190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Y190" i="1" s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X178" i="1"/>
  <c r="Z177" i="1"/>
  <c r="X177" i="1"/>
  <c r="BO176" i="1"/>
  <c r="BM176" i="1"/>
  <c r="Z176" i="1"/>
  <c r="Y176" i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P171" i="1"/>
  <c r="BP170" i="1"/>
  <c r="BO170" i="1"/>
  <c r="BN170" i="1"/>
  <c r="BM170" i="1"/>
  <c r="Z170" i="1"/>
  <c r="Z173" i="1" s="1"/>
  <c r="Y170" i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Y163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Y136" i="1"/>
  <c r="P136" i="1"/>
  <c r="X133" i="1"/>
  <c r="X132" i="1"/>
  <c r="BO131" i="1"/>
  <c r="BM131" i="1"/>
  <c r="Z131" i="1"/>
  <c r="Y131" i="1"/>
  <c r="BP131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7" i="1" s="1"/>
  <c r="P124" i="1"/>
  <c r="X121" i="1"/>
  <c r="Z120" i="1"/>
  <c r="X120" i="1"/>
  <c r="BO119" i="1"/>
  <c r="BM119" i="1"/>
  <c r="Z119" i="1"/>
  <c r="Y119" i="1"/>
  <c r="Y120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2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X279" i="1" s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78" i="1" s="1"/>
  <c r="Y23" i="1"/>
  <c r="X23" i="1"/>
  <c r="X282" i="1" s="1"/>
  <c r="BP22" i="1"/>
  <c r="BO22" i="1"/>
  <c r="X280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81" i="1" l="1"/>
  <c r="Y31" i="1"/>
  <c r="Y278" i="1" s="1"/>
  <c r="Y38" i="1"/>
  <c r="Y45" i="1"/>
  <c r="Y282" i="1" s="1"/>
  <c r="Y64" i="1"/>
  <c r="Y70" i="1"/>
  <c r="Y75" i="1"/>
  <c r="Y87" i="1"/>
  <c r="Y96" i="1"/>
  <c r="Y103" i="1"/>
  <c r="Y113" i="1"/>
  <c r="Y121" i="1"/>
  <c r="Y126" i="1"/>
  <c r="Y133" i="1"/>
  <c r="Y139" i="1"/>
  <c r="BP136" i="1"/>
  <c r="BN136" i="1"/>
  <c r="Y138" i="1"/>
  <c r="Y166" i="1"/>
  <c r="BP163" i="1"/>
  <c r="BN163" i="1"/>
  <c r="Y165" i="1"/>
  <c r="BP171" i="1"/>
  <c r="BN171" i="1"/>
  <c r="Y173" i="1"/>
  <c r="Y177" i="1"/>
  <c r="BP176" i="1"/>
  <c r="BN176" i="1"/>
  <c r="BP196" i="1"/>
  <c r="BN196" i="1"/>
  <c r="BP197" i="1"/>
  <c r="BN197" i="1"/>
  <c r="Y261" i="1"/>
  <c r="BP258" i="1"/>
  <c r="BN258" i="1"/>
  <c r="BP260" i="1"/>
  <c r="BN260" i="1"/>
  <c r="H9" i="1"/>
  <c r="BN29" i="1"/>
  <c r="Y279" i="1" s="1"/>
  <c r="BN34" i="1"/>
  <c r="BP34" i="1"/>
  <c r="Y280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1" i="1"/>
  <c r="BN119" i="1"/>
  <c r="BP119" i="1"/>
  <c r="BN124" i="1"/>
  <c r="BP124" i="1"/>
  <c r="BN131" i="1"/>
  <c r="Z138" i="1"/>
  <c r="Z283" i="1" s="1"/>
  <c r="Z165" i="1"/>
  <c r="Y174" i="1"/>
  <c r="Y178" i="1"/>
  <c r="BP187" i="1"/>
  <c r="BN187" i="1"/>
  <c r="BP189" i="1"/>
  <c r="BN189" i="1"/>
  <c r="Y198" i="1"/>
  <c r="Y199" i="1"/>
  <c r="BP212" i="1"/>
  <c r="BN212" i="1"/>
  <c r="Y214" i="1"/>
  <c r="BP248" i="1"/>
  <c r="BN248" i="1"/>
  <c r="Y250" i="1"/>
  <c r="BP254" i="1"/>
  <c r="BN254" i="1"/>
  <c r="Y262" i="1"/>
  <c r="Y277" i="1"/>
  <c r="BP264" i="1"/>
  <c r="BN264" i="1"/>
  <c r="BP266" i="1"/>
  <c r="BN266" i="1"/>
  <c r="BP268" i="1"/>
  <c r="BN268" i="1"/>
  <c r="BP270" i="1"/>
  <c r="BN270" i="1"/>
  <c r="BP272" i="1"/>
  <c r="BN272" i="1"/>
  <c r="BP274" i="1"/>
  <c r="BN274" i="1"/>
  <c r="Y276" i="1"/>
  <c r="Y281" i="1" l="1"/>
  <c r="C291" i="1" s="1"/>
  <c r="A291" i="1"/>
  <c r="B291" i="1" l="1"/>
</calcChain>
</file>

<file path=xl/sharedStrings.xml><?xml version="1.0" encoding="utf-8"?>
<sst xmlns="http://schemas.openxmlformats.org/spreadsheetml/2006/main" count="1252" uniqueCount="409">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</sst>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71" zoomScaleNormal="100" zoomScaleSheetLayoutView="100" workbookViewId="0">
      <selection activeCell="AA284" sqref="AA284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29" t="s">
        <v>0</v>
      </c>
      <c r="E1" s="299"/>
      <c r="F1" s="299"/>
      <c r="G1" s="12" t="s">
        <v>1</v>
      </c>
      <c r="H1" s="329" t="s">
        <v>2</v>
      </c>
      <c r="I1" s="299"/>
      <c r="J1" s="299"/>
      <c r="K1" s="299"/>
      <c r="L1" s="299"/>
      <c r="M1" s="299"/>
      <c r="N1" s="299"/>
      <c r="O1" s="299"/>
      <c r="P1" s="299"/>
      <c r="Q1" s="299"/>
      <c r="R1" s="298" t="s">
        <v>3</v>
      </c>
      <c r="S1" s="299"/>
      <c r="T1" s="2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51" t="s">
        <v>8</v>
      </c>
      <c r="B5" s="322"/>
      <c r="C5" s="323"/>
      <c r="D5" s="331"/>
      <c r="E5" s="332"/>
      <c r="F5" s="444" t="s">
        <v>9</v>
      </c>
      <c r="G5" s="323"/>
      <c r="H5" s="331"/>
      <c r="I5" s="408"/>
      <c r="J5" s="408"/>
      <c r="K5" s="408"/>
      <c r="L5" s="408"/>
      <c r="M5" s="332"/>
      <c r="N5" s="61"/>
      <c r="P5" s="24" t="s">
        <v>10</v>
      </c>
      <c r="Q5" s="450">
        <v>45935</v>
      </c>
      <c r="R5" s="350"/>
      <c r="T5" s="374" t="s">
        <v>11</v>
      </c>
      <c r="U5" s="375"/>
      <c r="V5" s="376" t="s">
        <v>12</v>
      </c>
      <c r="W5" s="350"/>
      <c r="AB5" s="51"/>
      <c r="AC5" s="51"/>
      <c r="AD5" s="51"/>
      <c r="AE5" s="51"/>
    </row>
    <row r="6" spans="1:32" s="264" customFormat="1" ht="24" customHeight="1" x14ac:dyDescent="0.2">
      <c r="A6" s="351" t="s">
        <v>13</v>
      </c>
      <c r="B6" s="322"/>
      <c r="C6" s="323"/>
      <c r="D6" s="410" t="s">
        <v>14</v>
      </c>
      <c r="E6" s="411"/>
      <c r="F6" s="411"/>
      <c r="G6" s="411"/>
      <c r="H6" s="411"/>
      <c r="I6" s="411"/>
      <c r="J6" s="411"/>
      <c r="K6" s="411"/>
      <c r="L6" s="411"/>
      <c r="M6" s="350"/>
      <c r="N6" s="62"/>
      <c r="P6" s="24" t="s">
        <v>15</v>
      </c>
      <c r="Q6" s="452" t="str">
        <f>IF(Q5=0," ",CHOOSE(WEEKDAY(Q5,2),"Понедельник","Вторник","Среда","Четверг","Пятница","Суббота","Воскресенье"))</f>
        <v>Воскресенье</v>
      </c>
      <c r="R6" s="279"/>
      <c r="T6" s="378" t="s">
        <v>16</v>
      </c>
      <c r="U6" s="375"/>
      <c r="V6" s="395" t="s">
        <v>17</v>
      </c>
      <c r="W6" s="305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308" t="str">
        <f>IFERROR(VLOOKUP(DeliveryAddress,Table,3,0),1)</f>
        <v>1</v>
      </c>
      <c r="E7" s="309"/>
      <c r="F7" s="309"/>
      <c r="G7" s="309"/>
      <c r="H7" s="309"/>
      <c r="I7" s="309"/>
      <c r="J7" s="309"/>
      <c r="K7" s="309"/>
      <c r="L7" s="309"/>
      <c r="M7" s="310"/>
      <c r="N7" s="63"/>
      <c r="P7" s="24"/>
      <c r="Q7" s="42"/>
      <c r="R7" s="42"/>
      <c r="T7" s="281"/>
      <c r="U7" s="375"/>
      <c r="V7" s="396"/>
      <c r="W7" s="397"/>
      <c r="AB7" s="51"/>
      <c r="AC7" s="51"/>
      <c r="AD7" s="51"/>
      <c r="AE7" s="51"/>
    </row>
    <row r="8" spans="1:32" s="264" customFormat="1" ht="25.5" customHeight="1" x14ac:dyDescent="0.2">
      <c r="A8" s="457" t="s">
        <v>18</v>
      </c>
      <c r="B8" s="285"/>
      <c r="C8" s="286"/>
      <c r="D8" s="317" t="s">
        <v>19</v>
      </c>
      <c r="E8" s="318"/>
      <c r="F8" s="318"/>
      <c r="G8" s="318"/>
      <c r="H8" s="318"/>
      <c r="I8" s="318"/>
      <c r="J8" s="318"/>
      <c r="K8" s="318"/>
      <c r="L8" s="318"/>
      <c r="M8" s="319"/>
      <c r="N8" s="64"/>
      <c r="P8" s="24" t="s">
        <v>20</v>
      </c>
      <c r="Q8" s="354">
        <v>0.375</v>
      </c>
      <c r="R8" s="310"/>
      <c r="T8" s="281"/>
      <c r="U8" s="375"/>
      <c r="V8" s="396"/>
      <c r="W8" s="397"/>
      <c r="AB8" s="51"/>
      <c r="AC8" s="51"/>
      <c r="AD8" s="51"/>
      <c r="AE8" s="51"/>
    </row>
    <row r="9" spans="1:32" s="264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0"/>
      <c r="E9" s="289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88" t="str">
        <f>IF(AND($A$9="Тип доверенности/получателя при получении в адресе перегруза:",$D$9="Разовая доверенность"),"Введите ФИО","")</f>
        <v/>
      </c>
      <c r="I9" s="289"/>
      <c r="J9" s="2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9"/>
      <c r="L9" s="289"/>
      <c r="M9" s="289"/>
      <c r="N9" s="262"/>
      <c r="P9" s="26" t="s">
        <v>21</v>
      </c>
      <c r="Q9" s="347"/>
      <c r="R9" s="348"/>
      <c r="T9" s="281"/>
      <c r="U9" s="375"/>
      <c r="V9" s="398"/>
      <c r="W9" s="399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0"/>
      <c r="E10" s="289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389" t="str">
        <f>IFERROR(VLOOKUP($D$10,Proxy,2,FALSE),"")</f>
        <v/>
      </c>
      <c r="I10" s="281"/>
      <c r="J10" s="281"/>
      <c r="K10" s="281"/>
      <c r="L10" s="281"/>
      <c r="M10" s="281"/>
      <c r="N10" s="263"/>
      <c r="P10" s="26" t="s">
        <v>22</v>
      </c>
      <c r="Q10" s="379"/>
      <c r="R10" s="380"/>
      <c r="U10" s="24" t="s">
        <v>23</v>
      </c>
      <c r="V10" s="304" t="s">
        <v>24</v>
      </c>
      <c r="W10" s="305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25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371" t="s">
        <v>29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3"/>
      <c r="N12" s="65"/>
      <c r="P12" s="24" t="s">
        <v>30</v>
      </c>
      <c r="Q12" s="354"/>
      <c r="R12" s="310"/>
      <c r="S12" s="23"/>
      <c r="U12" s="24"/>
      <c r="V12" s="299"/>
      <c r="W12" s="281"/>
      <c r="AB12" s="51"/>
      <c r="AC12" s="51"/>
      <c r="AD12" s="51"/>
      <c r="AE12" s="51"/>
    </row>
    <row r="13" spans="1:32" s="264" customFormat="1" ht="23.25" customHeight="1" x14ac:dyDescent="0.2">
      <c r="A13" s="371" t="s">
        <v>31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23"/>
      <c r="N13" s="65"/>
      <c r="O13" s="26"/>
      <c r="P13" s="26" t="s">
        <v>32</v>
      </c>
      <c r="Q13" s="425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371" t="s">
        <v>33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84" t="s">
        <v>34</v>
      </c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3"/>
      <c r="N15" s="66"/>
      <c r="P15" s="366" t="s">
        <v>35</v>
      </c>
      <c r="Q15" s="299"/>
      <c r="R15" s="299"/>
      <c r="S15" s="299"/>
      <c r="T15" s="2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7"/>
      <c r="Q16" s="367"/>
      <c r="R16" s="367"/>
      <c r="S16" s="367"/>
      <c r="T16" s="3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2" t="s">
        <v>36</v>
      </c>
      <c r="B17" s="302" t="s">
        <v>37</v>
      </c>
      <c r="C17" s="357" t="s">
        <v>38</v>
      </c>
      <c r="D17" s="302" t="s">
        <v>39</v>
      </c>
      <c r="E17" s="338"/>
      <c r="F17" s="302" t="s">
        <v>40</v>
      </c>
      <c r="G17" s="302" t="s">
        <v>41</v>
      </c>
      <c r="H17" s="302" t="s">
        <v>42</v>
      </c>
      <c r="I17" s="302" t="s">
        <v>43</v>
      </c>
      <c r="J17" s="302" t="s">
        <v>44</v>
      </c>
      <c r="K17" s="302" t="s">
        <v>45</v>
      </c>
      <c r="L17" s="302" t="s">
        <v>46</v>
      </c>
      <c r="M17" s="302" t="s">
        <v>47</v>
      </c>
      <c r="N17" s="302" t="s">
        <v>48</v>
      </c>
      <c r="O17" s="302" t="s">
        <v>49</v>
      </c>
      <c r="P17" s="302" t="s">
        <v>50</v>
      </c>
      <c r="Q17" s="337"/>
      <c r="R17" s="337"/>
      <c r="S17" s="337"/>
      <c r="T17" s="338"/>
      <c r="U17" s="454" t="s">
        <v>51</v>
      </c>
      <c r="V17" s="323"/>
      <c r="W17" s="302" t="s">
        <v>52</v>
      </c>
      <c r="X17" s="302" t="s">
        <v>53</v>
      </c>
      <c r="Y17" s="455" t="s">
        <v>54</v>
      </c>
      <c r="Z17" s="406" t="s">
        <v>55</v>
      </c>
      <c r="AA17" s="391" t="s">
        <v>56</v>
      </c>
      <c r="AB17" s="391" t="s">
        <v>57</v>
      </c>
      <c r="AC17" s="391" t="s">
        <v>58</v>
      </c>
      <c r="AD17" s="391" t="s">
        <v>59</v>
      </c>
      <c r="AE17" s="439"/>
      <c r="AF17" s="440"/>
      <c r="AG17" s="69"/>
      <c r="BD17" s="68" t="s">
        <v>60</v>
      </c>
    </row>
    <row r="18" spans="1:68" ht="14.25" customHeight="1" x14ac:dyDescent="0.2">
      <c r="A18" s="303"/>
      <c r="B18" s="303"/>
      <c r="C18" s="303"/>
      <c r="D18" s="339"/>
      <c r="E18" s="341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39"/>
      <c r="Q18" s="340"/>
      <c r="R18" s="340"/>
      <c r="S18" s="340"/>
      <c r="T18" s="341"/>
      <c r="U18" s="70" t="s">
        <v>61</v>
      </c>
      <c r="V18" s="70" t="s">
        <v>62</v>
      </c>
      <c r="W18" s="303"/>
      <c r="X18" s="303"/>
      <c r="Y18" s="456"/>
      <c r="Z18" s="407"/>
      <c r="AA18" s="392"/>
      <c r="AB18" s="392"/>
      <c r="AC18" s="392"/>
      <c r="AD18" s="441"/>
      <c r="AE18" s="442"/>
      <c r="AF18" s="443"/>
      <c r="AG18" s="69"/>
      <c r="BD18" s="68"/>
    </row>
    <row r="19" spans="1:68" ht="27.75" customHeight="1" x14ac:dyDescent="0.2">
      <c r="A19" s="325" t="s">
        <v>63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326"/>
      <c r="Z19" s="326"/>
      <c r="AA19" s="48"/>
      <c r="AB19" s="48"/>
      <c r="AC19" s="48"/>
    </row>
    <row r="20" spans="1:68" ht="16.5" customHeight="1" x14ac:dyDescent="0.25">
      <c r="A20" s="292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65"/>
      <c r="AB20" s="265"/>
      <c r="AC20" s="265"/>
    </row>
    <row r="21" spans="1:68" ht="14.25" customHeight="1" x14ac:dyDescent="0.25">
      <c r="A21" s="287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66"/>
      <c r="AB21" s="266"/>
      <c r="AC21" s="26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8">
        <v>4607111035752</v>
      </c>
      <c r="E22" s="279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5"/>
      <c r="R22" s="275"/>
      <c r="S22" s="275"/>
      <c r="T22" s="276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0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2"/>
      <c r="P23" s="284" t="s">
        <v>73</v>
      </c>
      <c r="Q23" s="285"/>
      <c r="R23" s="285"/>
      <c r="S23" s="285"/>
      <c r="T23" s="285"/>
      <c r="U23" s="285"/>
      <c r="V23" s="286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2"/>
      <c r="P24" s="284" t="s">
        <v>73</v>
      </c>
      <c r="Q24" s="285"/>
      <c r="R24" s="285"/>
      <c r="S24" s="285"/>
      <c r="T24" s="285"/>
      <c r="U24" s="285"/>
      <c r="V24" s="286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customHeight="1" x14ac:dyDescent="0.2">
      <c r="A25" s="325" t="s">
        <v>75</v>
      </c>
      <c r="B25" s="326"/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326"/>
      <c r="Z25" s="326"/>
      <c r="AA25" s="48"/>
      <c r="AB25" s="48"/>
      <c r="AC25" s="48"/>
    </row>
    <row r="26" spans="1:68" ht="16.5" customHeight="1" x14ac:dyDescent="0.25">
      <c r="A26" s="292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65"/>
      <c r="AB26" s="265"/>
      <c r="AC26" s="265"/>
    </row>
    <row r="27" spans="1:68" ht="14.25" customHeight="1" x14ac:dyDescent="0.25">
      <c r="A27" s="287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8">
        <v>4607111036537</v>
      </c>
      <c r="E28" s="279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5"/>
      <c r="R28" s="275"/>
      <c r="S28" s="275"/>
      <c r="T28" s="276"/>
      <c r="U28" s="34"/>
      <c r="V28" s="34"/>
      <c r="W28" s="35" t="s">
        <v>70</v>
      </c>
      <c r="X28" s="270">
        <v>140</v>
      </c>
      <c r="Y28" s="271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8">
        <v>4607111036605</v>
      </c>
      <c r="E29" s="279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5"/>
      <c r="R29" s="275"/>
      <c r="S29" s="275"/>
      <c r="T29" s="276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0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2"/>
      <c r="P30" s="284" t="s">
        <v>73</v>
      </c>
      <c r="Q30" s="285"/>
      <c r="R30" s="285"/>
      <c r="S30" s="285"/>
      <c r="T30" s="285"/>
      <c r="U30" s="285"/>
      <c r="V30" s="286"/>
      <c r="W30" s="37" t="s">
        <v>70</v>
      </c>
      <c r="X30" s="272">
        <f>IFERROR(SUM(X28:X29),"0")</f>
        <v>140</v>
      </c>
      <c r="Y30" s="272">
        <f>IFERROR(SUM(Y28:Y29),"0")</f>
        <v>140</v>
      </c>
      <c r="Z30" s="272">
        <f>IFERROR(IF(Z28="",0,Z28),"0")+IFERROR(IF(Z29="",0,Z29),"0")</f>
        <v>1.3173999999999999</v>
      </c>
      <c r="AA30" s="273"/>
      <c r="AB30" s="273"/>
      <c r="AC30" s="273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284" t="s">
        <v>73</v>
      </c>
      <c r="Q31" s="285"/>
      <c r="R31" s="285"/>
      <c r="S31" s="285"/>
      <c r="T31" s="285"/>
      <c r="U31" s="285"/>
      <c r="V31" s="286"/>
      <c r="W31" s="37" t="s">
        <v>74</v>
      </c>
      <c r="X31" s="272">
        <f>IFERROR(SUMPRODUCT(X28:X29*H28:H29),"0")</f>
        <v>210</v>
      </c>
      <c r="Y31" s="272">
        <f>IFERROR(SUMPRODUCT(Y28:Y29*H28:H29),"0")</f>
        <v>210</v>
      </c>
      <c r="Z31" s="37"/>
      <c r="AA31" s="273"/>
      <c r="AB31" s="273"/>
      <c r="AC31" s="273"/>
    </row>
    <row r="32" spans="1:68" ht="16.5" customHeight="1" x14ac:dyDescent="0.25">
      <c r="A32" s="292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65"/>
      <c r="AB32" s="265"/>
      <c r="AC32" s="265"/>
    </row>
    <row r="33" spans="1:68" ht="14.25" customHeight="1" x14ac:dyDescent="0.25">
      <c r="A33" s="287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66"/>
      <c r="AB33" s="266"/>
      <c r="AC33" s="266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8">
        <v>4620207490075</v>
      </c>
      <c r="E34" s="279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5"/>
      <c r="R34" s="275"/>
      <c r="S34" s="275"/>
      <c r="T34" s="276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8">
        <v>4620207490174</v>
      </c>
      <c r="E35" s="279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1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5"/>
      <c r="R35" s="275"/>
      <c r="S35" s="275"/>
      <c r="T35" s="276"/>
      <c r="U35" s="34"/>
      <c r="V35" s="34"/>
      <c r="W35" s="35" t="s">
        <v>70</v>
      </c>
      <c r="X35" s="270">
        <v>12</v>
      </c>
      <c r="Y35" s="271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96</v>
      </c>
      <c r="B36" s="54" t="s">
        <v>97</v>
      </c>
      <c r="C36" s="31">
        <v>4301071091</v>
      </c>
      <c r="D36" s="278">
        <v>4620207490044</v>
      </c>
      <c r="E36" s="279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3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5"/>
      <c r="R36" s="275"/>
      <c r="S36" s="275"/>
      <c r="T36" s="276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0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2"/>
      <c r="P37" s="284" t="s">
        <v>73</v>
      </c>
      <c r="Q37" s="285"/>
      <c r="R37" s="285"/>
      <c r="S37" s="285"/>
      <c r="T37" s="285"/>
      <c r="U37" s="285"/>
      <c r="V37" s="286"/>
      <c r="W37" s="37" t="s">
        <v>70</v>
      </c>
      <c r="X37" s="272">
        <f>IFERROR(SUM(X34:X36),"0")</f>
        <v>12</v>
      </c>
      <c r="Y37" s="272">
        <f>IFERROR(SUM(Y34:Y36),"0")</f>
        <v>12</v>
      </c>
      <c r="Z37" s="272">
        <f>IFERROR(IF(Z34="",0,Z34),"0")+IFERROR(IF(Z35="",0,Z35),"0")+IFERROR(IF(Z36="",0,Z36),"0")</f>
        <v>0.186</v>
      </c>
      <c r="AA37" s="273"/>
      <c r="AB37" s="273"/>
      <c r="AC37" s="273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2"/>
      <c r="P38" s="284" t="s">
        <v>73</v>
      </c>
      <c r="Q38" s="285"/>
      <c r="R38" s="285"/>
      <c r="S38" s="285"/>
      <c r="T38" s="285"/>
      <c r="U38" s="285"/>
      <c r="V38" s="286"/>
      <c r="W38" s="37" t="s">
        <v>74</v>
      </c>
      <c r="X38" s="272">
        <f>IFERROR(SUMPRODUCT(X34:X36*H34:H36),"0")</f>
        <v>67.199999999999989</v>
      </c>
      <c r="Y38" s="272">
        <f>IFERROR(SUMPRODUCT(Y34:Y36*H34:H36),"0")</f>
        <v>67.199999999999989</v>
      </c>
      <c r="Z38" s="37"/>
      <c r="AA38" s="273"/>
      <c r="AB38" s="273"/>
      <c r="AC38" s="273"/>
    </row>
    <row r="39" spans="1:68" ht="16.5" customHeight="1" x14ac:dyDescent="0.25">
      <c r="A39" s="292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65"/>
      <c r="AB39" s="265"/>
      <c r="AC39" s="265"/>
    </row>
    <row r="40" spans="1:68" ht="14.25" customHeight="1" x14ac:dyDescent="0.25">
      <c r="A40" s="287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66"/>
      <c r="AB40" s="266"/>
      <c r="AC40" s="266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78">
        <v>4607111039385</v>
      </c>
      <c r="E41" s="279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2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5"/>
      <c r="R41" s="275"/>
      <c r="S41" s="275"/>
      <c r="T41" s="276"/>
      <c r="U41" s="34"/>
      <c r="V41" s="34"/>
      <c r="W41" s="35" t="s">
        <v>70</v>
      </c>
      <c r="X41" s="270">
        <v>48</v>
      </c>
      <c r="Y41" s="271">
        <f>IFERROR(IF(X41="","",X41),"")</f>
        <v>48</v>
      </c>
      <c r="Z41" s="36">
        <f>IFERROR(IF(X41="","",X41*0.0155),"")</f>
        <v>0.74399999999999999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350.4</v>
      </c>
      <c r="BN41" s="67">
        <f>IFERROR(Y41*I41,"0")</f>
        <v>350.4</v>
      </c>
      <c r="BO41" s="67">
        <f>IFERROR(X41/J41,"0")</f>
        <v>0.5714285714285714</v>
      </c>
      <c r="BP41" s="67">
        <f>IFERROR(Y41/J41,"0")</f>
        <v>0.5714285714285714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78">
        <v>4607111038982</v>
      </c>
      <c r="E42" s="279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3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5"/>
      <c r="R42" s="275"/>
      <c r="S42" s="275"/>
      <c r="T42" s="276"/>
      <c r="U42" s="34"/>
      <c r="V42" s="34"/>
      <c r="W42" s="35" t="s">
        <v>70</v>
      </c>
      <c r="X42" s="270">
        <v>96</v>
      </c>
      <c r="Y42" s="271">
        <f>IFERROR(IF(X42="","",X42),"")</f>
        <v>96</v>
      </c>
      <c r="Z42" s="36">
        <f>IFERROR(IF(X42="","",X42*0.0155),"")</f>
        <v>1.488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699.4559999999999</v>
      </c>
      <c r="BN42" s="67">
        <f>IFERROR(Y42*I42,"0")</f>
        <v>699.4559999999999</v>
      </c>
      <c r="BO42" s="67">
        <f>IFERROR(X42/J42,"0")</f>
        <v>1.1428571428571428</v>
      </c>
      <c r="BP42" s="67">
        <f>IFERROR(Y42/J42,"0")</f>
        <v>1.1428571428571428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78">
        <v>4607111039354</v>
      </c>
      <c r="E43" s="279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7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5"/>
      <c r="R43" s="275"/>
      <c r="S43" s="275"/>
      <c r="T43" s="276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78">
        <v>4607111039330</v>
      </c>
      <c r="E44" s="279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5"/>
      <c r="R44" s="275"/>
      <c r="S44" s="275"/>
      <c r="T44" s="276"/>
      <c r="U44" s="34"/>
      <c r="V44" s="34"/>
      <c r="W44" s="35" t="s">
        <v>70</v>
      </c>
      <c r="X44" s="270">
        <v>96</v>
      </c>
      <c r="Y44" s="271">
        <f>IFERROR(IF(X44="","",X44),"")</f>
        <v>96</v>
      </c>
      <c r="Z44" s="36">
        <f>IFERROR(IF(X44="","",X44*0.0155),"")</f>
        <v>1.488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700.8</v>
      </c>
      <c r="BN44" s="67">
        <f>IFERROR(Y44*I44,"0")</f>
        <v>700.8</v>
      </c>
      <c r="BO44" s="67">
        <f>IFERROR(X44/J44,"0")</f>
        <v>1.1428571428571428</v>
      </c>
      <c r="BP44" s="67">
        <f>IFERROR(Y44/J44,"0")</f>
        <v>1.1428571428571428</v>
      </c>
    </row>
    <row r="45" spans="1:68" x14ac:dyDescent="0.2">
      <c r="A45" s="280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2"/>
      <c r="P45" s="284" t="s">
        <v>73</v>
      </c>
      <c r="Q45" s="285"/>
      <c r="R45" s="285"/>
      <c r="S45" s="285"/>
      <c r="T45" s="285"/>
      <c r="U45" s="285"/>
      <c r="V45" s="286"/>
      <c r="W45" s="37" t="s">
        <v>70</v>
      </c>
      <c r="X45" s="272">
        <f>IFERROR(SUM(X41:X44),"0")</f>
        <v>240</v>
      </c>
      <c r="Y45" s="272">
        <f>IFERROR(SUM(Y41:Y44),"0")</f>
        <v>240</v>
      </c>
      <c r="Z45" s="272">
        <f>IFERROR(IF(Z41="",0,Z41),"0")+IFERROR(IF(Z42="",0,Z42),"0")+IFERROR(IF(Z43="",0,Z43),"0")+IFERROR(IF(Z44="",0,Z44),"0")</f>
        <v>3.72</v>
      </c>
      <c r="AA45" s="273"/>
      <c r="AB45" s="273"/>
      <c r="AC45" s="273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2"/>
      <c r="P46" s="284" t="s">
        <v>73</v>
      </c>
      <c r="Q46" s="285"/>
      <c r="R46" s="285"/>
      <c r="S46" s="285"/>
      <c r="T46" s="285"/>
      <c r="U46" s="285"/>
      <c r="V46" s="286"/>
      <c r="W46" s="37" t="s">
        <v>74</v>
      </c>
      <c r="X46" s="272">
        <f>IFERROR(SUMPRODUCT(X41:X44*H41:H44),"0")</f>
        <v>1680</v>
      </c>
      <c r="Y46" s="272">
        <f>IFERROR(SUMPRODUCT(Y41:Y44*H41:H44),"0")</f>
        <v>1680</v>
      </c>
      <c r="Z46" s="37"/>
      <c r="AA46" s="273"/>
      <c r="AB46" s="273"/>
      <c r="AC46" s="273"/>
    </row>
    <row r="47" spans="1:68" ht="16.5" customHeight="1" x14ac:dyDescent="0.25">
      <c r="A47" s="292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65"/>
      <c r="AB47" s="265"/>
      <c r="AC47" s="265"/>
    </row>
    <row r="48" spans="1:68" ht="14.25" customHeight="1" x14ac:dyDescent="0.25">
      <c r="A48" s="287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66"/>
      <c r="AB48" s="266"/>
      <c r="AC48" s="266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78">
        <v>4620207490822</v>
      </c>
      <c r="E49" s="279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5"/>
      <c r="R49" s="275"/>
      <c r="S49" s="275"/>
      <c r="T49" s="276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0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2"/>
      <c r="P50" s="284" t="s">
        <v>73</v>
      </c>
      <c r="Q50" s="285"/>
      <c r="R50" s="285"/>
      <c r="S50" s="285"/>
      <c r="T50" s="285"/>
      <c r="U50" s="285"/>
      <c r="V50" s="286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2"/>
      <c r="P51" s="284" t="s">
        <v>73</v>
      </c>
      <c r="Q51" s="285"/>
      <c r="R51" s="285"/>
      <c r="S51" s="285"/>
      <c r="T51" s="285"/>
      <c r="U51" s="285"/>
      <c r="V51" s="286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customHeight="1" x14ac:dyDescent="0.25">
      <c r="A52" s="287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66"/>
      <c r="AB52" s="266"/>
      <c r="AC52" s="266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78">
        <v>4607111039743</v>
      </c>
      <c r="E53" s="279"/>
      <c r="F53" s="269">
        <v>0.18</v>
      </c>
      <c r="G53" s="32">
        <v>6</v>
      </c>
      <c r="H53" s="269">
        <v>1.08</v>
      </c>
      <c r="I53" s="26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5"/>
      <c r="R53" s="275"/>
      <c r="S53" s="275"/>
      <c r="T53" s="276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0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2"/>
      <c r="P54" s="284" t="s">
        <v>73</v>
      </c>
      <c r="Q54" s="285"/>
      <c r="R54" s="285"/>
      <c r="S54" s="285"/>
      <c r="T54" s="285"/>
      <c r="U54" s="285"/>
      <c r="V54" s="286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2"/>
      <c r="P55" s="284" t="s">
        <v>73</v>
      </c>
      <c r="Q55" s="285"/>
      <c r="R55" s="285"/>
      <c r="S55" s="285"/>
      <c r="T55" s="285"/>
      <c r="U55" s="285"/>
      <c r="V55" s="286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customHeight="1" x14ac:dyDescent="0.25">
      <c r="A56" s="287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66"/>
      <c r="AB56" s="266"/>
      <c r="AC56" s="266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278">
        <v>4607111039712</v>
      </c>
      <c r="E57" s="279"/>
      <c r="F57" s="269">
        <v>0.2</v>
      </c>
      <c r="G57" s="32">
        <v>6</v>
      </c>
      <c r="H57" s="269">
        <v>1.2</v>
      </c>
      <c r="I57" s="26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5"/>
      <c r="R57" s="275"/>
      <c r="S57" s="275"/>
      <c r="T57" s="276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0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2"/>
      <c r="P58" s="284" t="s">
        <v>73</v>
      </c>
      <c r="Q58" s="285"/>
      <c r="R58" s="285"/>
      <c r="S58" s="285"/>
      <c r="T58" s="285"/>
      <c r="U58" s="285"/>
      <c r="V58" s="286"/>
      <c r="W58" s="37" t="s">
        <v>70</v>
      </c>
      <c r="X58" s="272">
        <f>IFERROR(SUM(X57:X57),"0")</f>
        <v>0</v>
      </c>
      <c r="Y58" s="272">
        <f>IFERROR(SUM(Y57:Y57),"0")</f>
        <v>0</v>
      </c>
      <c r="Z58" s="272">
        <f>IFERROR(IF(Z57="",0,Z57),"0")</f>
        <v>0</v>
      </c>
      <c r="AA58" s="273"/>
      <c r="AB58" s="273"/>
      <c r="AC58" s="273"/>
    </row>
    <row r="59" spans="1:68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2"/>
      <c r="P59" s="284" t="s">
        <v>73</v>
      </c>
      <c r="Q59" s="285"/>
      <c r="R59" s="285"/>
      <c r="S59" s="285"/>
      <c r="T59" s="285"/>
      <c r="U59" s="285"/>
      <c r="V59" s="286"/>
      <c r="W59" s="37" t="s">
        <v>74</v>
      </c>
      <c r="X59" s="272">
        <f>IFERROR(SUMPRODUCT(X57:X57*H57:H57),"0")</f>
        <v>0</v>
      </c>
      <c r="Y59" s="272">
        <f>IFERROR(SUMPRODUCT(Y57:Y57*H57:H57),"0")</f>
        <v>0</v>
      </c>
      <c r="Z59" s="37"/>
      <c r="AA59" s="273"/>
      <c r="AB59" s="273"/>
      <c r="AC59" s="273"/>
    </row>
    <row r="60" spans="1:68" ht="14.25" customHeight="1" x14ac:dyDescent="0.25">
      <c r="A60" s="287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66"/>
      <c r="AB60" s="266"/>
      <c r="AC60" s="266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78">
        <v>4607111037008</v>
      </c>
      <c r="E61" s="279"/>
      <c r="F61" s="269">
        <v>0.36</v>
      </c>
      <c r="G61" s="32">
        <v>4</v>
      </c>
      <c r="H61" s="269">
        <v>1.44</v>
      </c>
      <c r="I61" s="26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5"/>
      <c r="R61" s="275"/>
      <c r="S61" s="275"/>
      <c r="T61" s="276"/>
      <c r="U61" s="34"/>
      <c r="V61" s="34"/>
      <c r="W61" s="35" t="s">
        <v>70</v>
      </c>
      <c r="X61" s="270">
        <v>0</v>
      </c>
      <c r="Y61" s="27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78">
        <v>4607111037398</v>
      </c>
      <c r="E62" s="279"/>
      <c r="F62" s="269">
        <v>0.09</v>
      </c>
      <c r="G62" s="32">
        <v>24</v>
      </c>
      <c r="H62" s="269">
        <v>2.16</v>
      </c>
      <c r="I62" s="26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5"/>
      <c r="R62" s="275"/>
      <c r="S62" s="275"/>
      <c r="T62" s="276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0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2"/>
      <c r="P63" s="284" t="s">
        <v>73</v>
      </c>
      <c r="Q63" s="285"/>
      <c r="R63" s="285"/>
      <c r="S63" s="285"/>
      <c r="T63" s="285"/>
      <c r="U63" s="285"/>
      <c r="V63" s="286"/>
      <c r="W63" s="37" t="s">
        <v>70</v>
      </c>
      <c r="X63" s="272">
        <f>IFERROR(SUM(X61:X62),"0")</f>
        <v>0</v>
      </c>
      <c r="Y63" s="272">
        <f>IFERROR(SUM(Y61:Y62),"0")</f>
        <v>0</v>
      </c>
      <c r="Z63" s="272">
        <f>IFERROR(IF(Z61="",0,Z61),"0")+IFERROR(IF(Z62="",0,Z62),"0")</f>
        <v>0</v>
      </c>
      <c r="AA63" s="273"/>
      <c r="AB63" s="273"/>
      <c r="AC63" s="273"/>
    </row>
    <row r="64" spans="1:68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2"/>
      <c r="P64" s="284" t="s">
        <v>73</v>
      </c>
      <c r="Q64" s="285"/>
      <c r="R64" s="285"/>
      <c r="S64" s="285"/>
      <c r="T64" s="285"/>
      <c r="U64" s="285"/>
      <c r="V64" s="286"/>
      <c r="W64" s="37" t="s">
        <v>74</v>
      </c>
      <c r="X64" s="272">
        <f>IFERROR(SUMPRODUCT(X61:X62*H61:H62),"0")</f>
        <v>0</v>
      </c>
      <c r="Y64" s="272">
        <f>IFERROR(SUMPRODUCT(Y61:Y62*H61:H62),"0")</f>
        <v>0</v>
      </c>
      <c r="Z64" s="37"/>
      <c r="AA64" s="273"/>
      <c r="AB64" s="273"/>
      <c r="AC64" s="273"/>
    </row>
    <row r="65" spans="1:68" ht="14.25" customHeight="1" x14ac:dyDescent="0.25">
      <c r="A65" s="287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66"/>
      <c r="AB65" s="266"/>
      <c r="AC65" s="266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278">
        <v>4607111039705</v>
      </c>
      <c r="E66" s="279"/>
      <c r="F66" s="269">
        <v>0.2</v>
      </c>
      <c r="G66" s="32">
        <v>6</v>
      </c>
      <c r="H66" s="269">
        <v>1.2</v>
      </c>
      <c r="I66" s="26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5"/>
      <c r="R66" s="275"/>
      <c r="S66" s="275"/>
      <c r="T66" s="276"/>
      <c r="U66" s="34"/>
      <c r="V66" s="34"/>
      <c r="W66" s="35" t="s">
        <v>70</v>
      </c>
      <c r="X66" s="270">
        <v>0</v>
      </c>
      <c r="Y66" s="27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78">
        <v>4607111039729</v>
      </c>
      <c r="E67" s="279"/>
      <c r="F67" s="269">
        <v>0.2</v>
      </c>
      <c r="G67" s="32">
        <v>6</v>
      </c>
      <c r="H67" s="269">
        <v>1.2</v>
      </c>
      <c r="I67" s="269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4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5"/>
      <c r="R67" s="275"/>
      <c r="S67" s="275"/>
      <c r="T67" s="276"/>
      <c r="U67" s="34"/>
      <c r="V67" s="34"/>
      <c r="W67" s="35" t="s">
        <v>70</v>
      </c>
      <c r="X67" s="270">
        <v>14</v>
      </c>
      <c r="Y67" s="271">
        <f>IFERROR(IF(X67="","",X67),"")</f>
        <v>14</v>
      </c>
      <c r="Z67" s="36">
        <f>IFERROR(IF(X67="","",X67*0.00941),"")</f>
        <v>0.13174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21.84</v>
      </c>
      <c r="BN67" s="67">
        <f>IFERROR(Y67*I67,"0")</f>
        <v>21.84</v>
      </c>
      <c r="BO67" s="67">
        <f>IFERROR(X67/J67,"0")</f>
        <v>0.1</v>
      </c>
      <c r="BP67" s="67">
        <f>IFERROR(Y67/J67,"0")</f>
        <v>0.1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78">
        <v>4620207490228</v>
      </c>
      <c r="E68" s="279"/>
      <c r="F68" s="269">
        <v>0.2</v>
      </c>
      <c r="G68" s="32">
        <v>6</v>
      </c>
      <c r="H68" s="269">
        <v>1.2</v>
      </c>
      <c r="I68" s="269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5"/>
      <c r="R68" s="275"/>
      <c r="S68" s="275"/>
      <c r="T68" s="276"/>
      <c r="U68" s="34"/>
      <c r="V68" s="34"/>
      <c r="W68" s="35" t="s">
        <v>70</v>
      </c>
      <c r="X68" s="270">
        <v>0</v>
      </c>
      <c r="Y68" s="27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0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2"/>
      <c r="P69" s="284" t="s">
        <v>73</v>
      </c>
      <c r="Q69" s="285"/>
      <c r="R69" s="285"/>
      <c r="S69" s="285"/>
      <c r="T69" s="285"/>
      <c r="U69" s="285"/>
      <c r="V69" s="286"/>
      <c r="W69" s="37" t="s">
        <v>70</v>
      </c>
      <c r="X69" s="272">
        <f>IFERROR(SUM(X66:X68),"0")</f>
        <v>14</v>
      </c>
      <c r="Y69" s="272">
        <f>IFERROR(SUM(Y66:Y68),"0")</f>
        <v>14</v>
      </c>
      <c r="Z69" s="272">
        <f>IFERROR(IF(Z66="",0,Z66),"0")+IFERROR(IF(Z67="",0,Z67),"0")+IFERROR(IF(Z68="",0,Z68),"0")</f>
        <v>0.13174</v>
      </c>
      <c r="AA69" s="273"/>
      <c r="AB69" s="273"/>
      <c r="AC69" s="273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2"/>
      <c r="P70" s="284" t="s">
        <v>73</v>
      </c>
      <c r="Q70" s="285"/>
      <c r="R70" s="285"/>
      <c r="S70" s="285"/>
      <c r="T70" s="285"/>
      <c r="U70" s="285"/>
      <c r="V70" s="286"/>
      <c r="W70" s="37" t="s">
        <v>74</v>
      </c>
      <c r="X70" s="272">
        <f>IFERROR(SUMPRODUCT(X66:X68*H66:H68),"0")</f>
        <v>16.8</v>
      </c>
      <c r="Y70" s="272">
        <f>IFERROR(SUMPRODUCT(Y66:Y68*H66:H68),"0")</f>
        <v>16.8</v>
      </c>
      <c r="Z70" s="37"/>
      <c r="AA70" s="273"/>
      <c r="AB70" s="273"/>
      <c r="AC70" s="273"/>
    </row>
    <row r="71" spans="1:68" ht="16.5" customHeight="1" x14ac:dyDescent="0.25">
      <c r="A71" s="292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65"/>
      <c r="AB71" s="265"/>
      <c r="AC71" s="265"/>
    </row>
    <row r="72" spans="1:68" ht="14.25" customHeight="1" x14ac:dyDescent="0.25">
      <c r="A72" s="287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66"/>
      <c r="AB72" s="266"/>
      <c r="AC72" s="266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78">
        <v>4607111037411</v>
      </c>
      <c r="E73" s="279"/>
      <c r="F73" s="269">
        <v>2.7</v>
      </c>
      <c r="G73" s="32">
        <v>1</v>
      </c>
      <c r="H73" s="269">
        <v>2.7</v>
      </c>
      <c r="I73" s="269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5"/>
      <c r="R73" s="275"/>
      <c r="S73" s="275"/>
      <c r="T73" s="276"/>
      <c r="U73" s="34"/>
      <c r="V73" s="34"/>
      <c r="W73" s="35" t="s">
        <v>70</v>
      </c>
      <c r="X73" s="270">
        <v>0</v>
      </c>
      <c r="Y73" s="27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78">
        <v>4607111036728</v>
      </c>
      <c r="E74" s="279"/>
      <c r="F74" s="269">
        <v>5</v>
      </c>
      <c r="G74" s="32">
        <v>1</v>
      </c>
      <c r="H74" s="269">
        <v>5</v>
      </c>
      <c r="I74" s="269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5"/>
      <c r="R74" s="275"/>
      <c r="S74" s="275"/>
      <c r="T74" s="276"/>
      <c r="U74" s="34"/>
      <c r="V74" s="34"/>
      <c r="W74" s="35" t="s">
        <v>70</v>
      </c>
      <c r="X74" s="270">
        <v>60</v>
      </c>
      <c r="Y74" s="271">
        <f>IFERROR(IF(X74="","",X74),"")</f>
        <v>60</v>
      </c>
      <c r="Z74" s="36">
        <f>IFERROR(IF(X74="","",X74*0.00866),"")</f>
        <v>0.51959999999999995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312.79199999999997</v>
      </c>
      <c r="BN74" s="67">
        <f>IFERROR(Y74*I74,"0")</f>
        <v>312.79199999999997</v>
      </c>
      <c r="BO74" s="67">
        <f>IFERROR(X74/J74,"0")</f>
        <v>0.41666666666666669</v>
      </c>
      <c r="BP74" s="67">
        <f>IFERROR(Y74/J74,"0")</f>
        <v>0.41666666666666669</v>
      </c>
    </row>
    <row r="75" spans="1:68" x14ac:dyDescent="0.2">
      <c r="A75" s="280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2"/>
      <c r="P75" s="284" t="s">
        <v>73</v>
      </c>
      <c r="Q75" s="285"/>
      <c r="R75" s="285"/>
      <c r="S75" s="285"/>
      <c r="T75" s="285"/>
      <c r="U75" s="285"/>
      <c r="V75" s="286"/>
      <c r="W75" s="37" t="s">
        <v>70</v>
      </c>
      <c r="X75" s="272">
        <f>IFERROR(SUM(X73:X74),"0")</f>
        <v>60</v>
      </c>
      <c r="Y75" s="272">
        <f>IFERROR(SUM(Y73:Y74),"0")</f>
        <v>60</v>
      </c>
      <c r="Z75" s="272">
        <f>IFERROR(IF(Z73="",0,Z73),"0")+IFERROR(IF(Z74="",0,Z74),"0")</f>
        <v>0.51959999999999995</v>
      </c>
      <c r="AA75" s="273"/>
      <c r="AB75" s="273"/>
      <c r="AC75" s="273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2"/>
      <c r="P76" s="284" t="s">
        <v>73</v>
      </c>
      <c r="Q76" s="285"/>
      <c r="R76" s="285"/>
      <c r="S76" s="285"/>
      <c r="T76" s="285"/>
      <c r="U76" s="285"/>
      <c r="V76" s="286"/>
      <c r="W76" s="37" t="s">
        <v>74</v>
      </c>
      <c r="X76" s="272">
        <f>IFERROR(SUMPRODUCT(X73:X74*H73:H74),"0")</f>
        <v>300</v>
      </c>
      <c r="Y76" s="272">
        <f>IFERROR(SUMPRODUCT(Y73:Y74*H73:H74),"0")</f>
        <v>300</v>
      </c>
      <c r="Z76" s="37"/>
      <c r="AA76" s="273"/>
      <c r="AB76" s="273"/>
      <c r="AC76" s="273"/>
    </row>
    <row r="77" spans="1:68" ht="16.5" customHeight="1" x14ac:dyDescent="0.25">
      <c r="A77" s="292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65"/>
      <c r="AB77" s="265"/>
      <c r="AC77" s="265"/>
    </row>
    <row r="78" spans="1:68" ht="14.25" customHeight="1" x14ac:dyDescent="0.25">
      <c r="A78" s="287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66"/>
      <c r="AB78" s="266"/>
      <c r="AC78" s="266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8">
        <v>4607111033659</v>
      </c>
      <c r="E79" s="279"/>
      <c r="F79" s="269">
        <v>0.3</v>
      </c>
      <c r="G79" s="32">
        <v>12</v>
      </c>
      <c r="H79" s="269">
        <v>3.6</v>
      </c>
      <c r="I79" s="269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27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5"/>
      <c r="R79" s="275"/>
      <c r="S79" s="275"/>
      <c r="T79" s="276"/>
      <c r="U79" s="34"/>
      <c r="V79" s="34"/>
      <c r="W79" s="35" t="s">
        <v>70</v>
      </c>
      <c r="X79" s="270">
        <v>0</v>
      </c>
      <c r="Y79" s="271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80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2"/>
      <c r="P80" s="284" t="s">
        <v>73</v>
      </c>
      <c r="Q80" s="285"/>
      <c r="R80" s="285"/>
      <c r="S80" s="285"/>
      <c r="T80" s="285"/>
      <c r="U80" s="285"/>
      <c r="V80" s="286"/>
      <c r="W80" s="37" t="s">
        <v>70</v>
      </c>
      <c r="X80" s="272">
        <f>IFERROR(SUM(X79:X79),"0")</f>
        <v>0</v>
      </c>
      <c r="Y80" s="272">
        <f>IFERROR(SUM(Y79:Y79),"0")</f>
        <v>0</v>
      </c>
      <c r="Z80" s="272">
        <f>IFERROR(IF(Z79="",0,Z79),"0")</f>
        <v>0</v>
      </c>
      <c r="AA80" s="273"/>
      <c r="AB80" s="273"/>
      <c r="AC80" s="273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2"/>
      <c r="P81" s="284" t="s">
        <v>73</v>
      </c>
      <c r="Q81" s="285"/>
      <c r="R81" s="285"/>
      <c r="S81" s="285"/>
      <c r="T81" s="285"/>
      <c r="U81" s="285"/>
      <c r="V81" s="286"/>
      <c r="W81" s="37" t="s">
        <v>74</v>
      </c>
      <c r="X81" s="272">
        <f>IFERROR(SUMPRODUCT(X79:X79*H79:H79),"0")</f>
        <v>0</v>
      </c>
      <c r="Y81" s="272">
        <f>IFERROR(SUMPRODUCT(Y79:Y79*H79:H79),"0")</f>
        <v>0</v>
      </c>
      <c r="Z81" s="37"/>
      <c r="AA81" s="273"/>
      <c r="AB81" s="273"/>
      <c r="AC81" s="273"/>
    </row>
    <row r="82" spans="1:68" ht="16.5" customHeight="1" x14ac:dyDescent="0.25">
      <c r="A82" s="292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65"/>
      <c r="AB82" s="265"/>
      <c r="AC82" s="265"/>
    </row>
    <row r="83" spans="1:68" ht="14.25" customHeight="1" x14ac:dyDescent="0.25">
      <c r="A83" s="287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66"/>
      <c r="AB83" s="266"/>
      <c r="AC83" s="266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8">
        <v>4607111034120</v>
      </c>
      <c r="E84" s="279"/>
      <c r="F84" s="269">
        <v>0.3</v>
      </c>
      <c r="G84" s="32">
        <v>12</v>
      </c>
      <c r="H84" s="269">
        <v>3.6</v>
      </c>
      <c r="I84" s="269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0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5"/>
      <c r="R84" s="275"/>
      <c r="S84" s="275"/>
      <c r="T84" s="276"/>
      <c r="U84" s="34"/>
      <c r="V84" s="34"/>
      <c r="W84" s="35" t="s">
        <v>70</v>
      </c>
      <c r="X84" s="270">
        <v>28</v>
      </c>
      <c r="Y84" s="271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8">
        <v>4607111034137</v>
      </c>
      <c r="E85" s="279"/>
      <c r="F85" s="269">
        <v>0.3</v>
      </c>
      <c r="G85" s="32">
        <v>12</v>
      </c>
      <c r="H85" s="269">
        <v>3.6</v>
      </c>
      <c r="I85" s="269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5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5"/>
      <c r="R85" s="275"/>
      <c r="S85" s="275"/>
      <c r="T85" s="276"/>
      <c r="U85" s="34"/>
      <c r="V85" s="34"/>
      <c r="W85" s="35" t="s">
        <v>70</v>
      </c>
      <c r="X85" s="270">
        <v>28</v>
      </c>
      <c r="Y85" s="271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280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2"/>
      <c r="P86" s="284" t="s">
        <v>73</v>
      </c>
      <c r="Q86" s="285"/>
      <c r="R86" s="285"/>
      <c r="S86" s="285"/>
      <c r="T86" s="285"/>
      <c r="U86" s="285"/>
      <c r="V86" s="286"/>
      <c r="W86" s="37" t="s">
        <v>70</v>
      </c>
      <c r="X86" s="272">
        <f>IFERROR(SUM(X84:X85),"0")</f>
        <v>56</v>
      </c>
      <c r="Y86" s="272">
        <f>IFERROR(SUM(Y84:Y85),"0")</f>
        <v>56</v>
      </c>
      <c r="Z86" s="272">
        <f>IFERROR(IF(Z84="",0,Z84),"0")+IFERROR(IF(Z85="",0,Z85),"0")</f>
        <v>1.0012799999999999</v>
      </c>
      <c r="AA86" s="273"/>
      <c r="AB86" s="273"/>
      <c r="AC86" s="273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2"/>
      <c r="P87" s="284" t="s">
        <v>73</v>
      </c>
      <c r="Q87" s="285"/>
      <c r="R87" s="285"/>
      <c r="S87" s="285"/>
      <c r="T87" s="285"/>
      <c r="U87" s="285"/>
      <c r="V87" s="286"/>
      <c r="W87" s="37" t="s">
        <v>74</v>
      </c>
      <c r="X87" s="272">
        <f>IFERROR(SUMPRODUCT(X84:X85*H84:H85),"0")</f>
        <v>201.6</v>
      </c>
      <c r="Y87" s="272">
        <f>IFERROR(SUMPRODUCT(Y84:Y85*H84:H85),"0")</f>
        <v>201.6</v>
      </c>
      <c r="Z87" s="37"/>
      <c r="AA87" s="273"/>
      <c r="AB87" s="273"/>
      <c r="AC87" s="273"/>
    </row>
    <row r="88" spans="1:68" ht="16.5" customHeight="1" x14ac:dyDescent="0.25">
      <c r="A88" s="292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65"/>
      <c r="AB88" s="265"/>
      <c r="AC88" s="265"/>
    </row>
    <row r="89" spans="1:68" ht="14.25" customHeight="1" x14ac:dyDescent="0.25">
      <c r="A89" s="287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66"/>
      <c r="AB89" s="266"/>
      <c r="AC89" s="266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78">
        <v>4620207491027</v>
      </c>
      <c r="E90" s="279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8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5"/>
      <c r="R90" s="275"/>
      <c r="S90" s="275"/>
      <c r="T90" s="276"/>
      <c r="U90" s="34"/>
      <c r="V90" s="34"/>
      <c r="W90" s="35" t="s">
        <v>70</v>
      </c>
      <c r="X90" s="270">
        <v>28</v>
      </c>
      <c r="Y90" s="271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8">
        <v>4620207491003</v>
      </c>
      <c r="E91" s="279"/>
      <c r="F91" s="269">
        <v>0.24</v>
      </c>
      <c r="G91" s="32">
        <v>12</v>
      </c>
      <c r="H91" s="269">
        <v>2.88</v>
      </c>
      <c r="I91" s="269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5"/>
      <c r="R91" s="275"/>
      <c r="S91" s="275"/>
      <c r="T91" s="276"/>
      <c r="U91" s="34"/>
      <c r="V91" s="34"/>
      <c r="W91" s="35" t="s">
        <v>70</v>
      </c>
      <c r="X91" s="270">
        <v>126</v>
      </c>
      <c r="Y91" s="271">
        <f t="shared" si="0"/>
        <v>126</v>
      </c>
      <c r="Z91" s="36">
        <f t="shared" si="1"/>
        <v>2.2528800000000002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451.53360000000004</v>
      </c>
      <c r="BN91" s="67">
        <f t="shared" si="3"/>
        <v>451.53360000000004</v>
      </c>
      <c r="BO91" s="67">
        <f t="shared" si="4"/>
        <v>1.8</v>
      </c>
      <c r="BP91" s="67">
        <f t="shared" si="5"/>
        <v>1.8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78">
        <v>4620207491034</v>
      </c>
      <c r="E92" s="279"/>
      <c r="F92" s="269">
        <v>0.24</v>
      </c>
      <c r="G92" s="32">
        <v>12</v>
      </c>
      <c r="H92" s="269">
        <v>2.88</v>
      </c>
      <c r="I92" s="26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5"/>
      <c r="R92" s="275"/>
      <c r="S92" s="275"/>
      <c r="T92" s="276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8">
        <v>4620207491010</v>
      </c>
      <c r="E93" s="279"/>
      <c r="F93" s="269">
        <v>0.24</v>
      </c>
      <c r="G93" s="32">
        <v>12</v>
      </c>
      <c r="H93" s="269">
        <v>2.88</v>
      </c>
      <c r="I93" s="269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3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5"/>
      <c r="R93" s="275"/>
      <c r="S93" s="275"/>
      <c r="T93" s="276"/>
      <c r="U93" s="34"/>
      <c r="V93" s="34"/>
      <c r="W93" s="35" t="s">
        <v>70</v>
      </c>
      <c r="X93" s="270">
        <v>84</v>
      </c>
      <c r="Y93" s="271">
        <f t="shared" si="0"/>
        <v>84</v>
      </c>
      <c r="Z93" s="36">
        <f t="shared" si="1"/>
        <v>1.5019199999999999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78">
        <v>4607111035028</v>
      </c>
      <c r="E94" s="279"/>
      <c r="F94" s="269">
        <v>0.48</v>
      </c>
      <c r="G94" s="32">
        <v>8</v>
      </c>
      <c r="H94" s="269">
        <v>3.84</v>
      </c>
      <c r="I94" s="26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1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5"/>
      <c r="R94" s="275"/>
      <c r="S94" s="275"/>
      <c r="T94" s="276"/>
      <c r="U94" s="34"/>
      <c r="V94" s="34"/>
      <c r="W94" s="35" t="s">
        <v>70</v>
      </c>
      <c r="X94" s="270">
        <v>0</v>
      </c>
      <c r="Y94" s="27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78">
        <v>4607111036407</v>
      </c>
      <c r="E95" s="279"/>
      <c r="F95" s="269">
        <v>0.3</v>
      </c>
      <c r="G95" s="32">
        <v>14</v>
      </c>
      <c r="H95" s="269">
        <v>4.2</v>
      </c>
      <c r="I95" s="269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5"/>
      <c r="R95" s="275"/>
      <c r="S95" s="275"/>
      <c r="T95" s="276"/>
      <c r="U95" s="34"/>
      <c r="V95" s="34"/>
      <c r="W95" s="35" t="s">
        <v>70</v>
      </c>
      <c r="X95" s="270">
        <v>14</v>
      </c>
      <c r="Y95" s="271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80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2"/>
      <c r="P96" s="284" t="s">
        <v>73</v>
      </c>
      <c r="Q96" s="285"/>
      <c r="R96" s="285"/>
      <c r="S96" s="285"/>
      <c r="T96" s="285"/>
      <c r="U96" s="285"/>
      <c r="V96" s="286"/>
      <c r="W96" s="37" t="s">
        <v>70</v>
      </c>
      <c r="X96" s="272">
        <f>IFERROR(SUM(X90:X95),"0")</f>
        <v>252</v>
      </c>
      <c r="Y96" s="272">
        <f>IFERROR(SUM(Y90:Y95),"0")</f>
        <v>252</v>
      </c>
      <c r="Z96" s="272">
        <f>IFERROR(IF(Z90="",0,Z90),"0")+IFERROR(IF(Z91="",0,Z91),"0")+IFERROR(IF(Z92="",0,Z92),"0")+IFERROR(IF(Z93="",0,Z93),"0")+IFERROR(IF(Z94="",0,Z94),"0")+IFERROR(IF(Z95="",0,Z95),"0")</f>
        <v>4.5057600000000004</v>
      </c>
      <c r="AA96" s="273"/>
      <c r="AB96" s="273"/>
      <c r="AC96" s="273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2"/>
      <c r="P97" s="284" t="s">
        <v>73</v>
      </c>
      <c r="Q97" s="285"/>
      <c r="R97" s="285"/>
      <c r="S97" s="285"/>
      <c r="T97" s="285"/>
      <c r="U97" s="285"/>
      <c r="V97" s="286"/>
      <c r="W97" s="37" t="s">
        <v>74</v>
      </c>
      <c r="X97" s="272">
        <f>IFERROR(SUMPRODUCT(X90:X95*H90:H95),"0")</f>
        <v>744.2399999999999</v>
      </c>
      <c r="Y97" s="272">
        <f>IFERROR(SUMPRODUCT(Y90:Y95*H90:H95),"0")</f>
        <v>744.2399999999999</v>
      </c>
      <c r="Z97" s="37"/>
      <c r="AA97" s="273"/>
      <c r="AB97" s="273"/>
      <c r="AC97" s="273"/>
    </row>
    <row r="98" spans="1:68" ht="16.5" customHeight="1" x14ac:dyDescent="0.25">
      <c r="A98" s="292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65"/>
      <c r="AB98" s="265"/>
      <c r="AC98" s="265"/>
    </row>
    <row r="99" spans="1:68" ht="14.25" customHeight="1" x14ac:dyDescent="0.25">
      <c r="A99" s="287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66"/>
      <c r="AB99" s="266"/>
      <c r="AC99" s="266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78">
        <v>4607025784012</v>
      </c>
      <c r="E100" s="279"/>
      <c r="F100" s="269">
        <v>0.09</v>
      </c>
      <c r="G100" s="32">
        <v>24</v>
      </c>
      <c r="H100" s="269">
        <v>2.16</v>
      </c>
      <c r="I100" s="269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1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5"/>
      <c r="R100" s="275"/>
      <c r="S100" s="275"/>
      <c r="T100" s="276"/>
      <c r="U100" s="34"/>
      <c r="V100" s="34"/>
      <c r="W100" s="35" t="s">
        <v>70</v>
      </c>
      <c r="X100" s="270">
        <v>0</v>
      </c>
      <c r="Y100" s="271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78">
        <v>4607025784319</v>
      </c>
      <c r="E101" s="279"/>
      <c r="F101" s="269">
        <v>0.36</v>
      </c>
      <c r="G101" s="32">
        <v>10</v>
      </c>
      <c r="H101" s="269">
        <v>3.6</v>
      </c>
      <c r="I101" s="26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3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5"/>
      <c r="R101" s="275"/>
      <c r="S101" s="275"/>
      <c r="T101" s="276"/>
      <c r="U101" s="34"/>
      <c r="V101" s="34"/>
      <c r="W101" s="35" t="s">
        <v>70</v>
      </c>
      <c r="X101" s="270">
        <v>0</v>
      </c>
      <c r="Y101" s="27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0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2"/>
      <c r="P102" s="284" t="s">
        <v>73</v>
      </c>
      <c r="Q102" s="285"/>
      <c r="R102" s="285"/>
      <c r="S102" s="285"/>
      <c r="T102" s="285"/>
      <c r="U102" s="285"/>
      <c r="V102" s="286"/>
      <c r="W102" s="37" t="s">
        <v>70</v>
      </c>
      <c r="X102" s="272">
        <f>IFERROR(SUM(X100:X101),"0")</f>
        <v>0</v>
      </c>
      <c r="Y102" s="272">
        <f>IFERROR(SUM(Y100:Y101),"0")</f>
        <v>0</v>
      </c>
      <c r="Z102" s="272">
        <f>IFERROR(IF(Z100="",0,Z100),"0")+IFERROR(IF(Z101="",0,Z101),"0")</f>
        <v>0</v>
      </c>
      <c r="AA102" s="273"/>
      <c r="AB102" s="273"/>
      <c r="AC102" s="273"/>
    </row>
    <row r="103" spans="1:68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2"/>
      <c r="P103" s="284" t="s">
        <v>73</v>
      </c>
      <c r="Q103" s="285"/>
      <c r="R103" s="285"/>
      <c r="S103" s="285"/>
      <c r="T103" s="285"/>
      <c r="U103" s="285"/>
      <c r="V103" s="286"/>
      <c r="W103" s="37" t="s">
        <v>74</v>
      </c>
      <c r="X103" s="272">
        <f>IFERROR(SUMPRODUCT(X100:X101*H100:H101),"0")</f>
        <v>0</v>
      </c>
      <c r="Y103" s="272">
        <f>IFERROR(SUMPRODUCT(Y100:Y101*H100:H101),"0")</f>
        <v>0</v>
      </c>
      <c r="Z103" s="37"/>
      <c r="AA103" s="273"/>
      <c r="AB103" s="273"/>
      <c r="AC103" s="273"/>
    </row>
    <row r="104" spans="1:68" ht="16.5" customHeight="1" x14ac:dyDescent="0.25">
      <c r="A104" s="292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65"/>
      <c r="AB104" s="265"/>
      <c r="AC104" s="265"/>
    </row>
    <row r="105" spans="1:68" ht="14.25" customHeight="1" x14ac:dyDescent="0.25">
      <c r="A105" s="287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66"/>
      <c r="AB105" s="266"/>
      <c r="AC105" s="26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78">
        <v>4620207491157</v>
      </c>
      <c r="E106" s="279"/>
      <c r="F106" s="269">
        <v>0.7</v>
      </c>
      <c r="G106" s="32">
        <v>10</v>
      </c>
      <c r="H106" s="269">
        <v>7</v>
      </c>
      <c r="I106" s="269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1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5"/>
      <c r="R106" s="275"/>
      <c r="S106" s="275"/>
      <c r="T106" s="276"/>
      <c r="U106" s="34"/>
      <c r="V106" s="34"/>
      <c r="W106" s="35" t="s">
        <v>70</v>
      </c>
      <c r="X106" s="270">
        <v>0</v>
      </c>
      <c r="Y106" s="271">
        <f t="shared" ref="Y106:Y111" si="6">IFERROR(IF(X106="","",X106),"")</f>
        <v>0</v>
      </c>
      <c r="Z106" s="36">
        <f t="shared" ref="Z106:Z111" si="7">IFERROR(IF(X106="","",X106*0.0155),"")</f>
        <v>0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0</v>
      </c>
      <c r="BN106" s="67">
        <f t="shared" ref="BN106:BN111" si="9">IFERROR(Y106*I106,"0")</f>
        <v>0</v>
      </c>
      <c r="BO106" s="67">
        <f t="shared" ref="BO106:BO111" si="10">IFERROR(X106/J106,"0")</f>
        <v>0</v>
      </c>
      <c r="BP106" s="67">
        <f t="shared" ref="BP106:BP111" si="11"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78">
        <v>4607111039262</v>
      </c>
      <c r="E107" s="279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5"/>
      <c r="R107" s="275"/>
      <c r="S107" s="275"/>
      <c r="T107" s="276"/>
      <c r="U107" s="34"/>
      <c r="V107" s="34"/>
      <c r="W107" s="35" t="s">
        <v>70</v>
      </c>
      <c r="X107" s="270">
        <v>0</v>
      </c>
      <c r="Y107" s="271">
        <f t="shared" si="6"/>
        <v>0</v>
      </c>
      <c r="Z107" s="36">
        <f t="shared" si="7"/>
        <v>0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8">
        <v>4607111039248</v>
      </c>
      <c r="E108" s="279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5"/>
      <c r="R108" s="275"/>
      <c r="S108" s="275"/>
      <c r="T108" s="276"/>
      <c r="U108" s="34"/>
      <c r="V108" s="34"/>
      <c r="W108" s="35" t="s">
        <v>70</v>
      </c>
      <c r="X108" s="270">
        <v>192</v>
      </c>
      <c r="Y108" s="271">
        <f t="shared" si="6"/>
        <v>192</v>
      </c>
      <c r="Z108" s="36">
        <f t="shared" si="7"/>
        <v>2.976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1401.6</v>
      </c>
      <c r="BN108" s="67">
        <f t="shared" si="9"/>
        <v>1401.6</v>
      </c>
      <c r="BO108" s="67">
        <f t="shared" si="10"/>
        <v>2.2857142857142856</v>
      </c>
      <c r="BP108" s="67">
        <f t="shared" si="11"/>
        <v>2.2857142857142856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78">
        <v>4607111039293</v>
      </c>
      <c r="E109" s="279"/>
      <c r="F109" s="269">
        <v>0.4</v>
      </c>
      <c r="G109" s="32">
        <v>16</v>
      </c>
      <c r="H109" s="269">
        <v>6.4</v>
      </c>
      <c r="I109" s="269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5"/>
      <c r="R109" s="275"/>
      <c r="S109" s="275"/>
      <c r="T109" s="276"/>
      <c r="U109" s="34"/>
      <c r="V109" s="34"/>
      <c r="W109" s="35" t="s">
        <v>70</v>
      </c>
      <c r="X109" s="270">
        <v>24</v>
      </c>
      <c r="Y109" s="271">
        <f t="shared" si="6"/>
        <v>24</v>
      </c>
      <c r="Z109" s="36">
        <f t="shared" si="7"/>
        <v>0.372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161.2704</v>
      </c>
      <c r="BN109" s="67">
        <f t="shared" si="9"/>
        <v>161.2704</v>
      </c>
      <c r="BO109" s="67">
        <f t="shared" si="10"/>
        <v>0.2857142857142857</v>
      </c>
      <c r="BP109" s="67">
        <f t="shared" si="11"/>
        <v>0.2857142857142857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8">
        <v>4607111039279</v>
      </c>
      <c r="E110" s="279"/>
      <c r="F110" s="269">
        <v>0.7</v>
      </c>
      <c r="G110" s="32">
        <v>10</v>
      </c>
      <c r="H110" s="269">
        <v>7</v>
      </c>
      <c r="I110" s="269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5"/>
      <c r="R110" s="275"/>
      <c r="S110" s="275"/>
      <c r="T110" s="276"/>
      <c r="U110" s="34"/>
      <c r="V110" s="34"/>
      <c r="W110" s="35" t="s">
        <v>70</v>
      </c>
      <c r="X110" s="270">
        <v>96</v>
      </c>
      <c r="Y110" s="271">
        <f t="shared" si="6"/>
        <v>96</v>
      </c>
      <c r="Z110" s="36">
        <f t="shared" si="7"/>
        <v>1.488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700.8</v>
      </c>
      <c r="BN110" s="67">
        <f t="shared" si="9"/>
        <v>700.8</v>
      </c>
      <c r="BO110" s="67">
        <f t="shared" si="10"/>
        <v>1.1428571428571428</v>
      </c>
      <c r="BP110" s="67">
        <f t="shared" si="11"/>
        <v>1.1428571428571428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78">
        <v>4620207491102</v>
      </c>
      <c r="E111" s="279"/>
      <c r="F111" s="269">
        <v>0.7</v>
      </c>
      <c r="G111" s="32">
        <v>10</v>
      </c>
      <c r="H111" s="269">
        <v>7</v>
      </c>
      <c r="I111" s="26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2" t="s">
        <v>189</v>
      </c>
      <c r="Q111" s="275"/>
      <c r="R111" s="275"/>
      <c r="S111" s="275"/>
      <c r="T111" s="276"/>
      <c r="U111" s="34"/>
      <c r="V111" s="34"/>
      <c r="W111" s="35" t="s">
        <v>70</v>
      </c>
      <c r="X111" s="270">
        <v>264</v>
      </c>
      <c r="Y111" s="271">
        <f t="shared" si="6"/>
        <v>264</v>
      </c>
      <c r="Z111" s="36">
        <f t="shared" si="7"/>
        <v>4.0919999999999996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1908.72</v>
      </c>
      <c r="BN111" s="67">
        <f t="shared" si="9"/>
        <v>1908.72</v>
      </c>
      <c r="BO111" s="67">
        <f t="shared" si="10"/>
        <v>3.1428571428571428</v>
      </c>
      <c r="BP111" s="67">
        <f t="shared" si="11"/>
        <v>3.1428571428571428</v>
      </c>
    </row>
    <row r="112" spans="1:68" x14ac:dyDescent="0.2">
      <c r="A112" s="280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2"/>
      <c r="P112" s="284" t="s">
        <v>73</v>
      </c>
      <c r="Q112" s="285"/>
      <c r="R112" s="285"/>
      <c r="S112" s="285"/>
      <c r="T112" s="285"/>
      <c r="U112" s="285"/>
      <c r="V112" s="286"/>
      <c r="W112" s="37" t="s">
        <v>70</v>
      </c>
      <c r="X112" s="272">
        <f>IFERROR(SUM(X106:X111),"0")</f>
        <v>576</v>
      </c>
      <c r="Y112" s="272">
        <f>IFERROR(SUM(Y106:Y111),"0")</f>
        <v>576</v>
      </c>
      <c r="Z112" s="272">
        <f>IFERROR(IF(Z106="",0,Z106),"0")+IFERROR(IF(Z107="",0,Z107),"0")+IFERROR(IF(Z108="",0,Z108),"0")+IFERROR(IF(Z109="",0,Z109),"0")+IFERROR(IF(Z110="",0,Z110),"0")+IFERROR(IF(Z111="",0,Z111),"0")</f>
        <v>8.9280000000000008</v>
      </c>
      <c r="AA112" s="273"/>
      <c r="AB112" s="273"/>
      <c r="AC112" s="273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2"/>
      <c r="P113" s="284" t="s">
        <v>73</v>
      </c>
      <c r="Q113" s="285"/>
      <c r="R113" s="285"/>
      <c r="S113" s="285"/>
      <c r="T113" s="285"/>
      <c r="U113" s="285"/>
      <c r="V113" s="286"/>
      <c r="W113" s="37" t="s">
        <v>74</v>
      </c>
      <c r="X113" s="272">
        <f>IFERROR(SUMPRODUCT(X106:X111*H106:H111),"0")</f>
        <v>4017.6</v>
      </c>
      <c r="Y113" s="272">
        <f>IFERROR(SUMPRODUCT(Y106:Y111*H106:H111),"0")</f>
        <v>4017.6</v>
      </c>
      <c r="Z113" s="37"/>
      <c r="AA113" s="273"/>
      <c r="AB113" s="273"/>
      <c r="AC113" s="273"/>
    </row>
    <row r="114" spans="1:68" ht="14.25" customHeight="1" x14ac:dyDescent="0.25">
      <c r="A114" s="287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66"/>
      <c r="AB114" s="266"/>
      <c r="AC114" s="266"/>
    </row>
    <row r="115" spans="1:68" ht="27" customHeight="1" x14ac:dyDescent="0.25">
      <c r="A115" s="54" t="s">
        <v>191</v>
      </c>
      <c r="B115" s="54" t="s">
        <v>192</v>
      </c>
      <c r="C115" s="31">
        <v>4301135826</v>
      </c>
      <c r="D115" s="278">
        <v>4620207490983</v>
      </c>
      <c r="E115" s="279"/>
      <c r="F115" s="269">
        <v>0.22</v>
      </c>
      <c r="G115" s="32">
        <v>12</v>
      </c>
      <c r="H115" s="269">
        <v>2.64</v>
      </c>
      <c r="I115" s="26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83" t="s">
        <v>193</v>
      </c>
      <c r="Q115" s="275"/>
      <c r="R115" s="275"/>
      <c r="S115" s="275"/>
      <c r="T115" s="276"/>
      <c r="U115" s="34"/>
      <c r="V115" s="34"/>
      <c r="W115" s="35" t="s">
        <v>70</v>
      </c>
      <c r="X115" s="270">
        <v>0</v>
      </c>
      <c r="Y115" s="27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194</v>
      </c>
      <c r="AG115" s="67"/>
      <c r="AJ115" s="71" t="s">
        <v>72</v>
      </c>
      <c r="AK115" s="71">
        <v>1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80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2"/>
      <c r="P116" s="284" t="s">
        <v>73</v>
      </c>
      <c r="Q116" s="285"/>
      <c r="R116" s="285"/>
      <c r="S116" s="285"/>
      <c r="T116" s="285"/>
      <c r="U116" s="285"/>
      <c r="V116" s="286"/>
      <c r="W116" s="37" t="s">
        <v>70</v>
      </c>
      <c r="X116" s="272">
        <f>IFERROR(SUM(X115:X115),"0")</f>
        <v>0</v>
      </c>
      <c r="Y116" s="272">
        <f>IFERROR(SUM(Y115:Y115),"0")</f>
        <v>0</v>
      </c>
      <c r="Z116" s="272">
        <f>IFERROR(IF(Z115="",0,Z115),"0")</f>
        <v>0</v>
      </c>
      <c r="AA116" s="273"/>
      <c r="AB116" s="273"/>
      <c r="AC116" s="273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2"/>
      <c r="P117" s="284" t="s">
        <v>73</v>
      </c>
      <c r="Q117" s="285"/>
      <c r="R117" s="285"/>
      <c r="S117" s="285"/>
      <c r="T117" s="285"/>
      <c r="U117" s="285"/>
      <c r="V117" s="286"/>
      <c r="W117" s="37" t="s">
        <v>74</v>
      </c>
      <c r="X117" s="272">
        <f>IFERROR(SUMPRODUCT(X115:X115*H115:H115),"0")</f>
        <v>0</v>
      </c>
      <c r="Y117" s="272">
        <f>IFERROR(SUMPRODUCT(Y115:Y115*H115:H115),"0")</f>
        <v>0</v>
      </c>
      <c r="Z117" s="37"/>
      <c r="AA117" s="273"/>
      <c r="AB117" s="273"/>
      <c r="AC117" s="273"/>
    </row>
    <row r="118" spans="1:68" ht="14.25" customHeight="1" x14ac:dyDescent="0.25">
      <c r="A118" s="287" t="s">
        <v>195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66"/>
      <c r="AB118" s="266"/>
      <c r="AC118" s="266"/>
    </row>
    <row r="119" spans="1:68" ht="27" customHeight="1" x14ac:dyDescent="0.25">
      <c r="A119" s="54" t="s">
        <v>196</v>
      </c>
      <c r="B119" s="54" t="s">
        <v>197</v>
      </c>
      <c r="C119" s="31">
        <v>4301071094</v>
      </c>
      <c r="D119" s="278">
        <v>4620207491140</v>
      </c>
      <c r="E119" s="279"/>
      <c r="F119" s="269">
        <v>0.6</v>
      </c>
      <c r="G119" s="32">
        <v>10</v>
      </c>
      <c r="H119" s="269">
        <v>6</v>
      </c>
      <c r="I119" s="26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5" t="s">
        <v>198</v>
      </c>
      <c r="Q119" s="275"/>
      <c r="R119" s="275"/>
      <c r="S119" s="275"/>
      <c r="T119" s="276"/>
      <c r="U119" s="34"/>
      <c r="V119" s="34"/>
      <c r="W119" s="35" t="s">
        <v>70</v>
      </c>
      <c r="X119" s="270">
        <v>0</v>
      </c>
      <c r="Y119" s="27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199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80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2"/>
      <c r="P120" s="284" t="s">
        <v>73</v>
      </c>
      <c r="Q120" s="285"/>
      <c r="R120" s="285"/>
      <c r="S120" s="285"/>
      <c r="T120" s="285"/>
      <c r="U120" s="285"/>
      <c r="V120" s="286"/>
      <c r="W120" s="37" t="s">
        <v>70</v>
      </c>
      <c r="X120" s="272">
        <f>IFERROR(SUM(X119:X119),"0")</f>
        <v>0</v>
      </c>
      <c r="Y120" s="272">
        <f>IFERROR(SUM(Y119:Y119),"0")</f>
        <v>0</v>
      </c>
      <c r="Z120" s="272">
        <f>IFERROR(IF(Z119="",0,Z119),"0")</f>
        <v>0</v>
      </c>
      <c r="AA120" s="273"/>
      <c r="AB120" s="273"/>
      <c r="AC120" s="273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2"/>
      <c r="P121" s="284" t="s">
        <v>73</v>
      </c>
      <c r="Q121" s="285"/>
      <c r="R121" s="285"/>
      <c r="S121" s="285"/>
      <c r="T121" s="285"/>
      <c r="U121" s="285"/>
      <c r="V121" s="286"/>
      <c r="W121" s="37" t="s">
        <v>74</v>
      </c>
      <c r="X121" s="272">
        <f>IFERROR(SUMPRODUCT(X119:X119*H119:H119),"0")</f>
        <v>0</v>
      </c>
      <c r="Y121" s="272">
        <f>IFERROR(SUMPRODUCT(Y119:Y119*H119:H119),"0")</f>
        <v>0</v>
      </c>
      <c r="Z121" s="37"/>
      <c r="AA121" s="273"/>
      <c r="AB121" s="273"/>
      <c r="AC121" s="273"/>
    </row>
    <row r="122" spans="1:68" ht="16.5" customHeight="1" x14ac:dyDescent="0.25">
      <c r="A122" s="292" t="s">
        <v>200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65"/>
      <c r="AB122" s="265"/>
      <c r="AC122" s="265"/>
    </row>
    <row r="123" spans="1:68" ht="14.25" customHeight="1" x14ac:dyDescent="0.25">
      <c r="A123" s="287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66"/>
      <c r="AB123" s="266"/>
      <c r="AC123" s="266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278">
        <v>4607111034014</v>
      </c>
      <c r="E124" s="279"/>
      <c r="F124" s="269">
        <v>0.25</v>
      </c>
      <c r="G124" s="32">
        <v>12</v>
      </c>
      <c r="H124" s="269">
        <v>3</v>
      </c>
      <c r="I124" s="269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5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75"/>
      <c r="R124" s="275"/>
      <c r="S124" s="275"/>
      <c r="T124" s="276"/>
      <c r="U124" s="34"/>
      <c r="V124" s="34"/>
      <c r="W124" s="35" t="s">
        <v>70</v>
      </c>
      <c r="X124" s="270">
        <v>168</v>
      </c>
      <c r="Y124" s="271">
        <f>IFERROR(IF(X124="","",X124),"")</f>
        <v>168</v>
      </c>
      <c r="Z124" s="36">
        <f>IFERROR(IF(X124="","",X124*0.01788),"")</f>
        <v>3.0038399999999998</v>
      </c>
      <c r="AA124" s="56"/>
      <c r="AB124" s="57"/>
      <c r="AC124" s="150" t="s">
        <v>203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622.20479999999998</v>
      </c>
      <c r="BN124" s="67">
        <f>IFERROR(Y124*I124,"0")</f>
        <v>622.20479999999998</v>
      </c>
      <c r="BO124" s="67">
        <f>IFERROR(X124/J124,"0")</f>
        <v>2.4</v>
      </c>
      <c r="BP124" s="67">
        <f>IFERROR(Y124/J124,"0")</f>
        <v>2.4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278">
        <v>4607111033994</v>
      </c>
      <c r="E125" s="279"/>
      <c r="F125" s="269">
        <v>0.25</v>
      </c>
      <c r="G125" s="32">
        <v>12</v>
      </c>
      <c r="H125" s="269">
        <v>3</v>
      </c>
      <c r="I125" s="269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2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75"/>
      <c r="R125" s="275"/>
      <c r="S125" s="275"/>
      <c r="T125" s="276"/>
      <c r="U125" s="34"/>
      <c r="V125" s="34"/>
      <c r="W125" s="35" t="s">
        <v>70</v>
      </c>
      <c r="X125" s="270">
        <v>70</v>
      </c>
      <c r="Y125" s="271">
        <f>IFERROR(IF(X125="","",X125),"")</f>
        <v>70</v>
      </c>
      <c r="Z125" s="36">
        <f>IFERROR(IF(X125="","",X125*0.01788),"")</f>
        <v>1.2516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259.25200000000001</v>
      </c>
      <c r="BN125" s="67">
        <f>IFERROR(Y125*I125,"0")</f>
        <v>259.25200000000001</v>
      </c>
      <c r="BO125" s="67">
        <f>IFERROR(X125/J125,"0")</f>
        <v>1</v>
      </c>
      <c r="BP125" s="67">
        <f>IFERROR(Y125/J125,"0")</f>
        <v>1</v>
      </c>
    </row>
    <row r="126" spans="1:68" x14ac:dyDescent="0.2">
      <c r="A126" s="280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2"/>
      <c r="P126" s="284" t="s">
        <v>73</v>
      </c>
      <c r="Q126" s="285"/>
      <c r="R126" s="285"/>
      <c r="S126" s="285"/>
      <c r="T126" s="285"/>
      <c r="U126" s="285"/>
      <c r="V126" s="286"/>
      <c r="W126" s="37" t="s">
        <v>70</v>
      </c>
      <c r="X126" s="272">
        <f>IFERROR(SUM(X124:X125),"0")</f>
        <v>238</v>
      </c>
      <c r="Y126" s="272">
        <f>IFERROR(SUM(Y124:Y125),"0")</f>
        <v>238</v>
      </c>
      <c r="Z126" s="272">
        <f>IFERROR(IF(Z124="",0,Z124),"0")+IFERROR(IF(Z125="",0,Z125),"0")</f>
        <v>4.2554400000000001</v>
      </c>
      <c r="AA126" s="273"/>
      <c r="AB126" s="273"/>
      <c r="AC126" s="273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2"/>
      <c r="P127" s="284" t="s">
        <v>73</v>
      </c>
      <c r="Q127" s="285"/>
      <c r="R127" s="285"/>
      <c r="S127" s="285"/>
      <c r="T127" s="285"/>
      <c r="U127" s="285"/>
      <c r="V127" s="286"/>
      <c r="W127" s="37" t="s">
        <v>74</v>
      </c>
      <c r="X127" s="272">
        <f>IFERROR(SUMPRODUCT(X124:X125*H124:H125),"0")</f>
        <v>714</v>
      </c>
      <c r="Y127" s="272">
        <f>IFERROR(SUMPRODUCT(Y124:Y125*H124:H125),"0")</f>
        <v>714</v>
      </c>
      <c r="Z127" s="37"/>
      <c r="AA127" s="273"/>
      <c r="AB127" s="273"/>
      <c r="AC127" s="273"/>
    </row>
    <row r="128" spans="1:68" ht="16.5" customHeight="1" x14ac:dyDescent="0.25">
      <c r="A128" s="292" t="s">
        <v>206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65"/>
      <c r="AB128" s="265"/>
      <c r="AC128" s="265"/>
    </row>
    <row r="129" spans="1:68" ht="14.25" customHeight="1" x14ac:dyDescent="0.25">
      <c r="A129" s="287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66"/>
      <c r="AB129" s="266"/>
      <c r="AC129" s="266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278">
        <v>4607111039095</v>
      </c>
      <c r="E130" s="279"/>
      <c r="F130" s="269">
        <v>0.25</v>
      </c>
      <c r="G130" s="32">
        <v>12</v>
      </c>
      <c r="H130" s="269">
        <v>3</v>
      </c>
      <c r="I130" s="269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75"/>
      <c r="R130" s="275"/>
      <c r="S130" s="275"/>
      <c r="T130" s="276"/>
      <c r="U130" s="34"/>
      <c r="V130" s="34"/>
      <c r="W130" s="35" t="s">
        <v>70</v>
      </c>
      <c r="X130" s="270">
        <v>28</v>
      </c>
      <c r="Y130" s="271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209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278">
        <v>4607111034199</v>
      </c>
      <c r="E131" s="279"/>
      <c r="F131" s="269">
        <v>0.25</v>
      </c>
      <c r="G131" s="32">
        <v>12</v>
      </c>
      <c r="H131" s="269">
        <v>3</v>
      </c>
      <c r="I131" s="269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75"/>
      <c r="R131" s="275"/>
      <c r="S131" s="275"/>
      <c r="T131" s="276"/>
      <c r="U131" s="34"/>
      <c r="V131" s="34"/>
      <c r="W131" s="35" t="s">
        <v>70</v>
      </c>
      <c r="X131" s="270">
        <v>126</v>
      </c>
      <c r="Y131" s="271">
        <f>IFERROR(IF(X131="","",X131),"")</f>
        <v>126</v>
      </c>
      <c r="Z131" s="36">
        <f>IFERROR(IF(X131="","",X131*0.01788),"")</f>
        <v>2.2528800000000002</v>
      </c>
      <c r="AA131" s="56"/>
      <c r="AB131" s="57"/>
      <c r="AC131" s="156" t="s">
        <v>212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466.65359999999998</v>
      </c>
      <c r="BN131" s="67">
        <f>IFERROR(Y131*I131,"0")</f>
        <v>466.65359999999998</v>
      </c>
      <c r="BO131" s="67">
        <f>IFERROR(X131/J131,"0")</f>
        <v>1.8</v>
      </c>
      <c r="BP131" s="67">
        <f>IFERROR(Y131/J131,"0")</f>
        <v>1.8</v>
      </c>
    </row>
    <row r="132" spans="1:68" x14ac:dyDescent="0.2">
      <c r="A132" s="280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2"/>
      <c r="P132" s="284" t="s">
        <v>73</v>
      </c>
      <c r="Q132" s="285"/>
      <c r="R132" s="285"/>
      <c r="S132" s="285"/>
      <c r="T132" s="285"/>
      <c r="U132" s="285"/>
      <c r="V132" s="286"/>
      <c r="W132" s="37" t="s">
        <v>70</v>
      </c>
      <c r="X132" s="272">
        <f>IFERROR(SUM(X130:X131),"0")</f>
        <v>154</v>
      </c>
      <c r="Y132" s="272">
        <f>IFERROR(SUM(Y130:Y131),"0")</f>
        <v>154</v>
      </c>
      <c r="Z132" s="272">
        <f>IFERROR(IF(Z130="",0,Z130),"0")+IFERROR(IF(Z131="",0,Z131),"0")</f>
        <v>2.75352</v>
      </c>
      <c r="AA132" s="273"/>
      <c r="AB132" s="273"/>
      <c r="AC132" s="273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2"/>
      <c r="P133" s="284" t="s">
        <v>73</v>
      </c>
      <c r="Q133" s="285"/>
      <c r="R133" s="285"/>
      <c r="S133" s="285"/>
      <c r="T133" s="285"/>
      <c r="U133" s="285"/>
      <c r="V133" s="286"/>
      <c r="W133" s="37" t="s">
        <v>74</v>
      </c>
      <c r="X133" s="272">
        <f>IFERROR(SUMPRODUCT(X130:X131*H130:H131),"0")</f>
        <v>462</v>
      </c>
      <c r="Y133" s="272">
        <f>IFERROR(SUMPRODUCT(Y130:Y131*H130:H131),"0")</f>
        <v>462</v>
      </c>
      <c r="Z133" s="37"/>
      <c r="AA133" s="273"/>
      <c r="AB133" s="273"/>
      <c r="AC133" s="273"/>
    </row>
    <row r="134" spans="1:68" ht="16.5" customHeight="1" x14ac:dyDescent="0.25">
      <c r="A134" s="292" t="s">
        <v>213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65"/>
      <c r="AB134" s="265"/>
      <c r="AC134" s="265"/>
    </row>
    <row r="135" spans="1:68" ht="14.25" customHeight="1" x14ac:dyDescent="0.25">
      <c r="A135" s="287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66"/>
      <c r="AB135" s="266"/>
      <c r="AC135" s="266"/>
    </row>
    <row r="136" spans="1:68" ht="27" customHeight="1" x14ac:dyDescent="0.25">
      <c r="A136" s="54" t="s">
        <v>214</v>
      </c>
      <c r="B136" s="54" t="s">
        <v>215</v>
      </c>
      <c r="C136" s="31">
        <v>4301135753</v>
      </c>
      <c r="D136" s="278">
        <v>4620207490914</v>
      </c>
      <c r="E136" s="279"/>
      <c r="F136" s="269">
        <v>0.2</v>
      </c>
      <c r="G136" s="32">
        <v>12</v>
      </c>
      <c r="H136" s="269">
        <v>2.4</v>
      </c>
      <c r="I136" s="26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75"/>
      <c r="R136" s="275"/>
      <c r="S136" s="275"/>
      <c r="T136" s="276"/>
      <c r="U136" s="34"/>
      <c r="V136" s="34"/>
      <c r="W136" s="35" t="s">
        <v>70</v>
      </c>
      <c r="X136" s="270">
        <v>14</v>
      </c>
      <c r="Y136" s="271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203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ht="27" customHeight="1" x14ac:dyDescent="0.25">
      <c r="A137" s="54" t="s">
        <v>216</v>
      </c>
      <c r="B137" s="54" t="s">
        <v>217</v>
      </c>
      <c r="C137" s="31">
        <v>4301135778</v>
      </c>
      <c r="D137" s="278">
        <v>4620207490853</v>
      </c>
      <c r="E137" s="279"/>
      <c r="F137" s="269">
        <v>0.2</v>
      </c>
      <c r="G137" s="32">
        <v>12</v>
      </c>
      <c r="H137" s="269">
        <v>2.4</v>
      </c>
      <c r="I137" s="269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5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75"/>
      <c r="R137" s="275"/>
      <c r="S137" s="275"/>
      <c r="T137" s="276"/>
      <c r="U137" s="34"/>
      <c r="V137" s="34"/>
      <c r="W137" s="35" t="s">
        <v>70</v>
      </c>
      <c r="X137" s="270">
        <v>70</v>
      </c>
      <c r="Y137" s="271">
        <f>IFERROR(IF(X137="","",X137),"")</f>
        <v>70</v>
      </c>
      <c r="Z137" s="36">
        <f>IFERROR(IF(X137="","",X137*0.01788),"")</f>
        <v>1.2516</v>
      </c>
      <c r="AA137" s="56"/>
      <c r="AB137" s="57"/>
      <c r="AC137" s="160" t="s">
        <v>203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187.60000000000002</v>
      </c>
      <c r="BN137" s="67">
        <f>IFERROR(Y137*I137,"0")</f>
        <v>187.60000000000002</v>
      </c>
      <c r="BO137" s="67">
        <f>IFERROR(X137/J137,"0")</f>
        <v>1</v>
      </c>
      <c r="BP137" s="67">
        <f>IFERROR(Y137/J137,"0")</f>
        <v>1</v>
      </c>
    </row>
    <row r="138" spans="1:68" x14ac:dyDescent="0.2">
      <c r="A138" s="280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2"/>
      <c r="P138" s="284" t="s">
        <v>73</v>
      </c>
      <c r="Q138" s="285"/>
      <c r="R138" s="285"/>
      <c r="S138" s="285"/>
      <c r="T138" s="285"/>
      <c r="U138" s="285"/>
      <c r="V138" s="286"/>
      <c r="W138" s="37" t="s">
        <v>70</v>
      </c>
      <c r="X138" s="272">
        <f>IFERROR(SUM(X136:X137),"0")</f>
        <v>84</v>
      </c>
      <c r="Y138" s="272">
        <f>IFERROR(SUM(Y136:Y137),"0")</f>
        <v>84</v>
      </c>
      <c r="Z138" s="272">
        <f>IFERROR(IF(Z136="",0,Z136),"0")+IFERROR(IF(Z137="",0,Z137),"0")</f>
        <v>1.5019200000000001</v>
      </c>
      <c r="AA138" s="273"/>
      <c r="AB138" s="273"/>
      <c r="AC138" s="273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2"/>
      <c r="P139" s="284" t="s">
        <v>73</v>
      </c>
      <c r="Q139" s="285"/>
      <c r="R139" s="285"/>
      <c r="S139" s="285"/>
      <c r="T139" s="285"/>
      <c r="U139" s="285"/>
      <c r="V139" s="286"/>
      <c r="W139" s="37" t="s">
        <v>74</v>
      </c>
      <c r="X139" s="272">
        <f>IFERROR(SUMPRODUCT(X136:X137*H136:H137),"0")</f>
        <v>201.6</v>
      </c>
      <c r="Y139" s="272">
        <f>IFERROR(SUMPRODUCT(Y136:Y137*H136:H137),"0")</f>
        <v>201.6</v>
      </c>
      <c r="Z139" s="37"/>
      <c r="AA139" s="273"/>
      <c r="AB139" s="273"/>
      <c r="AC139" s="273"/>
    </row>
    <row r="140" spans="1:68" ht="16.5" customHeight="1" x14ac:dyDescent="0.25">
      <c r="A140" s="292" t="s">
        <v>218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65"/>
      <c r="AB140" s="265"/>
      <c r="AC140" s="265"/>
    </row>
    <row r="141" spans="1:68" ht="14.25" customHeight="1" x14ac:dyDescent="0.25">
      <c r="A141" s="287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66"/>
      <c r="AB141" s="266"/>
      <c r="AC141" s="266"/>
    </row>
    <row r="142" spans="1:68" ht="27" customHeight="1" x14ac:dyDescent="0.25">
      <c r="A142" s="54" t="s">
        <v>219</v>
      </c>
      <c r="B142" s="54" t="s">
        <v>220</v>
      </c>
      <c r="C142" s="31">
        <v>4301135570</v>
      </c>
      <c r="D142" s="278">
        <v>4607111035806</v>
      </c>
      <c r="E142" s="279"/>
      <c r="F142" s="269">
        <v>0.25</v>
      </c>
      <c r="G142" s="32">
        <v>12</v>
      </c>
      <c r="H142" s="269">
        <v>3</v>
      </c>
      <c r="I142" s="269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5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75"/>
      <c r="R142" s="275"/>
      <c r="S142" s="275"/>
      <c r="T142" s="276"/>
      <c r="U142" s="34"/>
      <c r="V142" s="34"/>
      <c r="W142" s="35" t="s">
        <v>70</v>
      </c>
      <c r="X142" s="270">
        <v>0</v>
      </c>
      <c r="Y142" s="271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221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80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2"/>
      <c r="P143" s="284" t="s">
        <v>73</v>
      </c>
      <c r="Q143" s="285"/>
      <c r="R143" s="285"/>
      <c r="S143" s="285"/>
      <c r="T143" s="285"/>
      <c r="U143" s="285"/>
      <c r="V143" s="286"/>
      <c r="W143" s="37" t="s">
        <v>70</v>
      </c>
      <c r="X143" s="272">
        <f>IFERROR(SUM(X142:X142),"0")</f>
        <v>0</v>
      </c>
      <c r="Y143" s="272">
        <f>IFERROR(SUM(Y142:Y142),"0")</f>
        <v>0</v>
      </c>
      <c r="Z143" s="272">
        <f>IFERROR(IF(Z142="",0,Z142),"0")</f>
        <v>0</v>
      </c>
      <c r="AA143" s="273"/>
      <c r="AB143" s="273"/>
      <c r="AC143" s="273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2"/>
      <c r="P144" s="284" t="s">
        <v>73</v>
      </c>
      <c r="Q144" s="285"/>
      <c r="R144" s="285"/>
      <c r="S144" s="285"/>
      <c r="T144" s="285"/>
      <c r="U144" s="285"/>
      <c r="V144" s="286"/>
      <c r="W144" s="37" t="s">
        <v>74</v>
      </c>
      <c r="X144" s="272">
        <f>IFERROR(SUMPRODUCT(X142:X142*H142:H142),"0")</f>
        <v>0</v>
      </c>
      <c r="Y144" s="272">
        <f>IFERROR(SUMPRODUCT(Y142:Y142*H142:H142),"0")</f>
        <v>0</v>
      </c>
      <c r="Z144" s="37"/>
      <c r="AA144" s="273"/>
      <c r="AB144" s="273"/>
      <c r="AC144" s="273"/>
    </row>
    <row r="145" spans="1:68" ht="16.5" customHeight="1" x14ac:dyDescent="0.25">
      <c r="A145" s="292" t="s">
        <v>222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65"/>
      <c r="AB145" s="265"/>
      <c r="AC145" s="265"/>
    </row>
    <row r="146" spans="1:68" ht="14.25" customHeight="1" x14ac:dyDescent="0.25">
      <c r="A146" s="287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66"/>
      <c r="AB146" s="266"/>
      <c r="AC146" s="266"/>
    </row>
    <row r="147" spans="1:68" ht="16.5" customHeight="1" x14ac:dyDescent="0.25">
      <c r="A147" s="54" t="s">
        <v>223</v>
      </c>
      <c r="B147" s="54" t="s">
        <v>224</v>
      </c>
      <c r="C147" s="31">
        <v>4301135607</v>
      </c>
      <c r="D147" s="278">
        <v>4607111039613</v>
      </c>
      <c r="E147" s="279"/>
      <c r="F147" s="269">
        <v>0.09</v>
      </c>
      <c r="G147" s="32">
        <v>30</v>
      </c>
      <c r="H147" s="269">
        <v>2.7</v>
      </c>
      <c r="I147" s="269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0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75"/>
      <c r="R147" s="275"/>
      <c r="S147" s="275"/>
      <c r="T147" s="276"/>
      <c r="U147" s="34"/>
      <c r="V147" s="34"/>
      <c r="W147" s="35" t="s">
        <v>70</v>
      </c>
      <c r="X147" s="270">
        <v>0</v>
      </c>
      <c r="Y147" s="27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209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80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2"/>
      <c r="P148" s="284" t="s">
        <v>73</v>
      </c>
      <c r="Q148" s="285"/>
      <c r="R148" s="285"/>
      <c r="S148" s="285"/>
      <c r="T148" s="285"/>
      <c r="U148" s="285"/>
      <c r="V148" s="286"/>
      <c r="W148" s="37" t="s">
        <v>70</v>
      </c>
      <c r="X148" s="272">
        <f>IFERROR(SUM(X147:X147),"0")</f>
        <v>0</v>
      </c>
      <c r="Y148" s="272">
        <f>IFERROR(SUM(Y147:Y147),"0")</f>
        <v>0</v>
      </c>
      <c r="Z148" s="272">
        <f>IFERROR(IF(Z147="",0,Z147),"0")</f>
        <v>0</v>
      </c>
      <c r="AA148" s="273"/>
      <c r="AB148" s="273"/>
      <c r="AC148" s="273"/>
    </row>
    <row r="149" spans="1:68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2"/>
      <c r="P149" s="284" t="s">
        <v>73</v>
      </c>
      <c r="Q149" s="285"/>
      <c r="R149" s="285"/>
      <c r="S149" s="285"/>
      <c r="T149" s="285"/>
      <c r="U149" s="285"/>
      <c r="V149" s="286"/>
      <c r="W149" s="37" t="s">
        <v>74</v>
      </c>
      <c r="X149" s="272">
        <f>IFERROR(SUMPRODUCT(X147:X147*H147:H147),"0")</f>
        <v>0</v>
      </c>
      <c r="Y149" s="272">
        <f>IFERROR(SUMPRODUCT(Y147:Y147*H147:H147),"0")</f>
        <v>0</v>
      </c>
      <c r="Z149" s="37"/>
      <c r="AA149" s="273"/>
      <c r="AB149" s="273"/>
      <c r="AC149" s="273"/>
    </row>
    <row r="150" spans="1:68" ht="16.5" customHeight="1" x14ac:dyDescent="0.25">
      <c r="A150" s="292" t="s">
        <v>225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65"/>
      <c r="AB150" s="265"/>
      <c r="AC150" s="265"/>
    </row>
    <row r="151" spans="1:68" ht="14.25" customHeight="1" x14ac:dyDescent="0.25">
      <c r="A151" s="287" t="s">
        <v>195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66"/>
      <c r="AB151" s="266"/>
      <c r="AC151" s="266"/>
    </row>
    <row r="152" spans="1:68" ht="27" customHeight="1" x14ac:dyDescent="0.25">
      <c r="A152" s="54" t="s">
        <v>226</v>
      </c>
      <c r="B152" s="54" t="s">
        <v>227</v>
      </c>
      <c r="C152" s="31">
        <v>4301135540</v>
      </c>
      <c r="D152" s="278">
        <v>4607111035646</v>
      </c>
      <c r="E152" s="279"/>
      <c r="F152" s="269">
        <v>0.2</v>
      </c>
      <c r="G152" s="32">
        <v>8</v>
      </c>
      <c r="H152" s="269">
        <v>1.6</v>
      </c>
      <c r="I152" s="269">
        <v>2.12</v>
      </c>
      <c r="J152" s="32">
        <v>72</v>
      </c>
      <c r="K152" s="32" t="s">
        <v>228</v>
      </c>
      <c r="L152" s="32" t="s">
        <v>68</v>
      </c>
      <c r="M152" s="33" t="s">
        <v>69</v>
      </c>
      <c r="N152" s="33"/>
      <c r="O152" s="32">
        <v>180</v>
      </c>
      <c r="P152" s="30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75"/>
      <c r="R152" s="275"/>
      <c r="S152" s="275"/>
      <c r="T152" s="276"/>
      <c r="U152" s="34"/>
      <c r="V152" s="34"/>
      <c r="W152" s="35" t="s">
        <v>70</v>
      </c>
      <c r="X152" s="270">
        <v>0</v>
      </c>
      <c r="Y152" s="27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229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80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2"/>
      <c r="P153" s="284" t="s">
        <v>73</v>
      </c>
      <c r="Q153" s="285"/>
      <c r="R153" s="285"/>
      <c r="S153" s="285"/>
      <c r="T153" s="285"/>
      <c r="U153" s="285"/>
      <c r="V153" s="286"/>
      <c r="W153" s="37" t="s">
        <v>70</v>
      </c>
      <c r="X153" s="272">
        <f>IFERROR(SUM(X152:X152),"0")</f>
        <v>0</v>
      </c>
      <c r="Y153" s="272">
        <f>IFERROR(SUM(Y152:Y152),"0")</f>
        <v>0</v>
      </c>
      <c r="Z153" s="272">
        <f>IFERROR(IF(Z152="",0,Z152),"0")</f>
        <v>0</v>
      </c>
      <c r="AA153" s="273"/>
      <c r="AB153" s="273"/>
      <c r="AC153" s="273"/>
    </row>
    <row r="154" spans="1:68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2"/>
      <c r="P154" s="284" t="s">
        <v>73</v>
      </c>
      <c r="Q154" s="285"/>
      <c r="R154" s="285"/>
      <c r="S154" s="285"/>
      <c r="T154" s="285"/>
      <c r="U154" s="285"/>
      <c r="V154" s="286"/>
      <c r="W154" s="37" t="s">
        <v>74</v>
      </c>
      <c r="X154" s="272">
        <f>IFERROR(SUMPRODUCT(X152:X152*H152:H152),"0")</f>
        <v>0</v>
      </c>
      <c r="Y154" s="272">
        <f>IFERROR(SUMPRODUCT(Y152:Y152*H152:H152),"0")</f>
        <v>0</v>
      </c>
      <c r="Z154" s="37"/>
      <c r="AA154" s="273"/>
      <c r="AB154" s="273"/>
      <c r="AC154" s="273"/>
    </row>
    <row r="155" spans="1:68" ht="16.5" customHeight="1" x14ac:dyDescent="0.25">
      <c r="A155" s="292" t="s">
        <v>230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65"/>
      <c r="AB155" s="265"/>
      <c r="AC155" s="265"/>
    </row>
    <row r="156" spans="1:68" ht="14.25" customHeight="1" x14ac:dyDescent="0.25">
      <c r="A156" s="287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66"/>
      <c r="AB156" s="266"/>
      <c r="AC156" s="266"/>
    </row>
    <row r="157" spans="1:68" ht="27" customHeight="1" x14ac:dyDescent="0.25">
      <c r="A157" s="54" t="s">
        <v>231</v>
      </c>
      <c r="B157" s="54" t="s">
        <v>232</v>
      </c>
      <c r="C157" s="31">
        <v>4301135591</v>
      </c>
      <c r="D157" s="278">
        <v>4607111036568</v>
      </c>
      <c r="E157" s="279"/>
      <c r="F157" s="269">
        <v>0.28000000000000003</v>
      </c>
      <c r="G157" s="32">
        <v>6</v>
      </c>
      <c r="H157" s="269">
        <v>1.68</v>
      </c>
      <c r="I157" s="26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29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75"/>
      <c r="R157" s="275"/>
      <c r="S157" s="275"/>
      <c r="T157" s="276"/>
      <c r="U157" s="34"/>
      <c r="V157" s="34"/>
      <c r="W157" s="35" t="s">
        <v>70</v>
      </c>
      <c r="X157" s="270">
        <v>0</v>
      </c>
      <c r="Y157" s="27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233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80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2"/>
      <c r="P158" s="284" t="s">
        <v>73</v>
      </c>
      <c r="Q158" s="285"/>
      <c r="R158" s="285"/>
      <c r="S158" s="285"/>
      <c r="T158" s="285"/>
      <c r="U158" s="285"/>
      <c r="V158" s="286"/>
      <c r="W158" s="37" t="s">
        <v>70</v>
      </c>
      <c r="X158" s="272">
        <f>IFERROR(SUM(X157:X157),"0")</f>
        <v>0</v>
      </c>
      <c r="Y158" s="272">
        <f>IFERROR(SUM(Y157:Y157),"0")</f>
        <v>0</v>
      </c>
      <c r="Z158" s="272">
        <f>IFERROR(IF(Z157="",0,Z157),"0")</f>
        <v>0</v>
      </c>
      <c r="AA158" s="273"/>
      <c r="AB158" s="273"/>
      <c r="AC158" s="273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2"/>
      <c r="P159" s="284" t="s">
        <v>73</v>
      </c>
      <c r="Q159" s="285"/>
      <c r="R159" s="285"/>
      <c r="S159" s="285"/>
      <c r="T159" s="285"/>
      <c r="U159" s="285"/>
      <c r="V159" s="286"/>
      <c r="W159" s="37" t="s">
        <v>74</v>
      </c>
      <c r="X159" s="272">
        <f>IFERROR(SUMPRODUCT(X157:X157*H157:H157),"0")</f>
        <v>0</v>
      </c>
      <c r="Y159" s="272">
        <f>IFERROR(SUMPRODUCT(Y157:Y157*H157:H157),"0")</f>
        <v>0</v>
      </c>
      <c r="Z159" s="37"/>
      <c r="AA159" s="273"/>
      <c r="AB159" s="273"/>
      <c r="AC159" s="273"/>
    </row>
    <row r="160" spans="1:68" ht="27.75" customHeight="1" x14ac:dyDescent="0.2">
      <c r="A160" s="325" t="s">
        <v>234</v>
      </c>
      <c r="B160" s="326"/>
      <c r="C160" s="326"/>
      <c r="D160" s="326"/>
      <c r="E160" s="326"/>
      <c r="F160" s="326"/>
      <c r="G160" s="326"/>
      <c r="H160" s="326"/>
      <c r="I160" s="326"/>
      <c r="J160" s="326"/>
      <c r="K160" s="326"/>
      <c r="L160" s="326"/>
      <c r="M160" s="326"/>
      <c r="N160" s="326"/>
      <c r="O160" s="326"/>
      <c r="P160" s="326"/>
      <c r="Q160" s="326"/>
      <c r="R160" s="326"/>
      <c r="S160" s="326"/>
      <c r="T160" s="326"/>
      <c r="U160" s="326"/>
      <c r="V160" s="326"/>
      <c r="W160" s="326"/>
      <c r="X160" s="326"/>
      <c r="Y160" s="326"/>
      <c r="Z160" s="326"/>
      <c r="AA160" s="48"/>
      <c r="AB160" s="48"/>
      <c r="AC160" s="48"/>
    </row>
    <row r="161" spans="1:68" ht="16.5" customHeight="1" x14ac:dyDescent="0.25">
      <c r="A161" s="292" t="s">
        <v>235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65"/>
      <c r="AB161" s="265"/>
      <c r="AC161" s="265"/>
    </row>
    <row r="162" spans="1:68" ht="14.25" customHeight="1" x14ac:dyDescent="0.25">
      <c r="A162" s="287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66"/>
      <c r="AB162" s="266"/>
      <c r="AC162" s="266"/>
    </row>
    <row r="163" spans="1:68" ht="16.5" customHeight="1" x14ac:dyDescent="0.25">
      <c r="A163" s="54" t="s">
        <v>236</v>
      </c>
      <c r="B163" s="54" t="s">
        <v>237</v>
      </c>
      <c r="C163" s="31">
        <v>4301071062</v>
      </c>
      <c r="D163" s="278">
        <v>4607111036384</v>
      </c>
      <c r="E163" s="279"/>
      <c r="F163" s="269">
        <v>5</v>
      </c>
      <c r="G163" s="32">
        <v>1</v>
      </c>
      <c r="H163" s="269">
        <v>5</v>
      </c>
      <c r="I163" s="269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73" t="s">
        <v>238</v>
      </c>
      <c r="Q163" s="275"/>
      <c r="R163" s="275"/>
      <c r="S163" s="275"/>
      <c r="T163" s="276"/>
      <c r="U163" s="34"/>
      <c r="V163" s="34"/>
      <c r="W163" s="35" t="s">
        <v>70</v>
      </c>
      <c r="X163" s="270">
        <v>0</v>
      </c>
      <c r="Y163" s="27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240</v>
      </c>
      <c r="B164" s="54" t="s">
        <v>241</v>
      </c>
      <c r="C164" s="31">
        <v>4301071050</v>
      </c>
      <c r="D164" s="278">
        <v>4607111036216</v>
      </c>
      <c r="E164" s="279"/>
      <c r="F164" s="269">
        <v>5</v>
      </c>
      <c r="G164" s="32">
        <v>1</v>
      </c>
      <c r="H164" s="269">
        <v>5</v>
      </c>
      <c r="I164" s="269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1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75"/>
      <c r="R164" s="275"/>
      <c r="S164" s="275"/>
      <c r="T164" s="276"/>
      <c r="U164" s="34"/>
      <c r="V164" s="34"/>
      <c r="W164" s="35" t="s">
        <v>70</v>
      </c>
      <c r="X164" s="270">
        <v>0</v>
      </c>
      <c r="Y164" s="271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242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280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2"/>
      <c r="P165" s="284" t="s">
        <v>73</v>
      </c>
      <c r="Q165" s="285"/>
      <c r="R165" s="285"/>
      <c r="S165" s="285"/>
      <c r="T165" s="285"/>
      <c r="U165" s="285"/>
      <c r="V165" s="286"/>
      <c r="W165" s="37" t="s">
        <v>70</v>
      </c>
      <c r="X165" s="272">
        <f>IFERROR(SUM(X163:X164),"0")</f>
        <v>0</v>
      </c>
      <c r="Y165" s="272">
        <f>IFERROR(SUM(Y163:Y164),"0")</f>
        <v>0</v>
      </c>
      <c r="Z165" s="272">
        <f>IFERROR(IF(Z163="",0,Z163),"0")+IFERROR(IF(Z164="",0,Z164),"0")</f>
        <v>0</v>
      </c>
      <c r="AA165" s="273"/>
      <c r="AB165" s="273"/>
      <c r="AC165" s="273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2"/>
      <c r="P166" s="284" t="s">
        <v>73</v>
      </c>
      <c r="Q166" s="285"/>
      <c r="R166" s="285"/>
      <c r="S166" s="285"/>
      <c r="T166" s="285"/>
      <c r="U166" s="285"/>
      <c r="V166" s="286"/>
      <c r="W166" s="37" t="s">
        <v>74</v>
      </c>
      <c r="X166" s="272">
        <f>IFERROR(SUMPRODUCT(X163:X164*H163:H164),"0")</f>
        <v>0</v>
      </c>
      <c r="Y166" s="272">
        <f>IFERROR(SUMPRODUCT(Y163:Y164*H163:H164),"0")</f>
        <v>0</v>
      </c>
      <c r="Z166" s="37"/>
      <c r="AA166" s="273"/>
      <c r="AB166" s="273"/>
      <c r="AC166" s="273"/>
    </row>
    <row r="167" spans="1:68" ht="27.75" customHeight="1" x14ac:dyDescent="0.2">
      <c r="A167" s="325" t="s">
        <v>243</v>
      </c>
      <c r="B167" s="326"/>
      <c r="C167" s="326"/>
      <c r="D167" s="326"/>
      <c r="E167" s="326"/>
      <c r="F167" s="326"/>
      <c r="G167" s="326"/>
      <c r="H167" s="326"/>
      <c r="I167" s="326"/>
      <c r="J167" s="326"/>
      <c r="K167" s="326"/>
      <c r="L167" s="326"/>
      <c r="M167" s="326"/>
      <c r="N167" s="326"/>
      <c r="O167" s="326"/>
      <c r="P167" s="326"/>
      <c r="Q167" s="326"/>
      <c r="R167" s="326"/>
      <c r="S167" s="326"/>
      <c r="T167" s="326"/>
      <c r="U167" s="326"/>
      <c r="V167" s="326"/>
      <c r="W167" s="326"/>
      <c r="X167" s="326"/>
      <c r="Y167" s="326"/>
      <c r="Z167" s="326"/>
      <c r="AA167" s="48"/>
      <c r="AB167" s="48"/>
      <c r="AC167" s="48"/>
    </row>
    <row r="168" spans="1:68" ht="16.5" customHeight="1" x14ac:dyDescent="0.25">
      <c r="A168" s="292" t="s">
        <v>244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65"/>
      <c r="AB168" s="265"/>
      <c r="AC168" s="265"/>
    </row>
    <row r="169" spans="1:68" ht="14.25" customHeight="1" x14ac:dyDescent="0.25">
      <c r="A169" s="287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66"/>
      <c r="AB169" s="266"/>
      <c r="AC169" s="266"/>
    </row>
    <row r="170" spans="1:68" ht="16.5" customHeight="1" x14ac:dyDescent="0.25">
      <c r="A170" s="54" t="s">
        <v>245</v>
      </c>
      <c r="B170" s="54" t="s">
        <v>246</v>
      </c>
      <c r="C170" s="31">
        <v>4301132179</v>
      </c>
      <c r="D170" s="278">
        <v>4607111035691</v>
      </c>
      <c r="E170" s="279"/>
      <c r="F170" s="269">
        <v>0.25</v>
      </c>
      <c r="G170" s="32">
        <v>12</v>
      </c>
      <c r="H170" s="269">
        <v>3</v>
      </c>
      <c r="I170" s="269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75"/>
      <c r="R170" s="275"/>
      <c r="S170" s="275"/>
      <c r="T170" s="276"/>
      <c r="U170" s="34"/>
      <c r="V170" s="34"/>
      <c r="W170" s="35" t="s">
        <v>70</v>
      </c>
      <c r="X170" s="270">
        <v>42</v>
      </c>
      <c r="Y170" s="271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247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customHeight="1" x14ac:dyDescent="0.25">
      <c r="A171" s="54" t="s">
        <v>248</v>
      </c>
      <c r="B171" s="54" t="s">
        <v>249</v>
      </c>
      <c r="C171" s="31">
        <v>4301132182</v>
      </c>
      <c r="D171" s="278">
        <v>4607111035721</v>
      </c>
      <c r="E171" s="279"/>
      <c r="F171" s="269">
        <v>0.25</v>
      </c>
      <c r="G171" s="32">
        <v>12</v>
      </c>
      <c r="H171" s="269">
        <v>3</v>
      </c>
      <c r="I171" s="269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3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75"/>
      <c r="R171" s="275"/>
      <c r="S171" s="275"/>
      <c r="T171" s="276"/>
      <c r="U171" s="34"/>
      <c r="V171" s="34"/>
      <c r="W171" s="35" t="s">
        <v>70</v>
      </c>
      <c r="X171" s="270">
        <v>70</v>
      </c>
      <c r="Y171" s="271">
        <f>IFERROR(IF(X171="","",X171),"")</f>
        <v>70</v>
      </c>
      <c r="Z171" s="36">
        <f>IFERROR(IF(X171="","",X171*0.01788),"")</f>
        <v>1.2516</v>
      </c>
      <c r="AA171" s="56"/>
      <c r="AB171" s="57"/>
      <c r="AC171" s="176" t="s">
        <v>250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237.16</v>
      </c>
      <c r="BN171" s="67">
        <f>IFERROR(Y171*I171,"0")</f>
        <v>237.16</v>
      </c>
      <c r="BO171" s="67">
        <f>IFERROR(X171/J171,"0")</f>
        <v>1</v>
      </c>
      <c r="BP171" s="67">
        <f>IFERROR(Y171/J171,"0")</f>
        <v>1</v>
      </c>
    </row>
    <row r="172" spans="1:68" ht="27" customHeight="1" x14ac:dyDescent="0.25">
      <c r="A172" s="54" t="s">
        <v>251</v>
      </c>
      <c r="B172" s="54" t="s">
        <v>252</v>
      </c>
      <c r="C172" s="31">
        <v>4301132170</v>
      </c>
      <c r="D172" s="278">
        <v>4607111038487</v>
      </c>
      <c r="E172" s="279"/>
      <c r="F172" s="269">
        <v>0.25</v>
      </c>
      <c r="G172" s="32">
        <v>12</v>
      </c>
      <c r="H172" s="269">
        <v>3</v>
      </c>
      <c r="I172" s="269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29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75"/>
      <c r="R172" s="275"/>
      <c r="S172" s="275"/>
      <c r="T172" s="276"/>
      <c r="U172" s="34"/>
      <c r="V172" s="34"/>
      <c r="W172" s="35" t="s">
        <v>70</v>
      </c>
      <c r="X172" s="270">
        <v>112</v>
      </c>
      <c r="Y172" s="271">
        <f>IFERROR(IF(X172="","",X172),"")</f>
        <v>112</v>
      </c>
      <c r="Z172" s="36">
        <f>IFERROR(IF(X172="","",X172*0.01788),"")</f>
        <v>2.0025599999999999</v>
      </c>
      <c r="AA172" s="56"/>
      <c r="AB172" s="57"/>
      <c r="AC172" s="178" t="s">
        <v>253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418.43200000000002</v>
      </c>
      <c r="BN172" s="67">
        <f>IFERROR(Y172*I172,"0")</f>
        <v>418.43200000000002</v>
      </c>
      <c r="BO172" s="67">
        <f>IFERROR(X172/J172,"0")</f>
        <v>1.6</v>
      </c>
      <c r="BP172" s="67">
        <f>IFERROR(Y172/J172,"0")</f>
        <v>1.6</v>
      </c>
    </row>
    <row r="173" spans="1:68" x14ac:dyDescent="0.2">
      <c r="A173" s="280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2"/>
      <c r="P173" s="284" t="s">
        <v>73</v>
      </c>
      <c r="Q173" s="285"/>
      <c r="R173" s="285"/>
      <c r="S173" s="285"/>
      <c r="T173" s="285"/>
      <c r="U173" s="285"/>
      <c r="V173" s="286"/>
      <c r="W173" s="37" t="s">
        <v>70</v>
      </c>
      <c r="X173" s="272">
        <f>IFERROR(SUM(X170:X172),"0")</f>
        <v>224</v>
      </c>
      <c r="Y173" s="272">
        <f>IFERROR(SUM(Y170:Y172),"0")</f>
        <v>224</v>
      </c>
      <c r="Z173" s="272">
        <f>IFERROR(IF(Z170="",0,Z170),"0")+IFERROR(IF(Z171="",0,Z171),"0")+IFERROR(IF(Z172="",0,Z172),"0")</f>
        <v>4.0051199999999998</v>
      </c>
      <c r="AA173" s="273"/>
      <c r="AB173" s="273"/>
      <c r="AC173" s="273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2"/>
      <c r="P174" s="284" t="s">
        <v>73</v>
      </c>
      <c r="Q174" s="285"/>
      <c r="R174" s="285"/>
      <c r="S174" s="285"/>
      <c r="T174" s="285"/>
      <c r="U174" s="285"/>
      <c r="V174" s="286"/>
      <c r="W174" s="37" t="s">
        <v>74</v>
      </c>
      <c r="X174" s="272">
        <f>IFERROR(SUMPRODUCT(X170:X172*H170:H172),"0")</f>
        <v>672</v>
      </c>
      <c r="Y174" s="272">
        <f>IFERROR(SUMPRODUCT(Y170:Y172*H170:H172),"0")</f>
        <v>672</v>
      </c>
      <c r="Z174" s="37"/>
      <c r="AA174" s="273"/>
      <c r="AB174" s="273"/>
      <c r="AC174" s="273"/>
    </row>
    <row r="175" spans="1:68" ht="14.25" customHeight="1" x14ac:dyDescent="0.25">
      <c r="A175" s="287" t="s">
        <v>254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66"/>
      <c r="AB175" s="266"/>
      <c r="AC175" s="266"/>
    </row>
    <row r="176" spans="1:68" ht="27" customHeight="1" x14ac:dyDescent="0.25">
      <c r="A176" s="54" t="s">
        <v>255</v>
      </c>
      <c r="B176" s="54" t="s">
        <v>256</v>
      </c>
      <c r="C176" s="31">
        <v>4301051855</v>
      </c>
      <c r="D176" s="278">
        <v>4680115885875</v>
      </c>
      <c r="E176" s="279"/>
      <c r="F176" s="269">
        <v>1</v>
      </c>
      <c r="G176" s="32">
        <v>9</v>
      </c>
      <c r="H176" s="269">
        <v>9</v>
      </c>
      <c r="I176" s="269">
        <v>9.4350000000000005</v>
      </c>
      <c r="J176" s="32">
        <v>64</v>
      </c>
      <c r="K176" s="32" t="s">
        <v>257</v>
      </c>
      <c r="L176" s="32" t="s">
        <v>68</v>
      </c>
      <c r="M176" s="33" t="s">
        <v>258</v>
      </c>
      <c r="N176" s="33"/>
      <c r="O176" s="32">
        <v>365</v>
      </c>
      <c r="P176" s="426" t="s">
        <v>259</v>
      </c>
      <c r="Q176" s="275"/>
      <c r="R176" s="275"/>
      <c r="S176" s="275"/>
      <c r="T176" s="276"/>
      <c r="U176" s="34"/>
      <c r="V176" s="34"/>
      <c r="W176" s="35" t="s">
        <v>70</v>
      </c>
      <c r="X176" s="270">
        <v>0</v>
      </c>
      <c r="Y176" s="27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260</v>
      </c>
      <c r="AG176" s="67"/>
      <c r="AJ176" s="71" t="s">
        <v>72</v>
      </c>
      <c r="AK176" s="71">
        <v>1</v>
      </c>
      <c r="BB176" s="181" t="s">
        <v>261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80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2"/>
      <c r="P177" s="284" t="s">
        <v>73</v>
      </c>
      <c r="Q177" s="285"/>
      <c r="R177" s="285"/>
      <c r="S177" s="285"/>
      <c r="T177" s="285"/>
      <c r="U177" s="285"/>
      <c r="V177" s="286"/>
      <c r="W177" s="37" t="s">
        <v>70</v>
      </c>
      <c r="X177" s="272">
        <f>IFERROR(SUM(X176:X176),"0")</f>
        <v>0</v>
      </c>
      <c r="Y177" s="272">
        <f>IFERROR(SUM(Y176:Y176),"0")</f>
        <v>0</v>
      </c>
      <c r="Z177" s="272">
        <f>IFERROR(IF(Z176="",0,Z176),"0")</f>
        <v>0</v>
      </c>
      <c r="AA177" s="273"/>
      <c r="AB177" s="273"/>
      <c r="AC177" s="273"/>
    </row>
    <row r="178" spans="1:68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2"/>
      <c r="P178" s="284" t="s">
        <v>73</v>
      </c>
      <c r="Q178" s="285"/>
      <c r="R178" s="285"/>
      <c r="S178" s="285"/>
      <c r="T178" s="285"/>
      <c r="U178" s="285"/>
      <c r="V178" s="286"/>
      <c r="W178" s="37" t="s">
        <v>74</v>
      </c>
      <c r="X178" s="272">
        <f>IFERROR(SUMPRODUCT(X176:X176*H176:H176),"0")</f>
        <v>0</v>
      </c>
      <c r="Y178" s="272">
        <f>IFERROR(SUMPRODUCT(Y176:Y176*H176:H176),"0")</f>
        <v>0</v>
      </c>
      <c r="Z178" s="37"/>
      <c r="AA178" s="273"/>
      <c r="AB178" s="273"/>
      <c r="AC178" s="273"/>
    </row>
    <row r="179" spans="1:68" ht="27.75" customHeight="1" x14ac:dyDescent="0.2">
      <c r="A179" s="325" t="s">
        <v>262</v>
      </c>
      <c r="B179" s="326"/>
      <c r="C179" s="326"/>
      <c r="D179" s="326"/>
      <c r="E179" s="326"/>
      <c r="F179" s="326"/>
      <c r="G179" s="326"/>
      <c r="H179" s="326"/>
      <c r="I179" s="326"/>
      <c r="J179" s="326"/>
      <c r="K179" s="326"/>
      <c r="L179" s="326"/>
      <c r="M179" s="326"/>
      <c r="N179" s="326"/>
      <c r="O179" s="326"/>
      <c r="P179" s="326"/>
      <c r="Q179" s="326"/>
      <c r="R179" s="326"/>
      <c r="S179" s="326"/>
      <c r="T179" s="326"/>
      <c r="U179" s="326"/>
      <c r="V179" s="326"/>
      <c r="W179" s="326"/>
      <c r="X179" s="326"/>
      <c r="Y179" s="326"/>
      <c r="Z179" s="326"/>
      <c r="AA179" s="48"/>
      <c r="AB179" s="48"/>
      <c r="AC179" s="48"/>
    </row>
    <row r="180" spans="1:68" ht="16.5" customHeight="1" x14ac:dyDescent="0.25">
      <c r="A180" s="292" t="s">
        <v>263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65"/>
      <c r="AB180" s="265"/>
      <c r="AC180" s="265"/>
    </row>
    <row r="181" spans="1:68" ht="14.25" customHeight="1" x14ac:dyDescent="0.25">
      <c r="A181" s="287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66"/>
      <c r="AB181" s="266"/>
      <c r="AC181" s="266"/>
    </row>
    <row r="182" spans="1:68" ht="27" customHeight="1" x14ac:dyDescent="0.25">
      <c r="A182" s="54" t="s">
        <v>264</v>
      </c>
      <c r="B182" s="54" t="s">
        <v>265</v>
      </c>
      <c r="C182" s="31">
        <v>4301132227</v>
      </c>
      <c r="D182" s="278">
        <v>4620207491133</v>
      </c>
      <c r="E182" s="279"/>
      <c r="F182" s="269">
        <v>0.23</v>
      </c>
      <c r="G182" s="32">
        <v>12</v>
      </c>
      <c r="H182" s="269">
        <v>2.76</v>
      </c>
      <c r="I182" s="269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53" t="s">
        <v>266</v>
      </c>
      <c r="Q182" s="275"/>
      <c r="R182" s="275"/>
      <c r="S182" s="275"/>
      <c r="T182" s="276"/>
      <c r="U182" s="34"/>
      <c r="V182" s="34"/>
      <c r="W182" s="35" t="s">
        <v>70</v>
      </c>
      <c r="X182" s="270">
        <v>0</v>
      </c>
      <c r="Y182" s="271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267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80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2"/>
      <c r="P183" s="284" t="s">
        <v>73</v>
      </c>
      <c r="Q183" s="285"/>
      <c r="R183" s="285"/>
      <c r="S183" s="285"/>
      <c r="T183" s="285"/>
      <c r="U183" s="285"/>
      <c r="V183" s="286"/>
      <c r="W183" s="37" t="s">
        <v>70</v>
      </c>
      <c r="X183" s="272">
        <f>IFERROR(SUM(X182:X182),"0")</f>
        <v>0</v>
      </c>
      <c r="Y183" s="272">
        <f>IFERROR(SUM(Y182:Y182),"0")</f>
        <v>0</v>
      </c>
      <c r="Z183" s="272">
        <f>IFERROR(IF(Z182="",0,Z182),"0")</f>
        <v>0</v>
      </c>
      <c r="AA183" s="273"/>
      <c r="AB183" s="273"/>
      <c r="AC183" s="273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2"/>
      <c r="P184" s="284" t="s">
        <v>73</v>
      </c>
      <c r="Q184" s="285"/>
      <c r="R184" s="285"/>
      <c r="S184" s="285"/>
      <c r="T184" s="285"/>
      <c r="U184" s="285"/>
      <c r="V184" s="286"/>
      <c r="W184" s="37" t="s">
        <v>74</v>
      </c>
      <c r="X184" s="272">
        <f>IFERROR(SUMPRODUCT(X182:X182*H182:H182),"0")</f>
        <v>0</v>
      </c>
      <c r="Y184" s="272">
        <f>IFERROR(SUMPRODUCT(Y182:Y182*H182:H182),"0")</f>
        <v>0</v>
      </c>
      <c r="Z184" s="37"/>
      <c r="AA184" s="273"/>
      <c r="AB184" s="273"/>
      <c r="AC184" s="273"/>
    </row>
    <row r="185" spans="1:68" ht="14.25" customHeight="1" x14ac:dyDescent="0.25">
      <c r="A185" s="287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66"/>
      <c r="AB185" s="266"/>
      <c r="AC185" s="266"/>
    </row>
    <row r="186" spans="1:68" ht="27" customHeight="1" x14ac:dyDescent="0.25">
      <c r="A186" s="54" t="s">
        <v>268</v>
      </c>
      <c r="B186" s="54" t="s">
        <v>269</v>
      </c>
      <c r="C186" s="31">
        <v>4301135707</v>
      </c>
      <c r="D186" s="278">
        <v>4620207490198</v>
      </c>
      <c r="E186" s="279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4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75"/>
      <c r="R186" s="275"/>
      <c r="S186" s="275"/>
      <c r="T186" s="276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4301135696</v>
      </c>
      <c r="D187" s="278">
        <v>4620207490235</v>
      </c>
      <c r="E187" s="279"/>
      <c r="F187" s="269">
        <v>0.2</v>
      </c>
      <c r="G187" s="32">
        <v>12</v>
      </c>
      <c r="H187" s="269">
        <v>2.4</v>
      </c>
      <c r="I187" s="269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4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75"/>
      <c r="R187" s="275"/>
      <c r="S187" s="275"/>
      <c r="T187" s="276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273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4301135697</v>
      </c>
      <c r="D188" s="278">
        <v>4620207490259</v>
      </c>
      <c r="E188" s="279"/>
      <c r="F188" s="269">
        <v>0.2</v>
      </c>
      <c r="G188" s="32">
        <v>12</v>
      </c>
      <c r="H188" s="269">
        <v>2.4</v>
      </c>
      <c r="I188" s="269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2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75"/>
      <c r="R188" s="275"/>
      <c r="S188" s="275"/>
      <c r="T188" s="276"/>
      <c r="U188" s="34"/>
      <c r="V188" s="34"/>
      <c r="W188" s="35" t="s">
        <v>70</v>
      </c>
      <c r="X188" s="270">
        <v>0</v>
      </c>
      <c r="Y188" s="27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270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276</v>
      </c>
      <c r="B189" s="54" t="s">
        <v>277</v>
      </c>
      <c r="C189" s="31">
        <v>4301135681</v>
      </c>
      <c r="D189" s="278">
        <v>4620207490143</v>
      </c>
      <c r="E189" s="279"/>
      <c r="F189" s="269">
        <v>0.22</v>
      </c>
      <c r="G189" s="32">
        <v>12</v>
      </c>
      <c r="H189" s="269">
        <v>2.64</v>
      </c>
      <c r="I189" s="26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4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75"/>
      <c r="R189" s="275"/>
      <c r="S189" s="275"/>
      <c r="T189" s="276"/>
      <c r="U189" s="34"/>
      <c r="V189" s="34"/>
      <c r="W189" s="35" t="s">
        <v>70</v>
      </c>
      <c r="X189" s="270">
        <v>0</v>
      </c>
      <c r="Y189" s="27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278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0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2"/>
      <c r="P190" s="284" t="s">
        <v>73</v>
      </c>
      <c r="Q190" s="285"/>
      <c r="R190" s="285"/>
      <c r="S190" s="285"/>
      <c r="T190" s="285"/>
      <c r="U190" s="285"/>
      <c r="V190" s="286"/>
      <c r="W190" s="37" t="s">
        <v>70</v>
      </c>
      <c r="X190" s="272">
        <f>IFERROR(SUM(X186:X189),"0")</f>
        <v>0</v>
      </c>
      <c r="Y190" s="272">
        <f>IFERROR(SUM(Y186:Y189),"0")</f>
        <v>0</v>
      </c>
      <c r="Z190" s="272">
        <f>IFERROR(IF(Z186="",0,Z186),"0")+IFERROR(IF(Z187="",0,Z187),"0")+IFERROR(IF(Z188="",0,Z188),"0")+IFERROR(IF(Z189="",0,Z189),"0")</f>
        <v>0</v>
      </c>
      <c r="AA190" s="273"/>
      <c r="AB190" s="273"/>
      <c r="AC190" s="273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2"/>
      <c r="P191" s="284" t="s">
        <v>73</v>
      </c>
      <c r="Q191" s="285"/>
      <c r="R191" s="285"/>
      <c r="S191" s="285"/>
      <c r="T191" s="285"/>
      <c r="U191" s="285"/>
      <c r="V191" s="286"/>
      <c r="W191" s="37" t="s">
        <v>74</v>
      </c>
      <c r="X191" s="272">
        <f>IFERROR(SUMPRODUCT(X186:X189*H186:H189),"0")</f>
        <v>0</v>
      </c>
      <c r="Y191" s="272">
        <f>IFERROR(SUMPRODUCT(Y186:Y189*H186:H189),"0")</f>
        <v>0</v>
      </c>
      <c r="Z191" s="37"/>
      <c r="AA191" s="273"/>
      <c r="AB191" s="273"/>
      <c r="AC191" s="273"/>
    </row>
    <row r="192" spans="1:68" ht="16.5" customHeight="1" x14ac:dyDescent="0.25">
      <c r="A192" s="292" t="s">
        <v>279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65"/>
      <c r="AB192" s="265"/>
      <c r="AC192" s="265"/>
    </row>
    <row r="193" spans="1:68" ht="14.25" customHeight="1" x14ac:dyDescent="0.25">
      <c r="A193" s="287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66"/>
      <c r="AB193" s="266"/>
      <c r="AC193" s="266"/>
    </row>
    <row r="194" spans="1:68" ht="27" customHeight="1" x14ac:dyDescent="0.25">
      <c r="A194" s="54" t="s">
        <v>280</v>
      </c>
      <c r="B194" s="54" t="s">
        <v>281</v>
      </c>
      <c r="C194" s="31">
        <v>4301071108</v>
      </c>
      <c r="D194" s="278">
        <v>4607111035912</v>
      </c>
      <c r="E194" s="279"/>
      <c r="F194" s="269">
        <v>0.43</v>
      </c>
      <c r="G194" s="32">
        <v>16</v>
      </c>
      <c r="H194" s="269">
        <v>6.88</v>
      </c>
      <c r="I194" s="269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2" t="s">
        <v>282</v>
      </c>
      <c r="Q194" s="275"/>
      <c r="R194" s="275"/>
      <c r="S194" s="275"/>
      <c r="T194" s="276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284</v>
      </c>
      <c r="B195" s="54" t="s">
        <v>285</v>
      </c>
      <c r="C195" s="31">
        <v>4301071109</v>
      </c>
      <c r="D195" s="278">
        <v>4607111035929</v>
      </c>
      <c r="E195" s="279"/>
      <c r="F195" s="269">
        <v>0.9</v>
      </c>
      <c r="G195" s="32">
        <v>8</v>
      </c>
      <c r="H195" s="269">
        <v>7.2</v>
      </c>
      <c r="I195" s="269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6" t="s">
        <v>286</v>
      </c>
      <c r="Q195" s="275"/>
      <c r="R195" s="275"/>
      <c r="S195" s="275"/>
      <c r="T195" s="276"/>
      <c r="U195" s="34"/>
      <c r="V195" s="34"/>
      <c r="W195" s="35" t="s">
        <v>70</v>
      </c>
      <c r="X195" s="270">
        <v>36</v>
      </c>
      <c r="Y195" s="271">
        <f>IFERROR(IF(X195="","",X195),"")</f>
        <v>36</v>
      </c>
      <c r="Z195" s="36">
        <f>IFERROR(IF(X195="","",X195*0.0155),"")</f>
        <v>0.55800000000000005</v>
      </c>
      <c r="AA195" s="56"/>
      <c r="AB195" s="57"/>
      <c r="AC195" s="194" t="s">
        <v>283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268.92</v>
      </c>
      <c r="BN195" s="67">
        <f>IFERROR(Y195*I195,"0")</f>
        <v>268.92</v>
      </c>
      <c r="BO195" s="67">
        <f>IFERROR(X195/J195,"0")</f>
        <v>0.42857142857142855</v>
      </c>
      <c r="BP195" s="67">
        <f>IFERROR(Y195/J195,"0")</f>
        <v>0.42857142857142855</v>
      </c>
    </row>
    <row r="196" spans="1:68" ht="27" customHeight="1" x14ac:dyDescent="0.25">
      <c r="A196" s="54" t="s">
        <v>287</v>
      </c>
      <c r="B196" s="54" t="s">
        <v>288</v>
      </c>
      <c r="C196" s="31">
        <v>4301070915</v>
      </c>
      <c r="D196" s="278">
        <v>4607111035882</v>
      </c>
      <c r="E196" s="279"/>
      <c r="F196" s="269">
        <v>0.43</v>
      </c>
      <c r="G196" s="32">
        <v>16</v>
      </c>
      <c r="H196" s="269">
        <v>6.88</v>
      </c>
      <c r="I196" s="269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6" s="275"/>
      <c r="R196" s="275"/>
      <c r="S196" s="275"/>
      <c r="T196" s="276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290</v>
      </c>
      <c r="B197" s="54" t="s">
        <v>291</v>
      </c>
      <c r="C197" s="31">
        <v>4301071107</v>
      </c>
      <c r="D197" s="278">
        <v>4607111035905</v>
      </c>
      <c r="E197" s="279"/>
      <c r="F197" s="269">
        <v>0.9</v>
      </c>
      <c r="G197" s="32">
        <v>8</v>
      </c>
      <c r="H197" s="269">
        <v>7.2</v>
      </c>
      <c r="I197" s="269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1" t="s">
        <v>292</v>
      </c>
      <c r="Q197" s="275"/>
      <c r="R197" s="275"/>
      <c r="S197" s="275"/>
      <c r="T197" s="276"/>
      <c r="U197" s="34"/>
      <c r="V197" s="34"/>
      <c r="W197" s="35" t="s">
        <v>70</v>
      </c>
      <c r="X197" s="270">
        <v>0</v>
      </c>
      <c r="Y197" s="27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283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80"/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2"/>
      <c r="P198" s="284" t="s">
        <v>73</v>
      </c>
      <c r="Q198" s="285"/>
      <c r="R198" s="285"/>
      <c r="S198" s="285"/>
      <c r="T198" s="285"/>
      <c r="U198" s="285"/>
      <c r="V198" s="286"/>
      <c r="W198" s="37" t="s">
        <v>70</v>
      </c>
      <c r="X198" s="272">
        <f>IFERROR(SUM(X194:X197),"0")</f>
        <v>36</v>
      </c>
      <c r="Y198" s="272">
        <f>IFERROR(SUM(Y194:Y197),"0")</f>
        <v>36</v>
      </c>
      <c r="Z198" s="272">
        <f>IFERROR(IF(Z194="",0,Z194),"0")+IFERROR(IF(Z195="",0,Z195),"0")+IFERROR(IF(Z196="",0,Z196),"0")+IFERROR(IF(Z197="",0,Z197),"0")</f>
        <v>0.55800000000000005</v>
      </c>
      <c r="AA198" s="273"/>
      <c r="AB198" s="273"/>
      <c r="AC198" s="273"/>
    </row>
    <row r="199" spans="1:68" x14ac:dyDescent="0.2">
      <c r="A199" s="281"/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2"/>
      <c r="P199" s="284" t="s">
        <v>73</v>
      </c>
      <c r="Q199" s="285"/>
      <c r="R199" s="285"/>
      <c r="S199" s="285"/>
      <c r="T199" s="285"/>
      <c r="U199" s="285"/>
      <c r="V199" s="286"/>
      <c r="W199" s="37" t="s">
        <v>74</v>
      </c>
      <c r="X199" s="272">
        <f>IFERROR(SUMPRODUCT(X194:X197*H194:H197),"0")</f>
        <v>259.2</v>
      </c>
      <c r="Y199" s="272">
        <f>IFERROR(SUMPRODUCT(Y194:Y197*H194:H197),"0")</f>
        <v>259.2</v>
      </c>
      <c r="Z199" s="37"/>
      <c r="AA199" s="273"/>
      <c r="AB199" s="273"/>
      <c r="AC199" s="273"/>
    </row>
    <row r="200" spans="1:68" ht="16.5" customHeight="1" x14ac:dyDescent="0.25">
      <c r="A200" s="292" t="s">
        <v>293</v>
      </c>
      <c r="B200" s="281"/>
      <c r="C200" s="281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  <c r="AA200" s="265"/>
      <c r="AB200" s="265"/>
      <c r="AC200" s="265"/>
    </row>
    <row r="201" spans="1:68" ht="14.25" customHeight="1" x14ac:dyDescent="0.25">
      <c r="A201" s="287" t="s">
        <v>64</v>
      </c>
      <c r="B201" s="281"/>
      <c r="C201" s="281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66"/>
      <c r="AB201" s="266"/>
      <c r="AC201" s="266"/>
    </row>
    <row r="202" spans="1:68" ht="27" customHeight="1" x14ac:dyDescent="0.25">
      <c r="A202" s="54" t="s">
        <v>294</v>
      </c>
      <c r="B202" s="54" t="s">
        <v>295</v>
      </c>
      <c r="C202" s="31">
        <v>4301071097</v>
      </c>
      <c r="D202" s="278">
        <v>4620207491096</v>
      </c>
      <c r="E202" s="279"/>
      <c r="F202" s="269">
        <v>1</v>
      </c>
      <c r="G202" s="32">
        <v>5</v>
      </c>
      <c r="H202" s="269">
        <v>5</v>
      </c>
      <c r="I202" s="269">
        <v>5.23</v>
      </c>
      <c r="J202" s="32">
        <v>84</v>
      </c>
      <c r="K202" s="32" t="s">
        <v>67</v>
      </c>
      <c r="L202" s="32" t="s">
        <v>93</v>
      </c>
      <c r="M202" s="33" t="s">
        <v>69</v>
      </c>
      <c r="N202" s="33"/>
      <c r="O202" s="32">
        <v>180</v>
      </c>
      <c r="P202" s="460" t="s">
        <v>296</v>
      </c>
      <c r="Q202" s="275"/>
      <c r="R202" s="275"/>
      <c r="S202" s="275"/>
      <c r="T202" s="276"/>
      <c r="U202" s="34"/>
      <c r="V202" s="34"/>
      <c r="W202" s="35" t="s">
        <v>70</v>
      </c>
      <c r="X202" s="270">
        <v>96</v>
      </c>
      <c r="Y202" s="271">
        <f>IFERROR(IF(X202="","",X202),"")</f>
        <v>96</v>
      </c>
      <c r="Z202" s="36">
        <f>IFERROR(IF(X202="","",X202*0.0155),"")</f>
        <v>1.488</v>
      </c>
      <c r="AA202" s="56"/>
      <c r="AB202" s="57"/>
      <c r="AC202" s="200" t="s">
        <v>297</v>
      </c>
      <c r="AG202" s="67"/>
      <c r="AJ202" s="71" t="s">
        <v>95</v>
      </c>
      <c r="AK202" s="71">
        <v>12</v>
      </c>
      <c r="BB202" s="201" t="s">
        <v>1</v>
      </c>
      <c r="BM202" s="67">
        <f>IFERROR(X202*I202,"0")</f>
        <v>502.08000000000004</v>
      </c>
      <c r="BN202" s="67">
        <f>IFERROR(Y202*I202,"0")</f>
        <v>502.08000000000004</v>
      </c>
      <c r="BO202" s="67">
        <f>IFERROR(X202/J202,"0")</f>
        <v>1.1428571428571428</v>
      </c>
      <c r="BP202" s="67">
        <f>IFERROR(Y202/J202,"0")</f>
        <v>1.1428571428571428</v>
      </c>
    </row>
    <row r="203" spans="1:68" x14ac:dyDescent="0.2">
      <c r="A203" s="280"/>
      <c r="B203" s="281"/>
      <c r="C203" s="281"/>
      <c r="D203" s="281"/>
      <c r="E203" s="281"/>
      <c r="F203" s="281"/>
      <c r="G203" s="281"/>
      <c r="H203" s="281"/>
      <c r="I203" s="281"/>
      <c r="J203" s="281"/>
      <c r="K203" s="281"/>
      <c r="L203" s="281"/>
      <c r="M203" s="281"/>
      <c r="N203" s="281"/>
      <c r="O203" s="282"/>
      <c r="P203" s="284" t="s">
        <v>73</v>
      </c>
      <c r="Q203" s="285"/>
      <c r="R203" s="285"/>
      <c r="S203" s="285"/>
      <c r="T203" s="285"/>
      <c r="U203" s="285"/>
      <c r="V203" s="286"/>
      <c r="W203" s="37" t="s">
        <v>70</v>
      </c>
      <c r="X203" s="272">
        <f>IFERROR(SUM(X202:X202),"0")</f>
        <v>96</v>
      </c>
      <c r="Y203" s="272">
        <f>IFERROR(SUM(Y202:Y202),"0")</f>
        <v>96</v>
      </c>
      <c r="Z203" s="272">
        <f>IFERROR(IF(Z202="",0,Z202),"0")</f>
        <v>1.488</v>
      </c>
      <c r="AA203" s="273"/>
      <c r="AB203" s="273"/>
      <c r="AC203" s="273"/>
    </row>
    <row r="204" spans="1:68" x14ac:dyDescent="0.2">
      <c r="A204" s="281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2"/>
      <c r="P204" s="284" t="s">
        <v>73</v>
      </c>
      <c r="Q204" s="285"/>
      <c r="R204" s="285"/>
      <c r="S204" s="285"/>
      <c r="T204" s="285"/>
      <c r="U204" s="285"/>
      <c r="V204" s="286"/>
      <c r="W204" s="37" t="s">
        <v>74</v>
      </c>
      <c r="X204" s="272">
        <f>IFERROR(SUMPRODUCT(X202:X202*H202:H202),"0")</f>
        <v>480</v>
      </c>
      <c r="Y204" s="272">
        <f>IFERROR(SUMPRODUCT(Y202:Y202*H202:H202),"0")</f>
        <v>480</v>
      </c>
      <c r="Z204" s="37"/>
      <c r="AA204" s="273"/>
      <c r="AB204" s="273"/>
      <c r="AC204" s="273"/>
    </row>
    <row r="205" spans="1:68" ht="16.5" customHeight="1" x14ac:dyDescent="0.25">
      <c r="A205" s="292" t="s">
        <v>298</v>
      </c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  <c r="AA205" s="265"/>
      <c r="AB205" s="265"/>
      <c r="AC205" s="265"/>
    </row>
    <row r="206" spans="1:68" ht="14.25" customHeight="1" x14ac:dyDescent="0.25">
      <c r="A206" s="287" t="s">
        <v>64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66"/>
      <c r="AB206" s="266"/>
      <c r="AC206" s="266"/>
    </row>
    <row r="207" spans="1:68" ht="27" customHeight="1" x14ac:dyDescent="0.25">
      <c r="A207" s="54" t="s">
        <v>299</v>
      </c>
      <c r="B207" s="54" t="s">
        <v>300</v>
      </c>
      <c r="C207" s="31">
        <v>4301071093</v>
      </c>
      <c r="D207" s="278">
        <v>4620207490709</v>
      </c>
      <c r="E207" s="279"/>
      <c r="F207" s="269">
        <v>0.65</v>
      </c>
      <c r="G207" s="32">
        <v>8</v>
      </c>
      <c r="H207" s="269">
        <v>5.2</v>
      </c>
      <c r="I207" s="269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5"/>
      <c r="R207" s="275"/>
      <c r="S207" s="275"/>
      <c r="T207" s="276"/>
      <c r="U207" s="34"/>
      <c r="V207" s="34"/>
      <c r="W207" s="35" t="s">
        <v>70</v>
      </c>
      <c r="X207" s="270">
        <v>0</v>
      </c>
      <c r="Y207" s="271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301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80"/>
      <c r="B208" s="281"/>
      <c r="C208" s="281"/>
      <c r="D208" s="281"/>
      <c r="E208" s="281"/>
      <c r="F208" s="281"/>
      <c r="G208" s="281"/>
      <c r="H208" s="281"/>
      <c r="I208" s="281"/>
      <c r="J208" s="281"/>
      <c r="K208" s="281"/>
      <c r="L208" s="281"/>
      <c r="M208" s="281"/>
      <c r="N208" s="281"/>
      <c r="O208" s="282"/>
      <c r="P208" s="284" t="s">
        <v>73</v>
      </c>
      <c r="Q208" s="285"/>
      <c r="R208" s="285"/>
      <c r="S208" s="285"/>
      <c r="T208" s="285"/>
      <c r="U208" s="285"/>
      <c r="V208" s="286"/>
      <c r="W208" s="37" t="s">
        <v>70</v>
      </c>
      <c r="X208" s="272">
        <f>IFERROR(SUM(X207:X207),"0")</f>
        <v>0</v>
      </c>
      <c r="Y208" s="272">
        <f>IFERROR(SUM(Y207:Y207),"0")</f>
        <v>0</v>
      </c>
      <c r="Z208" s="272">
        <f>IFERROR(IF(Z207="",0,Z207),"0")</f>
        <v>0</v>
      </c>
      <c r="AA208" s="273"/>
      <c r="AB208" s="273"/>
      <c r="AC208" s="273"/>
    </row>
    <row r="209" spans="1:68" x14ac:dyDescent="0.2">
      <c r="A209" s="281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2"/>
      <c r="P209" s="284" t="s">
        <v>73</v>
      </c>
      <c r="Q209" s="285"/>
      <c r="R209" s="285"/>
      <c r="S209" s="285"/>
      <c r="T209" s="285"/>
      <c r="U209" s="285"/>
      <c r="V209" s="286"/>
      <c r="W209" s="37" t="s">
        <v>74</v>
      </c>
      <c r="X209" s="272">
        <f>IFERROR(SUMPRODUCT(X207:X207*H207:H207),"0")</f>
        <v>0</v>
      </c>
      <c r="Y209" s="272">
        <f>IFERROR(SUMPRODUCT(Y207:Y207*H207:H207),"0")</f>
        <v>0</v>
      </c>
      <c r="Z209" s="37"/>
      <c r="AA209" s="273"/>
      <c r="AB209" s="273"/>
      <c r="AC209" s="273"/>
    </row>
    <row r="210" spans="1:68" ht="14.25" customHeight="1" x14ac:dyDescent="0.25">
      <c r="A210" s="287" t="s">
        <v>127</v>
      </c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1"/>
      <c r="P210" s="281"/>
      <c r="Q210" s="281"/>
      <c r="R210" s="281"/>
      <c r="S210" s="281"/>
      <c r="T210" s="281"/>
      <c r="U210" s="281"/>
      <c r="V210" s="281"/>
      <c r="W210" s="281"/>
      <c r="X210" s="281"/>
      <c r="Y210" s="281"/>
      <c r="Z210" s="281"/>
      <c r="AA210" s="266"/>
      <c r="AB210" s="266"/>
      <c r="AC210" s="266"/>
    </row>
    <row r="211" spans="1:68" ht="27" customHeight="1" x14ac:dyDescent="0.25">
      <c r="A211" s="54" t="s">
        <v>302</v>
      </c>
      <c r="B211" s="54" t="s">
        <v>303</v>
      </c>
      <c r="C211" s="31">
        <v>4301135692</v>
      </c>
      <c r="D211" s="278">
        <v>4620207490570</v>
      </c>
      <c r="E211" s="279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5"/>
      <c r="R211" s="275"/>
      <c r="S211" s="275"/>
      <c r="T211" s="276"/>
      <c r="U211" s="34"/>
      <c r="V211" s="34"/>
      <c r="W211" s="35" t="s">
        <v>70</v>
      </c>
      <c r="X211" s="270">
        <v>14</v>
      </c>
      <c r="Y211" s="271">
        <f>IFERROR(IF(X211="","",X211),"")</f>
        <v>14</v>
      </c>
      <c r="Z211" s="36">
        <f>IFERROR(IF(X211="","",X211*0.01788),"")</f>
        <v>0.25031999999999999</v>
      </c>
      <c r="AA211" s="56"/>
      <c r="AB211" s="57"/>
      <c r="AC211" s="204" t="s">
        <v>304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43.450400000000002</v>
      </c>
      <c r="BN211" s="67">
        <f>IFERROR(Y211*I211,"0")</f>
        <v>43.450400000000002</v>
      </c>
      <c r="BO211" s="67">
        <f>IFERROR(X211/J211,"0")</f>
        <v>0.2</v>
      </c>
      <c r="BP211" s="67">
        <f>IFERROR(Y211/J211,"0")</f>
        <v>0.2</v>
      </c>
    </row>
    <row r="212" spans="1:68" ht="27" customHeight="1" x14ac:dyDescent="0.25">
      <c r="A212" s="54" t="s">
        <v>305</v>
      </c>
      <c r="B212" s="54" t="s">
        <v>306</v>
      </c>
      <c r="C212" s="31">
        <v>4301135691</v>
      </c>
      <c r="D212" s="278">
        <v>4620207490549</v>
      </c>
      <c r="E212" s="279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9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5"/>
      <c r="R212" s="275"/>
      <c r="S212" s="275"/>
      <c r="T212" s="276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304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307</v>
      </c>
      <c r="B213" s="54" t="s">
        <v>308</v>
      </c>
      <c r="C213" s="31">
        <v>4301135694</v>
      </c>
      <c r="D213" s="278">
        <v>4620207490501</v>
      </c>
      <c r="E213" s="279"/>
      <c r="F213" s="269">
        <v>0.2</v>
      </c>
      <c r="G213" s="32">
        <v>12</v>
      </c>
      <c r="H213" s="269">
        <v>2.4</v>
      </c>
      <c r="I213" s="269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29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5"/>
      <c r="R213" s="275"/>
      <c r="S213" s="275"/>
      <c r="T213" s="276"/>
      <c r="U213" s="34"/>
      <c r="V213" s="34"/>
      <c r="W213" s="35" t="s">
        <v>70</v>
      </c>
      <c r="X213" s="270">
        <v>0</v>
      </c>
      <c r="Y213" s="271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304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0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2"/>
      <c r="P214" s="284" t="s">
        <v>73</v>
      </c>
      <c r="Q214" s="285"/>
      <c r="R214" s="285"/>
      <c r="S214" s="285"/>
      <c r="T214" s="285"/>
      <c r="U214" s="285"/>
      <c r="V214" s="286"/>
      <c r="W214" s="37" t="s">
        <v>70</v>
      </c>
      <c r="X214" s="272">
        <f>IFERROR(SUM(X211:X213),"0")</f>
        <v>14</v>
      </c>
      <c r="Y214" s="272">
        <f>IFERROR(SUM(Y211:Y213),"0")</f>
        <v>14</v>
      </c>
      <c r="Z214" s="272">
        <f>IFERROR(IF(Z211="",0,Z211),"0")+IFERROR(IF(Z212="",0,Z212),"0")+IFERROR(IF(Z213="",0,Z213),"0")</f>
        <v>0.25031999999999999</v>
      </c>
      <c r="AA214" s="273"/>
      <c r="AB214" s="273"/>
      <c r="AC214" s="273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2"/>
      <c r="P215" s="284" t="s">
        <v>73</v>
      </c>
      <c r="Q215" s="285"/>
      <c r="R215" s="285"/>
      <c r="S215" s="285"/>
      <c r="T215" s="285"/>
      <c r="U215" s="285"/>
      <c r="V215" s="286"/>
      <c r="W215" s="37" t="s">
        <v>74</v>
      </c>
      <c r="X215" s="272">
        <f>IFERROR(SUMPRODUCT(X211:X213*H211:H213),"0")</f>
        <v>33.6</v>
      </c>
      <c r="Y215" s="272">
        <f>IFERROR(SUMPRODUCT(Y211:Y213*H211:H213),"0")</f>
        <v>33.6</v>
      </c>
      <c r="Z215" s="37"/>
      <c r="AA215" s="273"/>
      <c r="AB215" s="273"/>
      <c r="AC215" s="273"/>
    </row>
    <row r="216" spans="1:68" ht="16.5" customHeight="1" x14ac:dyDescent="0.25">
      <c r="A216" s="292" t="s">
        <v>309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65"/>
      <c r="AB216" s="265"/>
      <c r="AC216" s="265"/>
    </row>
    <row r="217" spans="1:68" ht="14.25" customHeight="1" x14ac:dyDescent="0.25">
      <c r="A217" s="287" t="s">
        <v>64</v>
      </c>
      <c r="B217" s="281"/>
      <c r="C217" s="281"/>
      <c r="D217" s="281"/>
      <c r="E217" s="281"/>
      <c r="F217" s="281"/>
      <c r="G217" s="281"/>
      <c r="H217" s="281"/>
      <c r="I217" s="281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66"/>
      <c r="AB217" s="266"/>
      <c r="AC217" s="266"/>
    </row>
    <row r="218" spans="1:68" ht="16.5" customHeight="1" x14ac:dyDescent="0.25">
      <c r="A218" s="54" t="s">
        <v>310</v>
      </c>
      <c r="B218" s="54" t="s">
        <v>311</v>
      </c>
      <c r="C218" s="31">
        <v>4301071063</v>
      </c>
      <c r="D218" s="278">
        <v>4607111039019</v>
      </c>
      <c r="E218" s="279"/>
      <c r="F218" s="269">
        <v>0.43</v>
      </c>
      <c r="G218" s="32">
        <v>16</v>
      </c>
      <c r="H218" s="269">
        <v>6.88</v>
      </c>
      <c r="I218" s="269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275"/>
      <c r="R218" s="275"/>
      <c r="S218" s="275"/>
      <c r="T218" s="276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313</v>
      </c>
      <c r="B219" s="54" t="s">
        <v>314</v>
      </c>
      <c r="C219" s="31">
        <v>4301071100</v>
      </c>
      <c r="D219" s="278">
        <v>4607111038708</v>
      </c>
      <c r="E219" s="279"/>
      <c r="F219" s="269">
        <v>0.8</v>
      </c>
      <c r="G219" s="32">
        <v>8</v>
      </c>
      <c r="H219" s="269">
        <v>6.4</v>
      </c>
      <c r="I219" s="269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68" t="s">
        <v>315</v>
      </c>
      <c r="Q219" s="275"/>
      <c r="R219" s="275"/>
      <c r="S219" s="275"/>
      <c r="T219" s="276"/>
      <c r="U219" s="34"/>
      <c r="V219" s="34"/>
      <c r="W219" s="35" t="s">
        <v>70</v>
      </c>
      <c r="X219" s="270">
        <v>0</v>
      </c>
      <c r="Y219" s="271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0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82"/>
      <c r="P220" s="284" t="s">
        <v>73</v>
      </c>
      <c r="Q220" s="285"/>
      <c r="R220" s="285"/>
      <c r="S220" s="285"/>
      <c r="T220" s="285"/>
      <c r="U220" s="285"/>
      <c r="V220" s="286"/>
      <c r="W220" s="37" t="s">
        <v>70</v>
      </c>
      <c r="X220" s="272">
        <f>IFERROR(SUM(X218:X219),"0")</f>
        <v>0</v>
      </c>
      <c r="Y220" s="272">
        <f>IFERROR(SUM(Y218:Y219),"0")</f>
        <v>0</v>
      </c>
      <c r="Z220" s="272">
        <f>IFERROR(IF(Z218="",0,Z218),"0")+IFERROR(IF(Z219="",0,Z219),"0")</f>
        <v>0</v>
      </c>
      <c r="AA220" s="273"/>
      <c r="AB220" s="273"/>
      <c r="AC220" s="273"/>
    </row>
    <row r="221" spans="1:68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2"/>
      <c r="P221" s="284" t="s">
        <v>73</v>
      </c>
      <c r="Q221" s="285"/>
      <c r="R221" s="285"/>
      <c r="S221" s="285"/>
      <c r="T221" s="285"/>
      <c r="U221" s="285"/>
      <c r="V221" s="286"/>
      <c r="W221" s="37" t="s">
        <v>74</v>
      </c>
      <c r="X221" s="272">
        <f>IFERROR(SUMPRODUCT(X218:X219*H218:H219),"0")</f>
        <v>0</v>
      </c>
      <c r="Y221" s="272">
        <f>IFERROR(SUMPRODUCT(Y218:Y219*H218:H219),"0")</f>
        <v>0</v>
      </c>
      <c r="Z221" s="37"/>
      <c r="AA221" s="273"/>
      <c r="AB221" s="273"/>
      <c r="AC221" s="273"/>
    </row>
    <row r="222" spans="1:68" ht="27.75" customHeight="1" x14ac:dyDescent="0.2">
      <c r="A222" s="325" t="s">
        <v>316</v>
      </c>
      <c r="B222" s="326"/>
      <c r="C222" s="326"/>
      <c r="D222" s="326"/>
      <c r="E222" s="326"/>
      <c r="F222" s="326"/>
      <c r="G222" s="326"/>
      <c r="H222" s="326"/>
      <c r="I222" s="326"/>
      <c r="J222" s="326"/>
      <c r="K222" s="326"/>
      <c r="L222" s="326"/>
      <c r="M222" s="326"/>
      <c r="N222" s="326"/>
      <c r="O222" s="326"/>
      <c r="P222" s="326"/>
      <c r="Q222" s="326"/>
      <c r="R222" s="326"/>
      <c r="S222" s="326"/>
      <c r="T222" s="326"/>
      <c r="U222" s="326"/>
      <c r="V222" s="326"/>
      <c r="W222" s="326"/>
      <c r="X222" s="326"/>
      <c r="Y222" s="326"/>
      <c r="Z222" s="326"/>
      <c r="AA222" s="48"/>
      <c r="AB222" s="48"/>
      <c r="AC222" s="48"/>
    </row>
    <row r="223" spans="1:68" ht="16.5" customHeight="1" x14ac:dyDescent="0.25">
      <c r="A223" s="292" t="s">
        <v>317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65"/>
      <c r="AB223" s="265"/>
      <c r="AC223" s="265"/>
    </row>
    <row r="224" spans="1:68" ht="14.25" customHeight="1" x14ac:dyDescent="0.25">
      <c r="A224" s="287" t="s">
        <v>64</v>
      </c>
      <c r="B224" s="281"/>
      <c r="C224" s="281"/>
      <c r="D224" s="28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  <c r="AA224" s="266"/>
      <c r="AB224" s="266"/>
      <c r="AC224" s="266"/>
    </row>
    <row r="225" spans="1:68" ht="27" customHeight="1" x14ac:dyDescent="0.25">
      <c r="A225" s="54" t="s">
        <v>318</v>
      </c>
      <c r="B225" s="54" t="s">
        <v>319</v>
      </c>
      <c r="C225" s="31">
        <v>4301071036</v>
      </c>
      <c r="D225" s="278">
        <v>4607111036162</v>
      </c>
      <c r="E225" s="279"/>
      <c r="F225" s="269">
        <v>0.8</v>
      </c>
      <c r="G225" s="32">
        <v>8</v>
      </c>
      <c r="H225" s="269">
        <v>6.4</v>
      </c>
      <c r="I225" s="269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5"/>
      <c r="R225" s="275"/>
      <c r="S225" s="275"/>
      <c r="T225" s="276"/>
      <c r="U225" s="34"/>
      <c r="V225" s="34"/>
      <c r="W225" s="35" t="s">
        <v>70</v>
      </c>
      <c r="X225" s="270">
        <v>0</v>
      </c>
      <c r="Y225" s="271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0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82"/>
      <c r="P226" s="284" t="s">
        <v>73</v>
      </c>
      <c r="Q226" s="285"/>
      <c r="R226" s="285"/>
      <c r="S226" s="285"/>
      <c r="T226" s="285"/>
      <c r="U226" s="285"/>
      <c r="V226" s="286"/>
      <c r="W226" s="37" t="s">
        <v>70</v>
      </c>
      <c r="X226" s="272">
        <f>IFERROR(SUM(X225:X225),"0")</f>
        <v>0</v>
      </c>
      <c r="Y226" s="272">
        <f>IFERROR(SUM(Y225:Y225),"0")</f>
        <v>0</v>
      </c>
      <c r="Z226" s="272">
        <f>IFERROR(IF(Z225="",0,Z225),"0")</f>
        <v>0</v>
      </c>
      <c r="AA226" s="273"/>
      <c r="AB226" s="273"/>
      <c r="AC226" s="273"/>
    </row>
    <row r="227" spans="1:68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2"/>
      <c r="P227" s="284" t="s">
        <v>73</v>
      </c>
      <c r="Q227" s="285"/>
      <c r="R227" s="285"/>
      <c r="S227" s="285"/>
      <c r="T227" s="285"/>
      <c r="U227" s="285"/>
      <c r="V227" s="286"/>
      <c r="W227" s="37" t="s">
        <v>74</v>
      </c>
      <c r="X227" s="272">
        <f>IFERROR(SUMPRODUCT(X225:X225*H225:H225),"0")</f>
        <v>0</v>
      </c>
      <c r="Y227" s="272">
        <f>IFERROR(SUMPRODUCT(Y225:Y225*H225:H225),"0")</f>
        <v>0</v>
      </c>
      <c r="Z227" s="37"/>
      <c r="AA227" s="273"/>
      <c r="AB227" s="273"/>
      <c r="AC227" s="273"/>
    </row>
    <row r="228" spans="1:68" ht="27.75" customHeight="1" x14ac:dyDescent="0.2">
      <c r="A228" s="325" t="s">
        <v>321</v>
      </c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6"/>
      <c r="M228" s="326"/>
      <c r="N228" s="326"/>
      <c r="O228" s="326"/>
      <c r="P228" s="326"/>
      <c r="Q228" s="326"/>
      <c r="R228" s="326"/>
      <c r="S228" s="326"/>
      <c r="T228" s="326"/>
      <c r="U228" s="326"/>
      <c r="V228" s="326"/>
      <c r="W228" s="326"/>
      <c r="X228" s="326"/>
      <c r="Y228" s="326"/>
      <c r="Z228" s="326"/>
      <c r="AA228" s="48"/>
      <c r="AB228" s="48"/>
      <c r="AC228" s="48"/>
    </row>
    <row r="229" spans="1:68" ht="16.5" customHeight="1" x14ac:dyDescent="0.25">
      <c r="A229" s="292" t="s">
        <v>322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65"/>
      <c r="AB229" s="265"/>
      <c r="AC229" s="265"/>
    </row>
    <row r="230" spans="1:68" ht="14.25" customHeight="1" x14ac:dyDescent="0.25">
      <c r="A230" s="287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66"/>
      <c r="AB230" s="266"/>
      <c r="AC230" s="266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8">
        <v>4607111035899</v>
      </c>
      <c r="E231" s="279"/>
      <c r="F231" s="269">
        <v>1</v>
      </c>
      <c r="G231" s="32">
        <v>5</v>
      </c>
      <c r="H231" s="269">
        <v>5</v>
      </c>
      <c r="I231" s="269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2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5"/>
      <c r="R231" s="275"/>
      <c r="S231" s="275"/>
      <c r="T231" s="276"/>
      <c r="U231" s="34"/>
      <c r="V231" s="34"/>
      <c r="W231" s="35" t="s">
        <v>70</v>
      </c>
      <c r="X231" s="270">
        <v>120</v>
      </c>
      <c r="Y231" s="271">
        <f>IFERROR(IF(X231="","",X231),"")</f>
        <v>120</v>
      </c>
      <c r="Z231" s="36">
        <f>IFERROR(IF(X231="","",X231*0.0155),"")</f>
        <v>1.8599999999999999</v>
      </c>
      <c r="AA231" s="56"/>
      <c r="AB231" s="57"/>
      <c r="AC231" s="216" t="s">
        <v>242</v>
      </c>
      <c r="AG231" s="67"/>
      <c r="AJ231" s="71" t="s">
        <v>83</v>
      </c>
      <c r="AK231" s="71">
        <v>84</v>
      </c>
      <c r="BB231" s="217" t="s">
        <v>1</v>
      </c>
      <c r="BM231" s="67">
        <f>IFERROR(X231*I231,"0")</f>
        <v>631.43999999999994</v>
      </c>
      <c r="BN231" s="67">
        <f>IFERROR(Y231*I231,"0")</f>
        <v>631.43999999999994</v>
      </c>
      <c r="BO231" s="67">
        <f>IFERROR(X231/J231,"0")</f>
        <v>1.4285714285714286</v>
      </c>
      <c r="BP231" s="67">
        <f>IFERROR(Y231/J231,"0")</f>
        <v>1.4285714285714286</v>
      </c>
    </row>
    <row r="232" spans="1:68" x14ac:dyDescent="0.2">
      <c r="A232" s="280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2"/>
      <c r="P232" s="284" t="s">
        <v>73</v>
      </c>
      <c r="Q232" s="285"/>
      <c r="R232" s="285"/>
      <c r="S232" s="285"/>
      <c r="T232" s="285"/>
      <c r="U232" s="285"/>
      <c r="V232" s="286"/>
      <c r="W232" s="37" t="s">
        <v>70</v>
      </c>
      <c r="X232" s="272">
        <f>IFERROR(SUM(X231:X231),"0")</f>
        <v>120</v>
      </c>
      <c r="Y232" s="272">
        <f>IFERROR(SUM(Y231:Y231),"0")</f>
        <v>120</v>
      </c>
      <c r="Z232" s="272">
        <f>IFERROR(IF(Z231="",0,Z231),"0")</f>
        <v>1.8599999999999999</v>
      </c>
      <c r="AA232" s="273"/>
      <c r="AB232" s="273"/>
      <c r="AC232" s="273"/>
    </row>
    <row r="233" spans="1:68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2"/>
      <c r="P233" s="284" t="s">
        <v>73</v>
      </c>
      <c r="Q233" s="285"/>
      <c r="R233" s="285"/>
      <c r="S233" s="285"/>
      <c r="T233" s="285"/>
      <c r="U233" s="285"/>
      <c r="V233" s="286"/>
      <c r="W233" s="37" t="s">
        <v>74</v>
      </c>
      <c r="X233" s="272">
        <f>IFERROR(SUMPRODUCT(X231:X231*H231:H231),"0")</f>
        <v>600</v>
      </c>
      <c r="Y233" s="272">
        <f>IFERROR(SUMPRODUCT(Y231:Y231*H231:H231),"0")</f>
        <v>600</v>
      </c>
      <c r="Z233" s="37"/>
      <c r="AA233" s="273"/>
      <c r="AB233" s="273"/>
      <c r="AC233" s="273"/>
    </row>
    <row r="234" spans="1:68" ht="27.75" customHeight="1" x14ac:dyDescent="0.2">
      <c r="A234" s="325" t="s">
        <v>325</v>
      </c>
      <c r="B234" s="326"/>
      <c r="C234" s="326"/>
      <c r="D234" s="326"/>
      <c r="E234" s="326"/>
      <c r="F234" s="326"/>
      <c r="G234" s="326"/>
      <c r="H234" s="326"/>
      <c r="I234" s="326"/>
      <c r="J234" s="326"/>
      <c r="K234" s="326"/>
      <c r="L234" s="326"/>
      <c r="M234" s="326"/>
      <c r="N234" s="326"/>
      <c r="O234" s="326"/>
      <c r="P234" s="326"/>
      <c r="Q234" s="326"/>
      <c r="R234" s="326"/>
      <c r="S234" s="326"/>
      <c r="T234" s="326"/>
      <c r="U234" s="326"/>
      <c r="V234" s="326"/>
      <c r="W234" s="326"/>
      <c r="X234" s="326"/>
      <c r="Y234" s="326"/>
      <c r="Z234" s="326"/>
      <c r="AA234" s="48"/>
      <c r="AB234" s="48"/>
      <c r="AC234" s="48"/>
    </row>
    <row r="235" spans="1:68" ht="16.5" customHeight="1" x14ac:dyDescent="0.25">
      <c r="A235" s="292" t="s">
        <v>326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65"/>
      <c r="AB235" s="265"/>
      <c r="AC235" s="265"/>
    </row>
    <row r="236" spans="1:68" ht="14.25" customHeight="1" x14ac:dyDescent="0.25">
      <c r="A236" s="287" t="s">
        <v>327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66"/>
      <c r="AB236" s="266"/>
      <c r="AC236" s="266"/>
    </row>
    <row r="237" spans="1:68" ht="27" customHeight="1" x14ac:dyDescent="0.25">
      <c r="A237" s="54" t="s">
        <v>328</v>
      </c>
      <c r="B237" s="54" t="s">
        <v>329</v>
      </c>
      <c r="C237" s="31">
        <v>4301133004</v>
      </c>
      <c r="D237" s="278">
        <v>4607111039774</v>
      </c>
      <c r="E237" s="279"/>
      <c r="F237" s="269">
        <v>0.25</v>
      </c>
      <c r="G237" s="32">
        <v>12</v>
      </c>
      <c r="H237" s="269">
        <v>3</v>
      </c>
      <c r="I237" s="269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2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5"/>
      <c r="R237" s="275"/>
      <c r="S237" s="275"/>
      <c r="T237" s="276"/>
      <c r="U237" s="34"/>
      <c r="V237" s="34"/>
      <c r="W237" s="35" t="s">
        <v>70</v>
      </c>
      <c r="X237" s="270">
        <v>0</v>
      </c>
      <c r="Y237" s="271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80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2"/>
      <c r="P238" s="284" t="s">
        <v>73</v>
      </c>
      <c r="Q238" s="285"/>
      <c r="R238" s="285"/>
      <c r="S238" s="285"/>
      <c r="T238" s="285"/>
      <c r="U238" s="285"/>
      <c r="V238" s="286"/>
      <c r="W238" s="37" t="s">
        <v>70</v>
      </c>
      <c r="X238" s="272">
        <f>IFERROR(SUM(X237:X237),"0")</f>
        <v>0</v>
      </c>
      <c r="Y238" s="272">
        <f>IFERROR(SUM(Y237:Y237),"0")</f>
        <v>0</v>
      </c>
      <c r="Z238" s="272">
        <f>IFERROR(IF(Z237="",0,Z237),"0")</f>
        <v>0</v>
      </c>
      <c r="AA238" s="273"/>
      <c r="AB238" s="273"/>
      <c r="AC238" s="273"/>
    </row>
    <row r="239" spans="1:68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2"/>
      <c r="P239" s="284" t="s">
        <v>73</v>
      </c>
      <c r="Q239" s="285"/>
      <c r="R239" s="285"/>
      <c r="S239" s="285"/>
      <c r="T239" s="285"/>
      <c r="U239" s="285"/>
      <c r="V239" s="286"/>
      <c r="W239" s="37" t="s">
        <v>74</v>
      </c>
      <c r="X239" s="272">
        <f>IFERROR(SUMPRODUCT(X237:X237*H237:H237),"0")</f>
        <v>0</v>
      </c>
      <c r="Y239" s="272">
        <f>IFERROR(SUMPRODUCT(Y237:Y237*H237:H237),"0")</f>
        <v>0</v>
      </c>
      <c r="Z239" s="37"/>
      <c r="AA239" s="273"/>
      <c r="AB239" s="273"/>
      <c r="AC239" s="273"/>
    </row>
    <row r="240" spans="1:68" ht="14.25" customHeight="1" x14ac:dyDescent="0.25">
      <c r="A240" s="287" t="s">
        <v>127</v>
      </c>
      <c r="B240" s="281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281"/>
      <c r="AA240" s="266"/>
      <c r="AB240" s="266"/>
      <c r="AC240" s="266"/>
    </row>
    <row r="241" spans="1:68" ht="37.5" customHeight="1" x14ac:dyDescent="0.25">
      <c r="A241" s="54" t="s">
        <v>331</v>
      </c>
      <c r="B241" s="54" t="s">
        <v>332</v>
      </c>
      <c r="C241" s="31">
        <v>4301135400</v>
      </c>
      <c r="D241" s="278">
        <v>4607111039361</v>
      </c>
      <c r="E241" s="279"/>
      <c r="F241" s="269">
        <v>0.25</v>
      </c>
      <c r="G241" s="32">
        <v>12</v>
      </c>
      <c r="H241" s="269">
        <v>3</v>
      </c>
      <c r="I241" s="269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2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5"/>
      <c r="R241" s="275"/>
      <c r="S241" s="275"/>
      <c r="T241" s="276"/>
      <c r="U241" s="34"/>
      <c r="V241" s="34"/>
      <c r="W241" s="35" t="s">
        <v>70</v>
      </c>
      <c r="X241" s="270">
        <v>0</v>
      </c>
      <c r="Y241" s="271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80"/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2"/>
      <c r="P242" s="284" t="s">
        <v>73</v>
      </c>
      <c r="Q242" s="285"/>
      <c r="R242" s="285"/>
      <c r="S242" s="285"/>
      <c r="T242" s="285"/>
      <c r="U242" s="285"/>
      <c r="V242" s="286"/>
      <c r="W242" s="37" t="s">
        <v>70</v>
      </c>
      <c r="X242" s="272">
        <f>IFERROR(SUM(X241:X241),"0")</f>
        <v>0</v>
      </c>
      <c r="Y242" s="272">
        <f>IFERROR(SUM(Y241:Y241),"0")</f>
        <v>0</v>
      </c>
      <c r="Z242" s="272">
        <f>IFERROR(IF(Z241="",0,Z241),"0")</f>
        <v>0</v>
      </c>
      <c r="AA242" s="273"/>
      <c r="AB242" s="273"/>
      <c r="AC242" s="273"/>
    </row>
    <row r="243" spans="1:68" x14ac:dyDescent="0.2">
      <c r="A243" s="281"/>
      <c r="B243" s="281"/>
      <c r="C243" s="281"/>
      <c r="D243" s="28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2"/>
      <c r="P243" s="284" t="s">
        <v>73</v>
      </c>
      <c r="Q243" s="285"/>
      <c r="R243" s="285"/>
      <c r="S243" s="285"/>
      <c r="T243" s="285"/>
      <c r="U243" s="285"/>
      <c r="V243" s="286"/>
      <c r="W243" s="37" t="s">
        <v>74</v>
      </c>
      <c r="X243" s="272">
        <f>IFERROR(SUMPRODUCT(X241:X241*H241:H241),"0")</f>
        <v>0</v>
      </c>
      <c r="Y243" s="272">
        <f>IFERROR(SUMPRODUCT(Y241:Y241*H241:H241),"0")</f>
        <v>0</v>
      </c>
      <c r="Z243" s="37"/>
      <c r="AA243" s="273"/>
      <c r="AB243" s="273"/>
      <c r="AC243" s="273"/>
    </row>
    <row r="244" spans="1:68" ht="27.75" customHeight="1" x14ac:dyDescent="0.2">
      <c r="A244" s="325" t="s">
        <v>333</v>
      </c>
      <c r="B244" s="326"/>
      <c r="C244" s="326"/>
      <c r="D244" s="326"/>
      <c r="E244" s="326"/>
      <c r="F244" s="326"/>
      <c r="G244" s="326"/>
      <c r="H244" s="326"/>
      <c r="I244" s="326"/>
      <c r="J244" s="326"/>
      <c r="K244" s="326"/>
      <c r="L244" s="326"/>
      <c r="M244" s="326"/>
      <c r="N244" s="326"/>
      <c r="O244" s="326"/>
      <c r="P244" s="326"/>
      <c r="Q244" s="326"/>
      <c r="R244" s="326"/>
      <c r="S244" s="326"/>
      <c r="T244" s="326"/>
      <c r="U244" s="326"/>
      <c r="V244" s="326"/>
      <c r="W244" s="326"/>
      <c r="X244" s="326"/>
      <c r="Y244" s="326"/>
      <c r="Z244" s="326"/>
      <c r="AA244" s="48"/>
      <c r="AB244" s="48"/>
      <c r="AC244" s="48"/>
    </row>
    <row r="245" spans="1:68" ht="16.5" customHeight="1" x14ac:dyDescent="0.25">
      <c r="A245" s="292" t="s">
        <v>333</v>
      </c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81"/>
      <c r="P245" s="281"/>
      <c r="Q245" s="281"/>
      <c r="R245" s="281"/>
      <c r="S245" s="281"/>
      <c r="T245" s="281"/>
      <c r="U245" s="281"/>
      <c r="V245" s="281"/>
      <c r="W245" s="281"/>
      <c r="X245" s="281"/>
      <c r="Y245" s="281"/>
      <c r="Z245" s="281"/>
      <c r="AA245" s="265"/>
      <c r="AB245" s="265"/>
      <c r="AC245" s="265"/>
    </row>
    <row r="246" spans="1:68" ht="14.25" customHeight="1" x14ac:dyDescent="0.25">
      <c r="A246" s="287" t="s">
        <v>64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66"/>
      <c r="AB246" s="266"/>
      <c r="AC246" s="266"/>
    </row>
    <row r="247" spans="1:68" ht="27" customHeight="1" x14ac:dyDescent="0.25">
      <c r="A247" s="54" t="s">
        <v>334</v>
      </c>
      <c r="B247" s="54" t="s">
        <v>335</v>
      </c>
      <c r="C247" s="31">
        <v>4301071014</v>
      </c>
      <c r="D247" s="278">
        <v>4640242181264</v>
      </c>
      <c r="E247" s="279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2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5"/>
      <c r="R247" s="275"/>
      <c r="S247" s="275"/>
      <c r="T247" s="276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4301071021</v>
      </c>
      <c r="D248" s="278">
        <v>4640242181325</v>
      </c>
      <c r="E248" s="279"/>
      <c r="F248" s="269">
        <v>0.7</v>
      </c>
      <c r="G248" s="32">
        <v>10</v>
      </c>
      <c r="H248" s="269">
        <v>7</v>
      </c>
      <c r="I248" s="269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5"/>
      <c r="R248" s="275"/>
      <c r="S248" s="275"/>
      <c r="T248" s="276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4301070993</v>
      </c>
      <c r="D249" s="278">
        <v>4640242180670</v>
      </c>
      <c r="E249" s="279"/>
      <c r="F249" s="269">
        <v>1</v>
      </c>
      <c r="G249" s="32">
        <v>6</v>
      </c>
      <c r="H249" s="269">
        <v>6</v>
      </c>
      <c r="I249" s="269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295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5"/>
      <c r="R249" s="275"/>
      <c r="S249" s="275"/>
      <c r="T249" s="276"/>
      <c r="U249" s="34"/>
      <c r="V249" s="34"/>
      <c r="W249" s="35" t="s">
        <v>70</v>
      </c>
      <c r="X249" s="270">
        <v>0</v>
      </c>
      <c r="Y249" s="271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80"/>
      <c r="B250" s="281"/>
      <c r="C250" s="281"/>
      <c r="D250" s="281"/>
      <c r="E250" s="281"/>
      <c r="F250" s="281"/>
      <c r="G250" s="281"/>
      <c r="H250" s="281"/>
      <c r="I250" s="281"/>
      <c r="J250" s="281"/>
      <c r="K250" s="281"/>
      <c r="L250" s="281"/>
      <c r="M250" s="281"/>
      <c r="N250" s="281"/>
      <c r="O250" s="282"/>
      <c r="P250" s="284" t="s">
        <v>73</v>
      </c>
      <c r="Q250" s="285"/>
      <c r="R250" s="285"/>
      <c r="S250" s="285"/>
      <c r="T250" s="285"/>
      <c r="U250" s="285"/>
      <c r="V250" s="286"/>
      <c r="W250" s="37" t="s">
        <v>70</v>
      </c>
      <c r="X250" s="272">
        <f>IFERROR(SUM(X247:X249),"0")</f>
        <v>0</v>
      </c>
      <c r="Y250" s="272">
        <f>IFERROR(SUM(Y247:Y249),"0")</f>
        <v>0</v>
      </c>
      <c r="Z250" s="272">
        <f>IFERROR(IF(Z247="",0,Z247),"0")+IFERROR(IF(Z248="",0,Z248),"0")+IFERROR(IF(Z249="",0,Z249),"0")</f>
        <v>0</v>
      </c>
      <c r="AA250" s="273"/>
      <c r="AB250" s="273"/>
      <c r="AC250" s="273"/>
    </row>
    <row r="251" spans="1:68" x14ac:dyDescent="0.2">
      <c r="A251" s="281"/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2"/>
      <c r="P251" s="284" t="s">
        <v>73</v>
      </c>
      <c r="Q251" s="285"/>
      <c r="R251" s="285"/>
      <c r="S251" s="285"/>
      <c r="T251" s="285"/>
      <c r="U251" s="285"/>
      <c r="V251" s="286"/>
      <c r="W251" s="37" t="s">
        <v>74</v>
      </c>
      <c r="X251" s="272">
        <f>IFERROR(SUMPRODUCT(X247:X249*H247:H249),"0")</f>
        <v>0</v>
      </c>
      <c r="Y251" s="272">
        <f>IFERROR(SUMPRODUCT(Y247:Y249*H247:H249),"0")</f>
        <v>0</v>
      </c>
      <c r="Z251" s="37"/>
      <c r="AA251" s="273"/>
      <c r="AB251" s="273"/>
      <c r="AC251" s="273"/>
    </row>
    <row r="252" spans="1:68" ht="14.25" customHeight="1" x14ac:dyDescent="0.25">
      <c r="A252" s="287" t="s">
        <v>77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66"/>
      <c r="AB252" s="266"/>
      <c r="AC252" s="266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78">
        <v>4640242180397</v>
      </c>
      <c r="E253" s="279"/>
      <c r="F253" s="269">
        <v>1</v>
      </c>
      <c r="G253" s="32">
        <v>6</v>
      </c>
      <c r="H253" s="269">
        <v>6</v>
      </c>
      <c r="I253" s="269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5"/>
      <c r="R253" s="275"/>
      <c r="S253" s="275"/>
      <c r="T253" s="276"/>
      <c r="U253" s="34"/>
      <c r="V253" s="34"/>
      <c r="W253" s="35" t="s">
        <v>70</v>
      </c>
      <c r="X253" s="270">
        <v>204</v>
      </c>
      <c r="Y253" s="271">
        <f>IFERROR(IF(X253="","",X253),"")</f>
        <v>204</v>
      </c>
      <c r="Z253" s="36">
        <f>IFERROR(IF(X253="","",X253*0.0155),"")</f>
        <v>3.1619999999999999</v>
      </c>
      <c r="AA253" s="56"/>
      <c r="AB253" s="57"/>
      <c r="AC253" s="228" t="s">
        <v>344</v>
      </c>
      <c r="AG253" s="67"/>
      <c r="AJ253" s="71" t="s">
        <v>83</v>
      </c>
      <c r="AK253" s="71">
        <v>84</v>
      </c>
      <c r="BB253" s="229" t="s">
        <v>84</v>
      </c>
      <c r="BM253" s="67">
        <f>IFERROR(X253*I253,"0")</f>
        <v>1277.04</v>
      </c>
      <c r="BN253" s="67">
        <f>IFERROR(Y253*I253,"0")</f>
        <v>1277.04</v>
      </c>
      <c r="BO253" s="67">
        <f>IFERROR(X253/J253,"0")</f>
        <v>2.4285714285714284</v>
      </c>
      <c r="BP253" s="67">
        <f>IFERROR(Y253/J253,"0")</f>
        <v>2.4285714285714284</v>
      </c>
    </row>
    <row r="254" spans="1:68" ht="27" customHeight="1" x14ac:dyDescent="0.25">
      <c r="A254" s="54" t="s">
        <v>345</v>
      </c>
      <c r="B254" s="54" t="s">
        <v>346</v>
      </c>
      <c r="C254" s="31">
        <v>4301132104</v>
      </c>
      <c r="D254" s="278">
        <v>4640242181219</v>
      </c>
      <c r="E254" s="279"/>
      <c r="F254" s="269">
        <v>0.3</v>
      </c>
      <c r="G254" s="32">
        <v>9</v>
      </c>
      <c r="H254" s="269">
        <v>2.7</v>
      </c>
      <c r="I254" s="269">
        <v>2.8450000000000002</v>
      </c>
      <c r="J254" s="32">
        <v>234</v>
      </c>
      <c r="K254" s="32" t="s">
        <v>138</v>
      </c>
      <c r="L254" s="32" t="s">
        <v>93</v>
      </c>
      <c r="M254" s="33" t="s">
        <v>69</v>
      </c>
      <c r="N254" s="33"/>
      <c r="O254" s="32">
        <v>180</v>
      </c>
      <c r="P254" s="394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5"/>
      <c r="R254" s="275"/>
      <c r="S254" s="275"/>
      <c r="T254" s="276"/>
      <c r="U254" s="34"/>
      <c r="V254" s="34"/>
      <c r="W254" s="35" t="s">
        <v>70</v>
      </c>
      <c r="X254" s="270">
        <v>0</v>
      </c>
      <c r="Y254" s="271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95</v>
      </c>
      <c r="AK254" s="71">
        <v>18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0"/>
      <c r="B255" s="281"/>
      <c r="C255" s="281"/>
      <c r="D255" s="281"/>
      <c r="E255" s="281"/>
      <c r="F255" s="281"/>
      <c r="G255" s="281"/>
      <c r="H255" s="281"/>
      <c r="I255" s="281"/>
      <c r="J255" s="281"/>
      <c r="K255" s="281"/>
      <c r="L255" s="281"/>
      <c r="M255" s="281"/>
      <c r="N255" s="281"/>
      <c r="O255" s="282"/>
      <c r="P255" s="284" t="s">
        <v>73</v>
      </c>
      <c r="Q255" s="285"/>
      <c r="R255" s="285"/>
      <c r="S255" s="285"/>
      <c r="T255" s="285"/>
      <c r="U255" s="285"/>
      <c r="V255" s="286"/>
      <c r="W255" s="37" t="s">
        <v>70</v>
      </c>
      <c r="X255" s="272">
        <f>IFERROR(SUM(X253:X254),"0")</f>
        <v>204</v>
      </c>
      <c r="Y255" s="272">
        <f>IFERROR(SUM(Y253:Y254),"0")</f>
        <v>204</v>
      </c>
      <c r="Z255" s="272">
        <f>IFERROR(IF(Z253="",0,Z253),"0")+IFERROR(IF(Z254="",0,Z254),"0")</f>
        <v>3.1619999999999999</v>
      </c>
      <c r="AA255" s="273"/>
      <c r="AB255" s="273"/>
      <c r="AC255" s="273"/>
    </row>
    <row r="256" spans="1:68" x14ac:dyDescent="0.2">
      <c r="A256" s="281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2"/>
      <c r="P256" s="284" t="s">
        <v>73</v>
      </c>
      <c r="Q256" s="285"/>
      <c r="R256" s="285"/>
      <c r="S256" s="285"/>
      <c r="T256" s="285"/>
      <c r="U256" s="285"/>
      <c r="V256" s="286"/>
      <c r="W256" s="37" t="s">
        <v>74</v>
      </c>
      <c r="X256" s="272">
        <f>IFERROR(SUMPRODUCT(X253:X254*H253:H254),"0")</f>
        <v>1224</v>
      </c>
      <c r="Y256" s="272">
        <f>IFERROR(SUMPRODUCT(Y253:Y254*H253:H254),"0")</f>
        <v>1224</v>
      </c>
      <c r="Z256" s="37"/>
      <c r="AA256" s="273"/>
      <c r="AB256" s="273"/>
      <c r="AC256" s="273"/>
    </row>
    <row r="257" spans="1:68" ht="14.25" customHeight="1" x14ac:dyDescent="0.25">
      <c r="A257" s="287" t="s">
        <v>121</v>
      </c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1"/>
      <c r="P257" s="281"/>
      <c r="Q257" s="281"/>
      <c r="R257" s="281"/>
      <c r="S257" s="281"/>
      <c r="T257" s="281"/>
      <c r="U257" s="281"/>
      <c r="V257" s="281"/>
      <c r="W257" s="281"/>
      <c r="X257" s="281"/>
      <c r="Y257" s="281"/>
      <c r="Z257" s="281"/>
      <c r="AA257" s="266"/>
      <c r="AB257" s="266"/>
      <c r="AC257" s="266"/>
    </row>
    <row r="258" spans="1:68" ht="27" customHeight="1" x14ac:dyDescent="0.25">
      <c r="A258" s="54" t="s">
        <v>347</v>
      </c>
      <c r="B258" s="54" t="s">
        <v>348</v>
      </c>
      <c r="C258" s="31">
        <v>4301136051</v>
      </c>
      <c r="D258" s="278">
        <v>4640242180304</v>
      </c>
      <c r="E258" s="279"/>
      <c r="F258" s="269">
        <v>2.7</v>
      </c>
      <c r="G258" s="32">
        <v>1</v>
      </c>
      <c r="H258" s="269">
        <v>2.7</v>
      </c>
      <c r="I258" s="269">
        <v>2.8906000000000001</v>
      </c>
      <c r="J258" s="32">
        <v>126</v>
      </c>
      <c r="K258" s="32" t="s">
        <v>80</v>
      </c>
      <c r="L258" s="32" t="s">
        <v>93</v>
      </c>
      <c r="M258" s="33" t="s">
        <v>69</v>
      </c>
      <c r="N258" s="33"/>
      <c r="O258" s="32">
        <v>180</v>
      </c>
      <c r="P258" s="34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5"/>
      <c r="R258" s="275"/>
      <c r="S258" s="275"/>
      <c r="T258" s="276"/>
      <c r="U258" s="34"/>
      <c r="V258" s="34"/>
      <c r="W258" s="35" t="s">
        <v>70</v>
      </c>
      <c r="X258" s="270">
        <v>0</v>
      </c>
      <c r="Y258" s="271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95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78">
        <v>4640242180236</v>
      </c>
      <c r="E259" s="279"/>
      <c r="F259" s="269">
        <v>5</v>
      </c>
      <c r="G259" s="32">
        <v>1</v>
      </c>
      <c r="H259" s="269">
        <v>5</v>
      </c>
      <c r="I259" s="269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5"/>
      <c r="R259" s="275"/>
      <c r="S259" s="275"/>
      <c r="T259" s="276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IFERROR(IF(X259="","",X259*0.0155),"")</f>
        <v>0</v>
      </c>
      <c r="AA259" s="56"/>
      <c r="AB259" s="57"/>
      <c r="AC259" s="234" t="s">
        <v>349</v>
      </c>
      <c r="AG259" s="67"/>
      <c r="AJ259" s="71" t="s">
        <v>83</v>
      </c>
      <c r="AK259" s="71">
        <v>84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4301136052</v>
      </c>
      <c r="D260" s="278">
        <v>4640242180410</v>
      </c>
      <c r="E260" s="279"/>
      <c r="F260" s="269">
        <v>2.2400000000000002</v>
      </c>
      <c r="G260" s="32">
        <v>1</v>
      </c>
      <c r="H260" s="269">
        <v>2.2400000000000002</v>
      </c>
      <c r="I260" s="269">
        <v>2.4319999999999999</v>
      </c>
      <c r="J260" s="32">
        <v>126</v>
      </c>
      <c r="K260" s="32" t="s">
        <v>80</v>
      </c>
      <c r="L260" s="32" t="s">
        <v>93</v>
      </c>
      <c r="M260" s="33" t="s">
        <v>69</v>
      </c>
      <c r="N260" s="33"/>
      <c r="O260" s="32">
        <v>180</v>
      </c>
      <c r="P260" s="38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5"/>
      <c r="R260" s="275"/>
      <c r="S260" s="275"/>
      <c r="T260" s="276"/>
      <c r="U260" s="34"/>
      <c r="V260" s="34"/>
      <c r="W260" s="35" t="s">
        <v>70</v>
      </c>
      <c r="X260" s="270">
        <v>0</v>
      </c>
      <c r="Y260" s="271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95</v>
      </c>
      <c r="AK260" s="71">
        <v>14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0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2"/>
      <c r="P261" s="284" t="s">
        <v>73</v>
      </c>
      <c r="Q261" s="285"/>
      <c r="R261" s="285"/>
      <c r="S261" s="285"/>
      <c r="T261" s="285"/>
      <c r="U261" s="285"/>
      <c r="V261" s="286"/>
      <c r="W261" s="37" t="s">
        <v>70</v>
      </c>
      <c r="X261" s="272">
        <f>IFERROR(SUM(X258:X260),"0")</f>
        <v>0</v>
      </c>
      <c r="Y261" s="272">
        <f>IFERROR(SUM(Y258:Y260),"0")</f>
        <v>0</v>
      </c>
      <c r="Z261" s="272">
        <f>IFERROR(IF(Z258="",0,Z258),"0")+IFERROR(IF(Z259="",0,Z259),"0")+IFERROR(IF(Z260="",0,Z260),"0")</f>
        <v>0</v>
      </c>
      <c r="AA261" s="273"/>
      <c r="AB261" s="273"/>
      <c r="AC261" s="273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2"/>
      <c r="P262" s="284" t="s">
        <v>73</v>
      </c>
      <c r="Q262" s="285"/>
      <c r="R262" s="285"/>
      <c r="S262" s="285"/>
      <c r="T262" s="285"/>
      <c r="U262" s="285"/>
      <c r="V262" s="286"/>
      <c r="W262" s="37" t="s">
        <v>74</v>
      </c>
      <c r="X262" s="272">
        <f>IFERROR(SUMPRODUCT(X258:X260*H258:H260),"0")</f>
        <v>0</v>
      </c>
      <c r="Y262" s="272">
        <f>IFERROR(SUMPRODUCT(Y258:Y260*H258:H260),"0")</f>
        <v>0</v>
      </c>
      <c r="Z262" s="37"/>
      <c r="AA262" s="273"/>
      <c r="AB262" s="273"/>
      <c r="AC262" s="273"/>
    </row>
    <row r="263" spans="1:68" ht="14.25" customHeight="1" x14ac:dyDescent="0.25">
      <c r="A263" s="287" t="s">
        <v>127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66"/>
      <c r="AB263" s="266"/>
      <c r="AC263" s="266"/>
    </row>
    <row r="264" spans="1:68" ht="37.5" customHeight="1" x14ac:dyDescent="0.25">
      <c r="A264" s="54" t="s">
        <v>354</v>
      </c>
      <c r="B264" s="54" t="s">
        <v>355</v>
      </c>
      <c r="C264" s="31">
        <v>4301135504</v>
      </c>
      <c r="D264" s="278">
        <v>4640242181554</v>
      </c>
      <c r="E264" s="279"/>
      <c r="F264" s="269">
        <v>3</v>
      </c>
      <c r="G264" s="32">
        <v>1</v>
      </c>
      <c r="H264" s="269">
        <v>3</v>
      </c>
      <c r="I264" s="269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64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5"/>
      <c r="R264" s="275"/>
      <c r="S264" s="275"/>
      <c r="T264" s="276"/>
      <c r="U264" s="34"/>
      <c r="V264" s="34"/>
      <c r="W264" s="35" t="s">
        <v>70</v>
      </c>
      <c r="X264" s="270">
        <v>0</v>
      </c>
      <c r="Y264" s="271">
        <f t="shared" ref="Y264:Y275" si="12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5" si="13">IFERROR(X264*I264,"0")</f>
        <v>0</v>
      </c>
      <c r="BN264" s="67">
        <f t="shared" ref="BN264:BN275" si="14">IFERROR(Y264*I264,"0")</f>
        <v>0</v>
      </c>
      <c r="BO264" s="67">
        <f t="shared" ref="BO264:BO275" si="15">IFERROR(X264/J264,"0")</f>
        <v>0</v>
      </c>
      <c r="BP264" s="67">
        <f t="shared" ref="BP264:BP275" si="16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8">
        <v>4640242181561</v>
      </c>
      <c r="E265" s="279"/>
      <c r="F265" s="269">
        <v>3.7</v>
      </c>
      <c r="G265" s="32">
        <v>1</v>
      </c>
      <c r="H265" s="269">
        <v>3.7</v>
      </c>
      <c r="I265" s="269">
        <v>3.8919999999999999</v>
      </c>
      <c r="J265" s="32">
        <v>126</v>
      </c>
      <c r="K265" s="32" t="s">
        <v>80</v>
      </c>
      <c r="L265" s="32" t="s">
        <v>93</v>
      </c>
      <c r="M265" s="33" t="s">
        <v>69</v>
      </c>
      <c r="N265" s="33"/>
      <c r="O265" s="32">
        <v>180</v>
      </c>
      <c r="P265" s="315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5"/>
      <c r="R265" s="275"/>
      <c r="S265" s="275"/>
      <c r="T265" s="276"/>
      <c r="U265" s="34"/>
      <c r="V265" s="34"/>
      <c r="W265" s="35" t="s">
        <v>70</v>
      </c>
      <c r="X265" s="270">
        <v>28</v>
      </c>
      <c r="Y265" s="271">
        <f t="shared" si="12"/>
        <v>28</v>
      </c>
      <c r="Z265" s="36">
        <f>IFERROR(IF(X265="","",X265*0.00936),"")</f>
        <v>0.26207999999999998</v>
      </c>
      <c r="AA265" s="56"/>
      <c r="AB265" s="57"/>
      <c r="AC265" s="240" t="s">
        <v>359</v>
      </c>
      <c r="AG265" s="67"/>
      <c r="AJ265" s="71" t="s">
        <v>95</v>
      </c>
      <c r="AK265" s="71">
        <v>14</v>
      </c>
      <c r="BB265" s="241" t="s">
        <v>84</v>
      </c>
      <c r="BM265" s="67">
        <f t="shared" si="13"/>
        <v>108.976</v>
      </c>
      <c r="BN265" s="67">
        <f t="shared" si="14"/>
        <v>108.976</v>
      </c>
      <c r="BO265" s="67">
        <f t="shared" si="15"/>
        <v>0.22222222222222221</v>
      </c>
      <c r="BP265" s="67">
        <f t="shared" si="16"/>
        <v>0.22222222222222221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78">
        <v>4640242181424</v>
      </c>
      <c r="E266" s="279"/>
      <c r="F266" s="269">
        <v>5.5</v>
      </c>
      <c r="G266" s="32">
        <v>1</v>
      </c>
      <c r="H266" s="269">
        <v>5.5</v>
      </c>
      <c r="I266" s="269">
        <v>5.7350000000000003</v>
      </c>
      <c r="J266" s="32">
        <v>84</v>
      </c>
      <c r="K266" s="32" t="s">
        <v>67</v>
      </c>
      <c r="L266" s="32" t="s">
        <v>93</v>
      </c>
      <c r="M266" s="33" t="s">
        <v>69</v>
      </c>
      <c r="N266" s="33"/>
      <c r="O266" s="32">
        <v>180</v>
      </c>
      <c r="P266" s="32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5"/>
      <c r="R266" s="275"/>
      <c r="S266" s="275"/>
      <c r="T266" s="276"/>
      <c r="U266" s="34"/>
      <c r="V266" s="34"/>
      <c r="W266" s="35" t="s">
        <v>70</v>
      </c>
      <c r="X266" s="270">
        <v>0</v>
      </c>
      <c r="Y266" s="271">
        <f t="shared" si="12"/>
        <v>0</v>
      </c>
      <c r="Z266" s="36">
        <f>IFERROR(IF(X266="","",X266*0.0155),"")</f>
        <v>0</v>
      </c>
      <c r="AA266" s="56"/>
      <c r="AB266" s="57"/>
      <c r="AC266" s="242" t="s">
        <v>356</v>
      </c>
      <c r="AG266" s="67"/>
      <c r="AJ266" s="71" t="s">
        <v>95</v>
      </c>
      <c r="AK266" s="71">
        <v>12</v>
      </c>
      <c r="BB266" s="243" t="s">
        <v>84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78">
        <v>4640242181523</v>
      </c>
      <c r="E267" s="279"/>
      <c r="F267" s="269">
        <v>3</v>
      </c>
      <c r="G267" s="32">
        <v>1</v>
      </c>
      <c r="H267" s="269">
        <v>3</v>
      </c>
      <c r="I267" s="269">
        <v>3.1920000000000002</v>
      </c>
      <c r="J267" s="32">
        <v>126</v>
      </c>
      <c r="K267" s="32" t="s">
        <v>80</v>
      </c>
      <c r="L267" s="32" t="s">
        <v>93</v>
      </c>
      <c r="M267" s="33" t="s">
        <v>69</v>
      </c>
      <c r="N267" s="33"/>
      <c r="O267" s="32">
        <v>180</v>
      </c>
      <c r="P267" s="37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5"/>
      <c r="R267" s="275"/>
      <c r="S267" s="275"/>
      <c r="T267" s="276"/>
      <c r="U267" s="34"/>
      <c r="V267" s="34"/>
      <c r="W267" s="35" t="s">
        <v>70</v>
      </c>
      <c r="X267" s="270">
        <v>14</v>
      </c>
      <c r="Y267" s="271">
        <f t="shared" si="12"/>
        <v>14</v>
      </c>
      <c r="Z267" s="36">
        <f t="shared" ref="Z267:Z272" si="17">IFERROR(IF(X267="","",X267*0.00936),"")</f>
        <v>0.13103999999999999</v>
      </c>
      <c r="AA267" s="56"/>
      <c r="AB267" s="57"/>
      <c r="AC267" s="244" t="s">
        <v>359</v>
      </c>
      <c r="AG267" s="67"/>
      <c r="AJ267" s="71" t="s">
        <v>95</v>
      </c>
      <c r="AK267" s="71">
        <v>14</v>
      </c>
      <c r="BB267" s="245" t="s">
        <v>84</v>
      </c>
      <c r="BM267" s="67">
        <f t="shared" si="13"/>
        <v>44.688000000000002</v>
      </c>
      <c r="BN267" s="67">
        <f t="shared" si="14"/>
        <v>44.688000000000002</v>
      </c>
      <c r="BO267" s="67">
        <f t="shared" si="15"/>
        <v>0.1111111111111111</v>
      </c>
      <c r="BP267" s="67">
        <f t="shared" si="16"/>
        <v>0.1111111111111111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78">
        <v>4640242181486</v>
      </c>
      <c r="E268" s="279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93</v>
      </c>
      <c r="M268" s="33" t="s">
        <v>69</v>
      </c>
      <c r="N268" s="33"/>
      <c r="O268" s="32">
        <v>180</v>
      </c>
      <c r="P268" s="33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5"/>
      <c r="R268" s="275"/>
      <c r="S268" s="275"/>
      <c r="T268" s="276"/>
      <c r="U268" s="34"/>
      <c r="V268" s="34"/>
      <c r="W268" s="35" t="s">
        <v>70</v>
      </c>
      <c r="X268" s="270">
        <v>56</v>
      </c>
      <c r="Y268" s="271">
        <f t="shared" si="12"/>
        <v>56</v>
      </c>
      <c r="Z268" s="36">
        <f t="shared" si="17"/>
        <v>0.52415999999999996</v>
      </c>
      <c r="AA268" s="56"/>
      <c r="AB268" s="57"/>
      <c r="AC268" s="246" t="s">
        <v>356</v>
      </c>
      <c r="AG268" s="67"/>
      <c r="AJ268" s="71" t="s">
        <v>95</v>
      </c>
      <c r="AK268" s="71">
        <v>14</v>
      </c>
      <c r="BB268" s="247" t="s">
        <v>84</v>
      </c>
      <c r="BM268" s="67">
        <f t="shared" si="13"/>
        <v>217.952</v>
      </c>
      <c r="BN268" s="67">
        <f t="shared" si="14"/>
        <v>217.952</v>
      </c>
      <c r="BO268" s="67">
        <f t="shared" si="15"/>
        <v>0.44444444444444442</v>
      </c>
      <c r="BP268" s="67">
        <f t="shared" si="16"/>
        <v>0.44444444444444442</v>
      </c>
    </row>
    <row r="269" spans="1:68" ht="37.5" customHeight="1" x14ac:dyDescent="0.25">
      <c r="A269" s="54" t="s">
        <v>366</v>
      </c>
      <c r="B269" s="54" t="s">
        <v>367</v>
      </c>
      <c r="C269" s="31">
        <v>4301135402</v>
      </c>
      <c r="D269" s="278">
        <v>4640242181493</v>
      </c>
      <c r="E269" s="279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5"/>
      <c r="R269" s="275"/>
      <c r="S269" s="275"/>
      <c r="T269" s="276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48" t="s">
        <v>356</v>
      </c>
      <c r="AG269" s="67"/>
      <c r="AJ269" s="71" t="s">
        <v>72</v>
      </c>
      <c r="AK269" s="71">
        <v>1</v>
      </c>
      <c r="BB269" s="249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37.5" customHeight="1" x14ac:dyDescent="0.25">
      <c r="A270" s="54" t="s">
        <v>368</v>
      </c>
      <c r="B270" s="54" t="s">
        <v>369</v>
      </c>
      <c r="C270" s="31">
        <v>4301135403</v>
      </c>
      <c r="D270" s="278">
        <v>4640242181509</v>
      </c>
      <c r="E270" s="279"/>
      <c r="F270" s="269">
        <v>3.7</v>
      </c>
      <c r="G270" s="32">
        <v>1</v>
      </c>
      <c r="H270" s="269">
        <v>3.7</v>
      </c>
      <c r="I270" s="269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5"/>
      <c r="R270" s="275"/>
      <c r="S270" s="275"/>
      <c r="T270" s="276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370</v>
      </c>
      <c r="B271" s="54" t="s">
        <v>371</v>
      </c>
      <c r="C271" s="31">
        <v>4301135304</v>
      </c>
      <c r="D271" s="278">
        <v>4640242181240</v>
      </c>
      <c r="E271" s="279"/>
      <c r="F271" s="269">
        <v>0.3</v>
      </c>
      <c r="G271" s="32">
        <v>9</v>
      </c>
      <c r="H271" s="269">
        <v>2.7</v>
      </c>
      <c r="I271" s="269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5"/>
      <c r="R271" s="275"/>
      <c r="S271" s="275"/>
      <c r="T271" s="276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4301135610</v>
      </c>
      <c r="D272" s="278">
        <v>4640242181318</v>
      </c>
      <c r="E272" s="279"/>
      <c r="F272" s="269">
        <v>0.3</v>
      </c>
      <c r="G272" s="32">
        <v>9</v>
      </c>
      <c r="H272" s="269">
        <v>2.7</v>
      </c>
      <c r="I272" s="269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6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5"/>
      <c r="R272" s="275"/>
      <c r="S272" s="275"/>
      <c r="T272" s="276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 t="shared" si="17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4301135306</v>
      </c>
      <c r="D273" s="278">
        <v>4640242181387</v>
      </c>
      <c r="E273" s="279"/>
      <c r="F273" s="269">
        <v>0.3</v>
      </c>
      <c r="G273" s="32">
        <v>9</v>
      </c>
      <c r="H273" s="269">
        <v>2.7</v>
      </c>
      <c r="I273" s="269">
        <v>2.8450000000000002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33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5"/>
      <c r="R273" s="275"/>
      <c r="S273" s="275"/>
      <c r="T273" s="276"/>
      <c r="U273" s="34"/>
      <c r="V273" s="34"/>
      <c r="W273" s="35" t="s">
        <v>70</v>
      </c>
      <c r="X273" s="270">
        <v>0</v>
      </c>
      <c r="Y273" s="271">
        <f t="shared" si="12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customHeight="1" x14ac:dyDescent="0.25">
      <c r="A274" s="54" t="s">
        <v>376</v>
      </c>
      <c r="B274" s="54" t="s">
        <v>377</v>
      </c>
      <c r="C274" s="31">
        <v>4301135309</v>
      </c>
      <c r="D274" s="278">
        <v>4640242181332</v>
      </c>
      <c r="E274" s="279"/>
      <c r="F274" s="269">
        <v>0.3</v>
      </c>
      <c r="G274" s="32">
        <v>9</v>
      </c>
      <c r="H274" s="269">
        <v>2.7</v>
      </c>
      <c r="I274" s="269">
        <v>2.9079999999999999</v>
      </c>
      <c r="J274" s="32">
        <v>234</v>
      </c>
      <c r="K274" s="32" t="s">
        <v>138</v>
      </c>
      <c r="L274" s="32" t="s">
        <v>93</v>
      </c>
      <c r="M274" s="33" t="s">
        <v>69</v>
      </c>
      <c r="N274" s="33"/>
      <c r="O274" s="32">
        <v>180</v>
      </c>
      <c r="P274" s="401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5"/>
      <c r="R274" s="275"/>
      <c r="S274" s="275"/>
      <c r="T274" s="276"/>
      <c r="U274" s="34"/>
      <c r="V274" s="34"/>
      <c r="W274" s="35" t="s">
        <v>70</v>
      </c>
      <c r="X274" s="270">
        <v>0</v>
      </c>
      <c r="Y274" s="271">
        <f t="shared" si="12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95</v>
      </c>
      <c r="AK274" s="71">
        <v>18</v>
      </c>
      <c r="BB274" s="259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customHeight="1" x14ac:dyDescent="0.25">
      <c r="A275" s="54" t="s">
        <v>378</v>
      </c>
      <c r="B275" s="54" t="s">
        <v>379</v>
      </c>
      <c r="C275" s="31">
        <v>4301135308</v>
      </c>
      <c r="D275" s="278">
        <v>4640242181349</v>
      </c>
      <c r="E275" s="279"/>
      <c r="F275" s="269">
        <v>0.3</v>
      </c>
      <c r="G275" s="32">
        <v>9</v>
      </c>
      <c r="H275" s="269">
        <v>2.7</v>
      </c>
      <c r="I275" s="269">
        <v>2.9079999999999999</v>
      </c>
      <c r="J275" s="32">
        <v>234</v>
      </c>
      <c r="K275" s="32" t="s">
        <v>138</v>
      </c>
      <c r="L275" s="32" t="s">
        <v>68</v>
      </c>
      <c r="M275" s="33" t="s">
        <v>69</v>
      </c>
      <c r="N275" s="33"/>
      <c r="O275" s="32">
        <v>180</v>
      </c>
      <c r="P275" s="301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5" s="275"/>
      <c r="R275" s="275"/>
      <c r="S275" s="275"/>
      <c r="T275" s="276"/>
      <c r="U275" s="34"/>
      <c r="V275" s="34"/>
      <c r="W275" s="35" t="s">
        <v>70</v>
      </c>
      <c r="X275" s="270">
        <v>0</v>
      </c>
      <c r="Y275" s="271">
        <f t="shared" si="12"/>
        <v>0</v>
      </c>
      <c r="Z275" s="36">
        <f>IFERROR(IF(X275="","",X275*0.00502),"")</f>
        <v>0</v>
      </c>
      <c r="AA275" s="56"/>
      <c r="AB275" s="57"/>
      <c r="AC275" s="260" t="s">
        <v>356</v>
      </c>
      <c r="AG275" s="67"/>
      <c r="AJ275" s="71" t="s">
        <v>72</v>
      </c>
      <c r="AK275" s="71">
        <v>1</v>
      </c>
      <c r="BB275" s="261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x14ac:dyDescent="0.2">
      <c r="A276" s="280"/>
      <c r="B276" s="281"/>
      <c r="C276" s="281"/>
      <c r="D276" s="28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282"/>
      <c r="P276" s="284" t="s">
        <v>73</v>
      </c>
      <c r="Q276" s="285"/>
      <c r="R276" s="285"/>
      <c r="S276" s="285"/>
      <c r="T276" s="285"/>
      <c r="U276" s="285"/>
      <c r="V276" s="286"/>
      <c r="W276" s="37" t="s">
        <v>70</v>
      </c>
      <c r="X276" s="272">
        <f>IFERROR(SUM(X264:X275),"0")</f>
        <v>98</v>
      </c>
      <c r="Y276" s="272">
        <f>IFERROR(SUM(Y264:Y275),"0")</f>
        <v>98</v>
      </c>
      <c r="Z276" s="272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0.91727999999999987</v>
      </c>
      <c r="AA276" s="273"/>
      <c r="AB276" s="273"/>
      <c r="AC276" s="273"/>
    </row>
    <row r="277" spans="1:68" x14ac:dyDescent="0.2">
      <c r="A277" s="281"/>
      <c r="B277" s="281"/>
      <c r="C277" s="281"/>
      <c r="D277" s="28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282"/>
      <c r="P277" s="284" t="s">
        <v>73</v>
      </c>
      <c r="Q277" s="285"/>
      <c r="R277" s="285"/>
      <c r="S277" s="285"/>
      <c r="T277" s="285"/>
      <c r="U277" s="285"/>
      <c r="V277" s="286"/>
      <c r="W277" s="37" t="s">
        <v>74</v>
      </c>
      <c r="X277" s="272">
        <f>IFERROR(SUMPRODUCT(X264:X275*H264:H275),"0")</f>
        <v>352.80000000000007</v>
      </c>
      <c r="Y277" s="272">
        <f>IFERROR(SUMPRODUCT(Y264:Y275*H264:H275),"0")</f>
        <v>352.80000000000007</v>
      </c>
      <c r="Z277" s="37"/>
      <c r="AA277" s="273"/>
      <c r="AB277" s="273"/>
      <c r="AC277" s="273"/>
    </row>
    <row r="278" spans="1:68" ht="15" customHeight="1" x14ac:dyDescent="0.2">
      <c r="A278" s="417"/>
      <c r="B278" s="281"/>
      <c r="C278" s="281"/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375"/>
      <c r="P278" s="321" t="s">
        <v>380</v>
      </c>
      <c r="Q278" s="322"/>
      <c r="R278" s="322"/>
      <c r="S278" s="322"/>
      <c r="T278" s="322"/>
      <c r="U278" s="322"/>
      <c r="V278" s="323"/>
      <c r="W278" s="37" t="s">
        <v>74</v>
      </c>
      <c r="X278" s="272">
        <f>IFERROR(X24+X31+X38+X46+X51+X55+X59+X64+X70+X76+X81+X87+X97+X103+X113+X117+X121+X127+X133+X139+X144+X149+X154+X159+X166+X174+X178+X184+X191+X199+X204+X209+X215+X221+X227+X233+X239+X243+X251+X256+X262+X277,"0")</f>
        <v>12236.64</v>
      </c>
      <c r="Y278" s="272">
        <f>IFERROR(Y24+Y31+Y38+Y46+Y51+Y55+Y59+Y64+Y70+Y76+Y81+Y87+Y97+Y103+Y113+Y117+Y121+Y127+Y133+Y139+Y144+Y149+Y154+Y159+Y166+Y174+Y178+Y184+Y191+Y199+Y204+Y209+Y215+Y221+Y227+Y233+Y239+Y243+Y251+Y256+Y262+Y277,"0")</f>
        <v>12236.64</v>
      </c>
      <c r="Z278" s="37"/>
      <c r="AA278" s="273"/>
      <c r="AB278" s="273"/>
      <c r="AC278" s="273"/>
    </row>
    <row r="279" spans="1:68" x14ac:dyDescent="0.2">
      <c r="A279" s="281"/>
      <c r="B279" s="281"/>
      <c r="C279" s="281"/>
      <c r="D279" s="28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375"/>
      <c r="P279" s="321" t="s">
        <v>381</v>
      </c>
      <c r="Q279" s="322"/>
      <c r="R279" s="322"/>
      <c r="S279" s="322"/>
      <c r="T279" s="322"/>
      <c r="U279" s="322"/>
      <c r="V279" s="323"/>
      <c r="W279" s="37" t="s">
        <v>74</v>
      </c>
      <c r="X279" s="272">
        <f>IFERROR(SUM(BM22:BM275),"0")</f>
        <v>13325.086400000002</v>
      </c>
      <c r="Y279" s="272">
        <f>IFERROR(SUM(BN22:BN275),"0")</f>
        <v>13325.086400000002</v>
      </c>
      <c r="Z279" s="37"/>
      <c r="AA279" s="273"/>
      <c r="AB279" s="273"/>
      <c r="AC279" s="273"/>
    </row>
    <row r="280" spans="1:68" x14ac:dyDescent="0.2">
      <c r="A280" s="281"/>
      <c r="B280" s="281"/>
      <c r="C280" s="281"/>
      <c r="D280" s="281"/>
      <c r="E280" s="281"/>
      <c r="F280" s="281"/>
      <c r="G280" s="281"/>
      <c r="H280" s="281"/>
      <c r="I280" s="281"/>
      <c r="J280" s="281"/>
      <c r="K280" s="281"/>
      <c r="L280" s="281"/>
      <c r="M280" s="281"/>
      <c r="N280" s="281"/>
      <c r="O280" s="375"/>
      <c r="P280" s="321" t="s">
        <v>382</v>
      </c>
      <c r="Q280" s="322"/>
      <c r="R280" s="322"/>
      <c r="S280" s="322"/>
      <c r="T280" s="322"/>
      <c r="U280" s="322"/>
      <c r="V280" s="323"/>
      <c r="W280" s="37" t="s">
        <v>383</v>
      </c>
      <c r="X280" s="38">
        <f>ROUNDUP(SUM(BO22:BO275),0)</f>
        <v>33</v>
      </c>
      <c r="Y280" s="38">
        <f>ROUNDUP(SUM(BP22:BP275),0)</f>
        <v>33</v>
      </c>
      <c r="Z280" s="37"/>
      <c r="AA280" s="273"/>
      <c r="AB280" s="273"/>
      <c r="AC280" s="273"/>
    </row>
    <row r="281" spans="1:68" x14ac:dyDescent="0.2">
      <c r="A281" s="281"/>
      <c r="B281" s="281"/>
      <c r="C281" s="281"/>
      <c r="D281" s="281"/>
      <c r="E281" s="281"/>
      <c r="F281" s="281"/>
      <c r="G281" s="281"/>
      <c r="H281" s="281"/>
      <c r="I281" s="281"/>
      <c r="J281" s="281"/>
      <c r="K281" s="281"/>
      <c r="L281" s="281"/>
      <c r="M281" s="281"/>
      <c r="N281" s="281"/>
      <c r="O281" s="375"/>
      <c r="P281" s="321" t="s">
        <v>384</v>
      </c>
      <c r="Q281" s="322"/>
      <c r="R281" s="322"/>
      <c r="S281" s="322"/>
      <c r="T281" s="322"/>
      <c r="U281" s="322"/>
      <c r="V281" s="323"/>
      <c r="W281" s="37" t="s">
        <v>74</v>
      </c>
      <c r="X281" s="272">
        <f>GrossWeightTotal+PalletQtyTotal*25</f>
        <v>14150.086400000002</v>
      </c>
      <c r="Y281" s="272">
        <f>GrossWeightTotalR+PalletQtyTotalR*25</f>
        <v>14150.086400000002</v>
      </c>
      <c r="Z281" s="37"/>
      <c r="AA281" s="273"/>
      <c r="AB281" s="273"/>
      <c r="AC281" s="273"/>
    </row>
    <row r="282" spans="1:68" x14ac:dyDescent="0.2">
      <c r="A282" s="281"/>
      <c r="B282" s="281"/>
      <c r="C282" s="281"/>
      <c r="D282" s="281"/>
      <c r="E282" s="281"/>
      <c r="F282" s="281"/>
      <c r="G282" s="281"/>
      <c r="H282" s="281"/>
      <c r="I282" s="281"/>
      <c r="J282" s="281"/>
      <c r="K282" s="281"/>
      <c r="L282" s="281"/>
      <c r="M282" s="281"/>
      <c r="N282" s="281"/>
      <c r="O282" s="375"/>
      <c r="P282" s="321" t="s">
        <v>385</v>
      </c>
      <c r="Q282" s="322"/>
      <c r="R282" s="322"/>
      <c r="S282" s="322"/>
      <c r="T282" s="322"/>
      <c r="U282" s="322"/>
      <c r="V282" s="323"/>
      <c r="W282" s="37" t="s">
        <v>383</v>
      </c>
      <c r="X282" s="272">
        <f>IFERROR(X23+X30+X37+X45+X50+X54+X58+X63+X69+X75+X80+X86+X96+X102+X112+X116+X120+X126+X132+X138+X143+X148+X153+X158+X165+X173+X177+X183+X190+X198+X203+X208+X214+X220+X226+X232+X238+X242+X250+X255+X261+X276,"0")</f>
        <v>2618</v>
      </c>
      <c r="Y282" s="272">
        <f>IFERROR(Y23+Y30+Y37+Y45+Y50+Y54+Y58+Y63+Y69+Y75+Y80+Y86+Y96+Y102+Y112+Y116+Y120+Y126+Y132+Y138+Y143+Y148+Y153+Y158+Y165+Y173+Y177+Y183+Y190+Y198+Y203+Y208+Y214+Y220+Y226+Y232+Y238+Y242+Y250+Y255+Y261+Y276,"0")</f>
        <v>2618</v>
      </c>
      <c r="Z282" s="37"/>
      <c r="AA282" s="273"/>
      <c r="AB282" s="273"/>
      <c r="AC282" s="273"/>
    </row>
    <row r="283" spans="1:68" ht="14.25" customHeight="1" x14ac:dyDescent="0.2">
      <c r="A283" s="281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375"/>
      <c r="P283" s="321" t="s">
        <v>386</v>
      </c>
      <c r="Q283" s="322"/>
      <c r="R283" s="322"/>
      <c r="S283" s="322"/>
      <c r="T283" s="322"/>
      <c r="U283" s="322"/>
      <c r="V283" s="323"/>
      <c r="W283" s="39" t="s">
        <v>387</v>
      </c>
      <c r="X283" s="37"/>
      <c r="Y283" s="37"/>
      <c r="Z283" s="37">
        <f>IFERROR(Z23+Z30+Z37+Z45+Z50+Z54+Z58+Z63+Z69+Z75+Z80+Z86+Z96+Z102+Z112+Z116+Z120+Z126+Z132+Z138+Z143+Z148+Z153+Z158+Z165+Z173+Z177+Z183+Z190+Z198+Z203+Z208+Z214+Z220+Z226+Z232+Z238+Z242+Z250+Z255+Z261+Z276,"0")</f>
        <v>41.061379999999993</v>
      </c>
      <c r="AA283" s="273"/>
      <c r="AB283" s="273"/>
      <c r="AC283" s="273"/>
    </row>
    <row r="284" spans="1:68" ht="13.5" customHeight="1" thickBot="1" x14ac:dyDescent="0.25"/>
    <row r="285" spans="1:68" ht="27" customHeight="1" thickTop="1" thickBot="1" x14ac:dyDescent="0.25">
      <c r="A285" s="40" t="s">
        <v>388</v>
      </c>
      <c r="B285" s="267" t="s">
        <v>63</v>
      </c>
      <c r="C285" s="290" t="s">
        <v>75</v>
      </c>
      <c r="D285" s="418"/>
      <c r="E285" s="418"/>
      <c r="F285" s="418"/>
      <c r="G285" s="418"/>
      <c r="H285" s="418"/>
      <c r="I285" s="418"/>
      <c r="J285" s="418"/>
      <c r="K285" s="418"/>
      <c r="L285" s="418"/>
      <c r="M285" s="418"/>
      <c r="N285" s="418"/>
      <c r="O285" s="418"/>
      <c r="P285" s="418"/>
      <c r="Q285" s="418"/>
      <c r="R285" s="418"/>
      <c r="S285" s="418"/>
      <c r="T285" s="419"/>
      <c r="U285" s="267" t="s">
        <v>234</v>
      </c>
      <c r="V285" s="267" t="s">
        <v>243</v>
      </c>
      <c r="W285" s="290" t="s">
        <v>262</v>
      </c>
      <c r="X285" s="418"/>
      <c r="Y285" s="418"/>
      <c r="Z285" s="418"/>
      <c r="AA285" s="419"/>
      <c r="AB285" s="267" t="s">
        <v>316</v>
      </c>
      <c r="AC285" s="267" t="s">
        <v>321</v>
      </c>
      <c r="AD285" s="267" t="s">
        <v>325</v>
      </c>
      <c r="AE285" s="267" t="s">
        <v>333</v>
      </c>
      <c r="AF285" s="268"/>
    </row>
    <row r="286" spans="1:68" ht="14.25" customHeight="1" thickTop="1" x14ac:dyDescent="0.2">
      <c r="A286" s="404" t="s">
        <v>389</v>
      </c>
      <c r="B286" s="290" t="s">
        <v>63</v>
      </c>
      <c r="C286" s="290" t="s">
        <v>76</v>
      </c>
      <c r="D286" s="290" t="s">
        <v>87</v>
      </c>
      <c r="E286" s="290" t="s">
        <v>99</v>
      </c>
      <c r="F286" s="290" t="s">
        <v>110</v>
      </c>
      <c r="G286" s="290" t="s">
        <v>135</v>
      </c>
      <c r="H286" s="290" t="s">
        <v>142</v>
      </c>
      <c r="I286" s="290" t="s">
        <v>146</v>
      </c>
      <c r="J286" s="290" t="s">
        <v>154</v>
      </c>
      <c r="K286" s="290" t="s">
        <v>169</v>
      </c>
      <c r="L286" s="290" t="s">
        <v>175</v>
      </c>
      <c r="M286" s="290" t="s">
        <v>200</v>
      </c>
      <c r="N286" s="268"/>
      <c r="O286" s="290" t="s">
        <v>206</v>
      </c>
      <c r="P286" s="290" t="s">
        <v>213</v>
      </c>
      <c r="Q286" s="290" t="s">
        <v>218</v>
      </c>
      <c r="R286" s="290" t="s">
        <v>222</v>
      </c>
      <c r="S286" s="290" t="s">
        <v>225</v>
      </c>
      <c r="T286" s="290" t="s">
        <v>230</v>
      </c>
      <c r="U286" s="290" t="s">
        <v>235</v>
      </c>
      <c r="V286" s="290" t="s">
        <v>244</v>
      </c>
      <c r="W286" s="290" t="s">
        <v>263</v>
      </c>
      <c r="X286" s="290" t="s">
        <v>279</v>
      </c>
      <c r="Y286" s="290" t="s">
        <v>293</v>
      </c>
      <c r="Z286" s="290" t="s">
        <v>298</v>
      </c>
      <c r="AA286" s="290" t="s">
        <v>309</v>
      </c>
      <c r="AB286" s="290" t="s">
        <v>317</v>
      </c>
      <c r="AC286" s="290" t="s">
        <v>322</v>
      </c>
      <c r="AD286" s="290" t="s">
        <v>326</v>
      </c>
      <c r="AE286" s="290" t="s">
        <v>333</v>
      </c>
      <c r="AF286" s="268"/>
    </row>
    <row r="287" spans="1:68" ht="13.5" customHeight="1" thickBot="1" x14ac:dyDescent="0.25">
      <c r="A287" s="405"/>
      <c r="B287" s="291"/>
      <c r="C287" s="291"/>
      <c r="D287" s="291"/>
      <c r="E287" s="291"/>
      <c r="F287" s="291"/>
      <c r="G287" s="291"/>
      <c r="H287" s="291"/>
      <c r="I287" s="291"/>
      <c r="J287" s="291"/>
      <c r="K287" s="291"/>
      <c r="L287" s="291"/>
      <c r="M287" s="291"/>
      <c r="N287" s="268"/>
      <c r="O287" s="291"/>
      <c r="P287" s="291"/>
      <c r="Q287" s="291"/>
      <c r="R287" s="291"/>
      <c r="S287" s="291"/>
      <c r="T287" s="291"/>
      <c r="U287" s="291"/>
      <c r="V287" s="291"/>
      <c r="W287" s="291"/>
      <c r="X287" s="291"/>
      <c r="Y287" s="291"/>
      <c r="Z287" s="291"/>
      <c r="AA287" s="291"/>
      <c r="AB287" s="291"/>
      <c r="AC287" s="291"/>
      <c r="AD287" s="291"/>
      <c r="AE287" s="291"/>
      <c r="AF287" s="268"/>
    </row>
    <row r="288" spans="1:68" ht="18" customHeight="1" thickTop="1" thickBot="1" x14ac:dyDescent="0.25">
      <c r="A288" s="40" t="s">
        <v>390</v>
      </c>
      <c r="B288" s="46">
        <f>IFERROR(X22*H22,"0")</f>
        <v>0</v>
      </c>
      <c r="C288" s="46">
        <f>IFERROR(X28*H28,"0")+IFERROR(X29*H29,"0")</f>
        <v>210</v>
      </c>
      <c r="D288" s="46">
        <f>IFERROR(X34*H34,"0")+IFERROR(X35*H35,"0")+IFERROR(X36*H36,"0")</f>
        <v>67.199999999999989</v>
      </c>
      <c r="E288" s="46">
        <f>IFERROR(X41*H41,"0")+IFERROR(X42*H42,"0")+IFERROR(X43*H43,"0")+IFERROR(X44*H44,"0")</f>
        <v>1680</v>
      </c>
      <c r="F288" s="46">
        <f>IFERROR(X49*H49,"0")+IFERROR(X53*H53,"0")+IFERROR(X57*H57,"0")+IFERROR(X61*H61,"0")+IFERROR(X62*H62,"0")+IFERROR(X66*H66,"0")+IFERROR(X67*H67,"0")+IFERROR(X68*H68,"0")</f>
        <v>16.8</v>
      </c>
      <c r="G288" s="46">
        <f>IFERROR(X73*H73,"0")+IFERROR(X74*H74,"0")</f>
        <v>300</v>
      </c>
      <c r="H288" s="46">
        <f>IFERROR(X79*H79,"0")</f>
        <v>0</v>
      </c>
      <c r="I288" s="46">
        <f>IFERROR(X84*H84,"0")+IFERROR(X85*H85,"0")</f>
        <v>201.6</v>
      </c>
      <c r="J288" s="46">
        <f>IFERROR(X90*H90,"0")+IFERROR(X91*H91,"0")+IFERROR(X92*H92,"0")+IFERROR(X93*H93,"0")+IFERROR(X94*H94,"0")+IFERROR(X95*H95,"0")</f>
        <v>744.2399999999999</v>
      </c>
      <c r="K288" s="46">
        <f>IFERROR(X100*H100,"0")+IFERROR(X101*H101,"0")</f>
        <v>0</v>
      </c>
      <c r="L288" s="46">
        <f>IFERROR(X106*H106,"0")+IFERROR(X107*H107,"0")+IFERROR(X108*H108,"0")+IFERROR(X109*H109,"0")+IFERROR(X110*H110,"0")+IFERROR(X111*H111,"0")+IFERROR(X115*H115,"0")+IFERROR(X119*H119,"0")</f>
        <v>4017.6</v>
      </c>
      <c r="M288" s="46">
        <f>IFERROR(X124*H124,"0")+IFERROR(X125*H125,"0")</f>
        <v>714</v>
      </c>
      <c r="N288" s="268"/>
      <c r="O288" s="46">
        <f>IFERROR(X130*H130,"0")+IFERROR(X131*H131,"0")</f>
        <v>462</v>
      </c>
      <c r="P288" s="46">
        <f>IFERROR(X136*H136,"0")+IFERROR(X137*H137,"0")</f>
        <v>201.6</v>
      </c>
      <c r="Q288" s="46">
        <f>IFERROR(X142*H142,"0")</f>
        <v>0</v>
      </c>
      <c r="R288" s="46">
        <f>IFERROR(X147*H147,"0")</f>
        <v>0</v>
      </c>
      <c r="S288" s="46">
        <f>IFERROR(X152*H152,"0")</f>
        <v>0</v>
      </c>
      <c r="T288" s="46">
        <f>IFERROR(X157*H157,"0")</f>
        <v>0</v>
      </c>
      <c r="U288" s="46">
        <f>IFERROR(X163*H163,"0")+IFERROR(X164*H164,"0")</f>
        <v>0</v>
      </c>
      <c r="V288" s="46">
        <f>IFERROR(X170*H170,"0")+IFERROR(X171*H171,"0")+IFERROR(X172*H172,"0")+IFERROR(X176*H176,"0")</f>
        <v>672</v>
      </c>
      <c r="W288" s="46">
        <f>IFERROR(X182*H182,"0")+IFERROR(X186*H186,"0")+IFERROR(X187*H187,"0")+IFERROR(X188*H188,"0")+IFERROR(X189*H189,"0")</f>
        <v>0</v>
      </c>
      <c r="X288" s="46">
        <f>IFERROR(X194*H194,"0")+IFERROR(X195*H195,"0")+IFERROR(X196*H196,"0")+IFERROR(X197*H197,"0")</f>
        <v>259.2</v>
      </c>
      <c r="Y288" s="46">
        <f>IFERROR(X202*H202,"0")</f>
        <v>480</v>
      </c>
      <c r="Z288" s="46">
        <f>IFERROR(X207*H207,"0")+IFERROR(X211*H211,"0")+IFERROR(X212*H212,"0")+IFERROR(X213*H213,"0")</f>
        <v>33.6</v>
      </c>
      <c r="AA288" s="46">
        <f>IFERROR(X218*H218,"0")+IFERROR(X219*H219,"0")</f>
        <v>0</v>
      </c>
      <c r="AB288" s="46">
        <f>IFERROR(X225*H225,"0")</f>
        <v>0</v>
      </c>
      <c r="AC288" s="46">
        <f>IFERROR(X231*H231,"0")</f>
        <v>600</v>
      </c>
      <c r="AD288" s="46">
        <f>IFERROR(X237*H237,"0")+IFERROR(X241*H241,"0")</f>
        <v>0</v>
      </c>
      <c r="AE288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1576.8</v>
      </c>
      <c r="AF288" s="268"/>
    </row>
    <row r="289" spans="1:3" ht="13.5" customHeight="1" thickTop="1" x14ac:dyDescent="0.2">
      <c r="C289" s="268"/>
    </row>
    <row r="290" spans="1:3" ht="19.5" customHeight="1" x14ac:dyDescent="0.2">
      <c r="A290" s="58" t="s">
        <v>391</v>
      </c>
      <c r="B290" s="58" t="s">
        <v>392</v>
      </c>
      <c r="C290" s="58" t="s">
        <v>393</v>
      </c>
    </row>
    <row r="291" spans="1:3" x14ac:dyDescent="0.2">
      <c r="A291" s="59">
        <f>SUMPRODUCT(--(BB:BB="ЗПФ"),--(W:W="кор"),H:H,Y:Y)+SUMPRODUCT(--(BB:BB="ЗПФ"),--(W:W="кг"),Y:Y)</f>
        <v>7403.9999999999991</v>
      </c>
      <c r="B291" s="60">
        <f>SUMPRODUCT(--(BB:BB="ПГП"),--(W:W="кор"),H:H,Y:Y)+SUMPRODUCT(--(BB:BB="ПГП"),--(W:W="кг"),Y:Y)</f>
        <v>4832.6400000000003</v>
      </c>
      <c r="C291" s="60">
        <f>SUMPRODUCT(--(BB:BB="КИЗ"),--(W:W="кор"),H:H,Y:Y)+SUMPRODUCT(--(BB:BB="КИЗ"),--(W:W="кг"),Y:Y)</f>
        <v>0</v>
      </c>
    </row>
  </sheetData>
  <sheetProtection algorithmName="SHA-512" hashValue="P8P/9TliaJo4K6h5RAYCO4iH1qj5xYZiOhHSz3lgG4ahIlZ6Zeo79tMQeWBm7BX76W4hpUiNQKXCFs9+5NVIfQ==" saltValue="h1ewnf/2tidQD2Tvy8Ql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01">
    <mergeCell ref="K286:K287"/>
    <mergeCell ref="D266:E266"/>
    <mergeCell ref="D95:E95"/>
    <mergeCell ref="U17:V17"/>
    <mergeCell ref="Y17:Y18"/>
    <mergeCell ref="D57:E57"/>
    <mergeCell ref="A8:C8"/>
    <mergeCell ref="P124:T124"/>
    <mergeCell ref="D268:E268"/>
    <mergeCell ref="P138:V138"/>
    <mergeCell ref="P76:V76"/>
    <mergeCell ref="A128:Z128"/>
    <mergeCell ref="A10:C10"/>
    <mergeCell ref="A217:Z217"/>
    <mergeCell ref="P218:T218"/>
    <mergeCell ref="P69:V69"/>
    <mergeCell ref="A192:Z192"/>
    <mergeCell ref="A21:Z21"/>
    <mergeCell ref="A129:Z129"/>
    <mergeCell ref="D42:E42"/>
    <mergeCell ref="A181:Z181"/>
    <mergeCell ref="D17:E18"/>
    <mergeCell ref="P202:T202"/>
    <mergeCell ref="X17:X18"/>
    <mergeCell ref="AE286:AE287"/>
    <mergeCell ref="D218:E218"/>
    <mergeCell ref="D247:E247"/>
    <mergeCell ref="A114:Z114"/>
    <mergeCell ref="P239:V239"/>
    <mergeCell ref="A257:Z257"/>
    <mergeCell ref="D249:E249"/>
    <mergeCell ref="D170:E170"/>
    <mergeCell ref="P132:V132"/>
    <mergeCell ref="D163:E163"/>
    <mergeCell ref="P136:T136"/>
    <mergeCell ref="D171:E171"/>
    <mergeCell ref="J286:J287"/>
    <mergeCell ref="L286:L287"/>
    <mergeCell ref="P208:V208"/>
    <mergeCell ref="C285:T285"/>
    <mergeCell ref="D196:E196"/>
    <mergeCell ref="A126:O127"/>
    <mergeCell ref="A206:Z206"/>
    <mergeCell ref="P283:V283"/>
    <mergeCell ref="D271:E271"/>
    <mergeCell ref="A245:Z245"/>
    <mergeCell ref="D237:E237"/>
    <mergeCell ref="I286:I28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N17:N18"/>
    <mergeCell ref="A58:O59"/>
    <mergeCell ref="D49:E49"/>
    <mergeCell ref="F17:F18"/>
    <mergeCell ref="Q5:R5"/>
    <mergeCell ref="D107:E107"/>
    <mergeCell ref="Q6:R6"/>
    <mergeCell ref="P81:V81"/>
    <mergeCell ref="A33:Z33"/>
    <mergeCell ref="A235:Z235"/>
    <mergeCell ref="A185:Z185"/>
    <mergeCell ref="P196:T196"/>
    <mergeCell ref="P281:V281"/>
    <mergeCell ref="D164:E164"/>
    <mergeCell ref="P62:T62"/>
    <mergeCell ref="P2:W3"/>
    <mergeCell ref="D241:E241"/>
    <mergeCell ref="D35:E35"/>
    <mergeCell ref="A23:O24"/>
    <mergeCell ref="D10:E10"/>
    <mergeCell ref="F10:G10"/>
    <mergeCell ref="D34:E34"/>
    <mergeCell ref="D270:E270"/>
    <mergeCell ref="A201:Z201"/>
    <mergeCell ref="A236:Z236"/>
    <mergeCell ref="P253:T253"/>
    <mergeCell ref="A223:Z223"/>
    <mergeCell ref="D265:E265"/>
    <mergeCell ref="P23:V23"/>
    <mergeCell ref="V12:W12"/>
    <mergeCell ref="A39:Z39"/>
    <mergeCell ref="P85:T85"/>
    <mergeCell ref="A52:Z52"/>
    <mergeCell ref="B286:B287"/>
    <mergeCell ref="P103:V103"/>
    <mergeCell ref="D286:D287"/>
    <mergeCell ref="A155:Z155"/>
    <mergeCell ref="P97:V97"/>
    <mergeCell ref="Q13:R13"/>
    <mergeCell ref="P176:T176"/>
    <mergeCell ref="P247:T247"/>
    <mergeCell ref="P241:T241"/>
    <mergeCell ref="D84:E84"/>
    <mergeCell ref="P41:T41"/>
    <mergeCell ref="D22:E22"/>
    <mergeCell ref="A222:Z222"/>
    <mergeCell ref="P255:V255"/>
    <mergeCell ref="P34:T34"/>
    <mergeCell ref="A102:O103"/>
    <mergeCell ref="P270:T270"/>
    <mergeCell ref="D213:E213"/>
    <mergeCell ref="P49:T49"/>
    <mergeCell ref="P36:T36"/>
    <mergeCell ref="P107:T107"/>
    <mergeCell ref="P101:T101"/>
    <mergeCell ref="P63:V63"/>
    <mergeCell ref="W286:W287"/>
    <mergeCell ref="AD286:AD287"/>
    <mergeCell ref="V286:V287"/>
    <mergeCell ref="X286:X287"/>
    <mergeCell ref="A86:O87"/>
    <mergeCell ref="P106:T106"/>
    <mergeCell ref="P93:T93"/>
    <mergeCell ref="D207:E207"/>
    <mergeCell ref="P269:T269"/>
    <mergeCell ref="P164:T164"/>
    <mergeCell ref="P120:V120"/>
    <mergeCell ref="A230:Z230"/>
    <mergeCell ref="P184:V184"/>
    <mergeCell ref="A278:O283"/>
    <mergeCell ref="A167:Z167"/>
    <mergeCell ref="P242:V242"/>
    <mergeCell ref="P121:V121"/>
    <mergeCell ref="W285:AA285"/>
    <mergeCell ref="P188:T188"/>
    <mergeCell ref="A169:Z169"/>
    <mergeCell ref="P148:V148"/>
    <mergeCell ref="P130:T130"/>
    <mergeCell ref="D136:E136"/>
    <mergeCell ref="P111:T111"/>
    <mergeCell ref="D225:E225"/>
    <mergeCell ref="A286:A287"/>
    <mergeCell ref="C286:C287"/>
    <mergeCell ref="A88:Z88"/>
    <mergeCell ref="P54:V54"/>
    <mergeCell ref="D194:E194"/>
    <mergeCell ref="Z17:Z18"/>
    <mergeCell ref="P173:V173"/>
    <mergeCell ref="AB17:AB18"/>
    <mergeCell ref="H5:M5"/>
    <mergeCell ref="A56:Z56"/>
    <mergeCell ref="A27:Z27"/>
    <mergeCell ref="P31:V31"/>
    <mergeCell ref="P158:V158"/>
    <mergeCell ref="D212:E212"/>
    <mergeCell ref="P225:T225"/>
    <mergeCell ref="D6:M6"/>
    <mergeCell ref="A75:O76"/>
    <mergeCell ref="D85:E85"/>
    <mergeCell ref="P35:T35"/>
    <mergeCell ref="G17:G18"/>
    <mergeCell ref="P61:T61"/>
    <mergeCell ref="P262:V262"/>
    <mergeCell ref="A9:C9"/>
    <mergeCell ref="P125:T125"/>
    <mergeCell ref="AC17:AC18"/>
    <mergeCell ref="AA17:AA18"/>
    <mergeCell ref="A122:Z122"/>
    <mergeCell ref="P108:T108"/>
    <mergeCell ref="A224:Z224"/>
    <mergeCell ref="P209:V209"/>
    <mergeCell ref="A72:Z72"/>
    <mergeCell ref="P254:T254"/>
    <mergeCell ref="V6:W9"/>
    <mergeCell ref="A112:O113"/>
    <mergeCell ref="P109:T109"/>
    <mergeCell ref="D186:E186"/>
    <mergeCell ref="A226:O227"/>
    <mergeCell ref="P84:T84"/>
    <mergeCell ref="P22:T22"/>
    <mergeCell ref="D202:E202"/>
    <mergeCell ref="A242:O243"/>
    <mergeCell ref="A179:Z179"/>
    <mergeCell ref="D231:E231"/>
    <mergeCell ref="P70:V70"/>
    <mergeCell ref="A156:Z156"/>
    <mergeCell ref="P116:V116"/>
    <mergeCell ref="P250:V250"/>
    <mergeCell ref="A246:Z246"/>
    <mergeCell ref="Y286:Y287"/>
    <mergeCell ref="P221:V221"/>
    <mergeCell ref="P215:V215"/>
    <mergeCell ref="A40:Z40"/>
    <mergeCell ref="P165:V165"/>
    <mergeCell ref="P30:V30"/>
    <mergeCell ref="A82:Z82"/>
    <mergeCell ref="P286:P287"/>
    <mergeCell ref="A276:O277"/>
    <mergeCell ref="D267:E267"/>
    <mergeCell ref="A220:O221"/>
    <mergeCell ref="A146:Z146"/>
    <mergeCell ref="P90:T90"/>
    <mergeCell ref="D269:E269"/>
    <mergeCell ref="A252:Z252"/>
    <mergeCell ref="A50:O51"/>
    <mergeCell ref="P91:T91"/>
    <mergeCell ref="D273:E273"/>
    <mergeCell ref="A80:O81"/>
    <mergeCell ref="A160:Z160"/>
    <mergeCell ref="A141:Z141"/>
    <mergeCell ref="P212:T212"/>
    <mergeCell ref="A135:Z135"/>
    <mergeCell ref="P274:T274"/>
    <mergeCell ref="D275:E275"/>
    <mergeCell ref="T6:U9"/>
    <mergeCell ref="A30:O31"/>
    <mergeCell ref="Q10:R10"/>
    <mergeCell ref="M286:M287"/>
    <mergeCell ref="D41:E41"/>
    <mergeCell ref="O286:O287"/>
    <mergeCell ref="P256:V256"/>
    <mergeCell ref="D43:E43"/>
    <mergeCell ref="P149:V149"/>
    <mergeCell ref="A145:Z145"/>
    <mergeCell ref="D137:E137"/>
    <mergeCell ref="A210:Z210"/>
    <mergeCell ref="P80:V80"/>
    <mergeCell ref="D74:E74"/>
    <mergeCell ref="D130:E130"/>
    <mergeCell ref="D68:E68"/>
    <mergeCell ref="D188:E188"/>
    <mergeCell ref="P126:V126"/>
    <mergeCell ref="P260:T260"/>
    <mergeCell ref="P211:T211"/>
    <mergeCell ref="D172:E172"/>
    <mergeCell ref="A143:O144"/>
    <mergeCell ref="P227:V227"/>
    <mergeCell ref="T5:U5"/>
    <mergeCell ref="D119:E119"/>
    <mergeCell ref="V5:W5"/>
    <mergeCell ref="A48:Z48"/>
    <mergeCell ref="D111:E111"/>
    <mergeCell ref="Q8:R8"/>
    <mergeCell ref="P267:T267"/>
    <mergeCell ref="D248:E248"/>
    <mergeCell ref="D219:E219"/>
    <mergeCell ref="D36:E36"/>
    <mergeCell ref="P58:V58"/>
    <mergeCell ref="A13:M13"/>
    <mergeCell ref="D61:E61"/>
    <mergeCell ref="P115:T115"/>
    <mergeCell ref="D254:E254"/>
    <mergeCell ref="A15:M15"/>
    <mergeCell ref="A232:O233"/>
    <mergeCell ref="A153:O154"/>
    <mergeCell ref="A193:Z193"/>
    <mergeCell ref="D125:E125"/>
    <mergeCell ref="A54:O55"/>
    <mergeCell ref="J9:M9"/>
    <mergeCell ref="D62:E62"/>
    <mergeCell ref="D176:E176"/>
    <mergeCell ref="P272:T272"/>
    <mergeCell ref="A69:O70"/>
    <mergeCell ref="D106:E106"/>
    <mergeCell ref="D264:E264"/>
    <mergeCell ref="D93:E93"/>
    <mergeCell ref="P199:V199"/>
    <mergeCell ref="A198:O199"/>
    <mergeCell ref="P43:T43"/>
    <mergeCell ref="D157:E157"/>
    <mergeCell ref="A180:Z180"/>
    <mergeCell ref="A240:Z240"/>
    <mergeCell ref="P74:T74"/>
    <mergeCell ref="P243:V243"/>
    <mergeCell ref="D182:E182"/>
    <mergeCell ref="D109:E109"/>
    <mergeCell ref="P163:T163"/>
    <mergeCell ref="P220:V220"/>
    <mergeCell ref="P248:T248"/>
    <mergeCell ref="P86:V86"/>
    <mergeCell ref="P207:T207"/>
    <mergeCell ref="A255:O256"/>
    <mergeCell ref="P50:V50"/>
    <mergeCell ref="P174:V174"/>
    <mergeCell ref="A104:Z104"/>
    <mergeCell ref="AB286:AB287"/>
    <mergeCell ref="P127:V127"/>
    <mergeCell ref="P198:V198"/>
    <mergeCell ref="A123:Z123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08:O209"/>
    <mergeCell ref="P66:T66"/>
    <mergeCell ref="P137:T137"/>
    <mergeCell ref="D9:E9"/>
    <mergeCell ref="P197:T197"/>
    <mergeCell ref="A183:O184"/>
    <mergeCell ref="P53:T53"/>
    <mergeCell ref="F9:G9"/>
    <mergeCell ref="A47:Z47"/>
    <mergeCell ref="A263:Z263"/>
    <mergeCell ref="P238:V238"/>
    <mergeCell ref="A6:C6"/>
    <mergeCell ref="P142:T142"/>
    <mergeCell ref="A161:Z161"/>
    <mergeCell ref="D115:E115"/>
    <mergeCell ref="P182:T182"/>
    <mergeCell ref="P102:V102"/>
    <mergeCell ref="A203:O204"/>
    <mergeCell ref="Q12:R12"/>
    <mergeCell ref="D90:E90"/>
    <mergeCell ref="P119:T119"/>
    <mergeCell ref="P183:V183"/>
    <mergeCell ref="P133:V133"/>
    <mergeCell ref="P68:T68"/>
    <mergeCell ref="P204:V204"/>
    <mergeCell ref="A134:Z134"/>
    <mergeCell ref="P75:V75"/>
    <mergeCell ref="A98:Z98"/>
    <mergeCell ref="A162:Z162"/>
    <mergeCell ref="A138:O139"/>
    <mergeCell ref="P15:T16"/>
    <mergeCell ref="A132:O133"/>
    <mergeCell ref="D91:E91"/>
    <mergeCell ref="A12:M12"/>
    <mergeCell ref="A19:Z19"/>
    <mergeCell ref="H286:H287"/>
    <mergeCell ref="P131:T131"/>
    <mergeCell ref="P187:T187"/>
    <mergeCell ref="D108:E108"/>
    <mergeCell ref="P258:T258"/>
    <mergeCell ref="A168:Z168"/>
    <mergeCell ref="P139:V139"/>
    <mergeCell ref="I17:I18"/>
    <mergeCell ref="P189:T189"/>
    <mergeCell ref="P203:V203"/>
    <mergeCell ref="P178:V178"/>
    <mergeCell ref="A177:O178"/>
    <mergeCell ref="P276:V276"/>
    <mergeCell ref="P214:V214"/>
    <mergeCell ref="E286:E287"/>
    <mergeCell ref="G286:G287"/>
    <mergeCell ref="A32:Z32"/>
    <mergeCell ref="P278:V278"/>
    <mergeCell ref="A37:O38"/>
    <mergeCell ref="D260:E260"/>
    <mergeCell ref="A261:O262"/>
    <mergeCell ref="Z286:Z287"/>
    <mergeCell ref="P264:T264"/>
    <mergeCell ref="P219:T219"/>
    <mergeCell ref="AA286:AA287"/>
    <mergeCell ref="A89:Z89"/>
    <mergeCell ref="AC286:AC287"/>
    <mergeCell ref="D147:E147"/>
    <mergeCell ref="D274:E274"/>
    <mergeCell ref="A105:Z105"/>
    <mergeCell ref="A26:Z26"/>
    <mergeCell ref="P268:T268"/>
    <mergeCell ref="P59:V59"/>
    <mergeCell ref="D211:E211"/>
    <mergeCell ref="P190:V190"/>
    <mergeCell ref="A71:Z71"/>
    <mergeCell ref="P46:V46"/>
    <mergeCell ref="P282:V282"/>
    <mergeCell ref="A234:Z234"/>
    <mergeCell ref="A244:Z244"/>
    <mergeCell ref="P112:V112"/>
    <mergeCell ref="A116:O117"/>
    <mergeCell ref="P277:V277"/>
    <mergeCell ref="D100:E100"/>
    <mergeCell ref="A229:Z229"/>
    <mergeCell ref="A77:Z77"/>
    <mergeCell ref="F286:F287"/>
    <mergeCell ref="P194:T194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P273:T273"/>
    <mergeCell ref="D272:E272"/>
    <mergeCell ref="A250:O251"/>
    <mergeCell ref="D1:F1"/>
    <mergeCell ref="J17:J18"/>
    <mergeCell ref="D7:M7"/>
    <mergeCell ref="Q286:Q287"/>
    <mergeCell ref="D79:E79"/>
    <mergeCell ref="P92:T92"/>
    <mergeCell ref="S286:S287"/>
    <mergeCell ref="U286:U287"/>
    <mergeCell ref="P29:T29"/>
    <mergeCell ref="P271:T271"/>
    <mergeCell ref="P100:T100"/>
    <mergeCell ref="P265:T265"/>
    <mergeCell ref="P94:T94"/>
    <mergeCell ref="D8:M8"/>
    <mergeCell ref="P44:T44"/>
    <mergeCell ref="P279:V279"/>
    <mergeCell ref="P237:T237"/>
    <mergeCell ref="A148:O149"/>
    <mergeCell ref="P251:V251"/>
    <mergeCell ref="P45:V45"/>
    <mergeCell ref="A228:Z228"/>
    <mergeCell ref="P266:T266"/>
    <mergeCell ref="P95:T95"/>
    <mergeCell ref="P38:V38"/>
    <mergeCell ref="L17:L18"/>
    <mergeCell ref="P17:T18"/>
    <mergeCell ref="R1:T1"/>
    <mergeCell ref="P152:T152"/>
    <mergeCell ref="D73:E73"/>
    <mergeCell ref="A200:Z200"/>
    <mergeCell ref="P166:V166"/>
    <mergeCell ref="P233:V233"/>
    <mergeCell ref="P37:V37"/>
    <mergeCell ref="A63:O64"/>
    <mergeCell ref="P275:T275"/>
    <mergeCell ref="B17:B18"/>
    <mergeCell ref="P143:V143"/>
    <mergeCell ref="D131:E131"/>
    <mergeCell ref="D258:E258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197:E197"/>
    <mergeCell ref="D253:E253"/>
    <mergeCell ref="R286:R287"/>
    <mergeCell ref="P24:V24"/>
    <mergeCell ref="T286:T287"/>
    <mergeCell ref="A78:Z78"/>
    <mergeCell ref="P153:V153"/>
    <mergeCell ref="A205:Z205"/>
    <mergeCell ref="A65:Z65"/>
    <mergeCell ref="A45:O46"/>
    <mergeCell ref="P157:T157"/>
    <mergeCell ref="P213:T213"/>
    <mergeCell ref="P249:T249"/>
    <mergeCell ref="P172:T172"/>
    <mergeCell ref="A158:O159"/>
    <mergeCell ref="P28:T28"/>
    <mergeCell ref="D53:E53"/>
    <mergeCell ref="P232:V232"/>
    <mergeCell ref="P159:V159"/>
    <mergeCell ref="P147:T147"/>
    <mergeCell ref="P96:V96"/>
    <mergeCell ref="P261:V261"/>
    <mergeCell ref="A151:Z151"/>
    <mergeCell ref="P154:V154"/>
    <mergeCell ref="A150:Z150"/>
    <mergeCell ref="D142:E142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H9:I9"/>
    <mergeCell ref="W17:W18"/>
    <mergeCell ref="A120:O121"/>
    <mergeCell ref="Q9:R9"/>
    <mergeCell ref="Q11:R11"/>
    <mergeCell ref="A14:M14"/>
    <mergeCell ref="H17:H18"/>
    <mergeCell ref="H10:M10"/>
    <mergeCell ref="M17:M18"/>
    <mergeCell ref="O17:O18"/>
    <mergeCell ref="A175:Z175"/>
    <mergeCell ref="D110:E110"/>
    <mergeCell ref="D44:E4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5 X119 X136 X152 X157 X176 X189 X194:X197 X207 X211:X213 X218:X219 X225 X237 X241 X247:X249 X264 X269:X273 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1 X253 X259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30 X137 X142 X147 X163:X164 X182 X186:X188 X202 X254 X258 X260 X265:X268 X274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396</v>
      </c>
      <c r="D6" s="47" t="s">
        <v>397</v>
      </c>
      <c r="E6" s="47"/>
    </row>
    <row r="8" spans="2:8" x14ac:dyDescent="0.2">
      <c r="B8" s="47" t="s">
        <v>19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LaxWNYM0pVHRfo5kH3+MnhRnFAMOCAlp3B36TXvdSrItYnJnKmw4KZmXXp568cv/x4/r0Tu72ljFOySOXpazQQ==" saltValue="4DXffkTNgHpG9KQn60Qz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2025-10-08T10:24:35Z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