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2,07,25 Обрыньба\"/>
    </mc:Choice>
  </mc:AlternateContent>
  <xr:revisionPtr revIDLastSave="0" documentId="13_ncr:1_{99F3342E-9221-4F37-A854-F2D724C84F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Z138" i="1" l="1"/>
  <c r="Z58" i="1"/>
  <c r="Y24" i="1"/>
  <c r="Y32" i="1"/>
  <c r="Y44" i="1"/>
  <c r="Y59" i="1"/>
  <c r="Y65" i="1"/>
  <c r="Y71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Z211" i="1" s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Z268" i="1"/>
  <c r="BP266" i="1"/>
  <c r="BN266" i="1"/>
  <c r="Z266" i="1"/>
  <c r="O515" i="1"/>
  <c r="Y268" i="1"/>
  <c r="BP342" i="1"/>
  <c r="BN342" i="1"/>
  <c r="Z342" i="1"/>
  <c r="Z348" i="1" s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Z253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45" i="1" l="1"/>
  <c r="Y507" i="1"/>
  <c r="Z227" i="1"/>
  <c r="Z167" i="1"/>
  <c r="Z122" i="1"/>
  <c r="Y505" i="1"/>
  <c r="Z483" i="1"/>
  <c r="Z461" i="1"/>
  <c r="Z316" i="1"/>
  <c r="Z310" i="1"/>
  <c r="Z101" i="1"/>
  <c r="Z32" i="1"/>
  <c r="Z510" i="1" s="1"/>
  <c r="Y509" i="1"/>
  <c r="Y506" i="1"/>
  <c r="Z244" i="1"/>
  <c r="Z199" i="1"/>
  <c r="Z173" i="1"/>
  <c r="Y508" i="1" l="1"/>
</calcChain>
</file>

<file path=xl/sharedStrings.xml><?xml version="1.0" encoding="utf-8"?>
<sst xmlns="http://schemas.openxmlformats.org/spreadsheetml/2006/main" count="2263" uniqueCount="811">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</sst>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\ ##0_ ;[Red]\-#\ ##0\ "/>
    <numFmt numFmtId="165" formatCode="0.000"/>
    <numFmt numFmtId="166" formatCode="dd\.mm\.yyyy"/>
    <numFmt numFmtId="167" formatCode="h:mm;@"/>
    <numFmt numFmtId="168" formatCode="#\ ##0.00"/>
    <numFmt numFmtId="169" formatCode="#\ ##0.00_ ;[Red]\-#\ ##0.00\ "/>
    <numFmt numFmtId="170" formatCode="dd/mm/yy;@"/>
  </numFmts>
  <fonts count="61" x14ac:knownFonts="1"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b/>
      <sz val="16"/>
      <color rgb="FF651C32"/>
      <name val="Calibri"/>
      <charset val="204"/>
      <scheme val="minor"/>
    </font>
    <font>
      <b/>
      <sz val="9"/>
      <color rgb="FF651C32"/>
      <name val="Calibri"/>
      <charset val="204"/>
      <scheme val="minor"/>
    </font>
    <font>
      <b/>
      <sz val="10"/>
      <color rgb="FF651C32"/>
      <name val="Calibri"/>
      <charset val="204"/>
      <scheme val="minor"/>
    </font>
    <font>
      <b/>
      <sz val="11"/>
      <color rgb="FF651C32"/>
      <name val="Calibri"/>
      <charset val="204"/>
      <scheme val="minor"/>
    </font>
    <font>
      <sz val="11"/>
      <color rgb="FF651C32"/>
      <name val="Arial Narrow"/>
      <charset val="204"/>
    </font>
    <font>
      <b/>
      <sz val="8"/>
      <color rgb="FF651C32"/>
      <name val="Calibri"/>
      <charset val="204"/>
      <scheme val="minor"/>
    </font>
    <font>
      <sz val="8"/>
      <color rgb="FF651C32"/>
      <name val="Calibri"/>
      <charset val="204"/>
      <scheme val="minor"/>
    </font>
    <font>
      <b/>
      <sz val="10"/>
      <color rgb="FF651C32"/>
      <name val="Arial Narrow"/>
      <charset val="204"/>
    </font>
    <font>
      <b/>
      <sz val="9"/>
      <color rgb="FF651C32"/>
      <name val="Arial Narrow"/>
      <charset val="204"/>
    </font>
    <font>
      <b/>
      <sz val="9"/>
      <color rgb="FFFF0000"/>
      <name val="Arial Narrow"/>
      <charset val="204"/>
    </font>
    <font>
      <b/>
      <sz val="10"/>
      <color rgb="FF651C32"/>
      <name val="Arial Cyr"/>
      <charset val="204"/>
    </font>
    <font>
      <b/>
      <u/>
      <sz val="10"/>
      <color rgb="FF651C32"/>
      <name val="Arial Narrow"/>
      <charset val="204"/>
    </font>
    <font>
      <sz val="8"/>
      <name val="Arial Cyr"/>
      <charset val="204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b/>
      <u/>
      <sz val="16"/>
      <color rgb="FFFF0000"/>
      <name val="Calibri"/>
      <charset val="204"/>
      <scheme val="minor"/>
    </font>
    <font>
      <b/>
      <sz val="8"/>
      <color rgb="FF651C32"/>
      <name val="Arial Cyr"/>
      <charset val="204"/>
    </font>
    <font>
      <b/>
      <sz val="10"/>
      <name val="Arial Narrow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800080"/>
      <name val="Arial Cyr"/>
      <charset val="204"/>
    </font>
    <font>
      <b/>
      <sz val="14"/>
      <color rgb="FF651C32"/>
      <name val="Calibri"/>
      <charset val="204"/>
      <scheme val="minor"/>
    </font>
    <font>
      <sz val="9"/>
      <color rgb="FF651C32"/>
      <name val="Arial Narrow"/>
      <charset val="204"/>
    </font>
    <font>
      <b/>
      <sz val="11"/>
      <color rgb="FF651C32"/>
      <name val="Arial Narrow"/>
      <charset val="204"/>
    </font>
    <font>
      <b/>
      <sz val="1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sz val="8"/>
      <name val="Arial Narrow"/>
      <charset val="204"/>
    </font>
    <font>
      <vertAlign val="superscript"/>
      <sz val="10"/>
      <color rgb="FF651C32"/>
      <name val="Arial Cyr"/>
      <charset val="204"/>
    </font>
    <font>
      <b/>
      <sz val="11"/>
      <name val="Arial Narrow"/>
      <charset val="204"/>
    </font>
    <font>
      <sz val="11"/>
      <color indexed="8"/>
      <name val="Calibri"/>
      <charset val="204"/>
    </font>
    <font>
      <sz val="11"/>
      <color indexed="9"/>
      <name val="Calibri"/>
      <charset val="204"/>
    </font>
    <font>
      <sz val="11"/>
      <color indexed="62"/>
      <name val="Calibri"/>
      <charset val="204"/>
    </font>
    <font>
      <b/>
      <sz val="11"/>
      <color indexed="63"/>
      <name val="Calibri"/>
      <charset val="204"/>
    </font>
    <font>
      <b/>
      <sz val="11"/>
      <color indexed="52"/>
      <name val="Calibri"/>
      <charset val="204"/>
    </font>
    <font>
      <b/>
      <sz val="15"/>
      <color indexed="56"/>
      <name val="Calibri"/>
      <charset val="204"/>
    </font>
    <font>
      <b/>
      <sz val="13"/>
      <color indexed="56"/>
      <name val="Calibri"/>
      <charset val="204"/>
    </font>
    <font>
      <b/>
      <sz val="11"/>
      <color indexed="56"/>
      <name val="Calibri"/>
      <charset val="204"/>
    </font>
    <font>
      <b/>
      <sz val="11"/>
      <color indexed="8"/>
      <name val="Calibri"/>
      <charset val="204"/>
    </font>
    <font>
      <b/>
      <sz val="11"/>
      <color indexed="9"/>
      <name val="Calibri"/>
      <charset val="204"/>
    </font>
    <font>
      <b/>
      <sz val="18"/>
      <color indexed="56"/>
      <name val="Cambria"/>
      <charset val="204"/>
    </font>
    <font>
      <sz val="11"/>
      <color indexed="60"/>
      <name val="Calibri"/>
      <charset val="204"/>
    </font>
    <font>
      <sz val="11"/>
      <color theme="1"/>
      <name val="Calibri"/>
      <charset val="204"/>
      <scheme val="minor"/>
    </font>
    <font>
      <sz val="11"/>
      <color indexed="20"/>
      <name val="Calibri"/>
      <charset val="204"/>
    </font>
    <font>
      <i/>
      <sz val="11"/>
      <color indexed="23"/>
      <name val="Calibri"/>
      <charset val="204"/>
    </font>
    <font>
      <sz val="11"/>
      <color indexed="52"/>
      <name val="Calibri"/>
      <charset val="204"/>
    </font>
    <font>
      <sz val="11"/>
      <color indexed="10"/>
      <name val="Calibri"/>
      <charset val="204"/>
    </font>
    <font>
      <sz val="11"/>
      <color indexed="17"/>
      <name val="Calibri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47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</borders>
  <cellStyleXfs count="52">
    <xf numFmtId="0" fontId="0" fillId="0" borderId="0"/>
    <xf numFmtId="0" fontId="43" fillId="6" borderId="0"/>
    <xf numFmtId="0" fontId="43" fillId="7" borderId="0"/>
    <xf numFmtId="0" fontId="43" fillId="8" borderId="0"/>
    <xf numFmtId="0" fontId="43" fillId="9" borderId="0"/>
    <xf numFmtId="0" fontId="43" fillId="10" borderId="0"/>
    <xf numFmtId="0" fontId="43" fillId="11" borderId="0"/>
    <xf numFmtId="0" fontId="43" fillId="12" borderId="0"/>
    <xf numFmtId="0" fontId="43" fillId="13" borderId="0"/>
    <xf numFmtId="0" fontId="43" fillId="14" borderId="0"/>
    <xf numFmtId="0" fontId="43" fillId="9" borderId="0"/>
    <xf numFmtId="0" fontId="43" fillId="12" borderId="0"/>
    <xf numFmtId="0" fontId="43" fillId="15" borderId="0"/>
    <xf numFmtId="0" fontId="44" fillId="16" borderId="0"/>
    <xf numFmtId="0" fontId="44" fillId="13" borderId="0"/>
    <xf numFmtId="0" fontId="44" fillId="14" borderId="0"/>
    <xf numFmtId="0" fontId="44" fillId="17" borderId="0"/>
    <xf numFmtId="0" fontId="44" fillId="18" borderId="0"/>
    <xf numFmtId="0" fontId="44" fillId="19" borderId="0"/>
    <xf numFmtId="0" fontId="44" fillId="20" borderId="0"/>
    <xf numFmtId="0" fontId="44" fillId="21" borderId="0"/>
    <xf numFmtId="0" fontId="44" fillId="22" borderId="0"/>
    <xf numFmtId="0" fontId="44" fillId="17" borderId="0"/>
    <xf numFmtId="0" fontId="44" fillId="18" borderId="0"/>
    <xf numFmtId="0" fontId="44" fillId="23" borderId="0"/>
    <xf numFmtId="0" fontId="45" fillId="11" borderId="33"/>
    <xf numFmtId="0" fontId="46" fillId="24" borderId="34"/>
    <xf numFmtId="0" fontId="47" fillId="24" borderId="33"/>
    <xf numFmtId="0" fontId="48" fillId="0" borderId="35"/>
    <xf numFmtId="0" fontId="49" fillId="0" borderId="36"/>
    <xf numFmtId="0" fontId="50" fillId="0" borderId="37"/>
    <xf numFmtId="0" fontId="50" fillId="0" borderId="0"/>
    <xf numFmtId="0" fontId="51" fillId="0" borderId="38"/>
    <xf numFmtId="0" fontId="52" fillId="25" borderId="39"/>
    <xf numFmtId="0" fontId="53" fillId="0" borderId="0"/>
    <xf numFmtId="0" fontId="54" fillId="26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5" fillId="0" borderId="0"/>
    <xf numFmtId="0" fontId="55" fillId="0" borderId="0"/>
    <xf numFmtId="0" fontId="55" fillId="0" borderId="0"/>
    <xf numFmtId="0" fontId="56" fillId="7" borderId="0"/>
    <xf numFmtId="0" fontId="57" fillId="0" borderId="0"/>
    <xf numFmtId="0" fontId="35" fillId="27" borderId="40"/>
    <xf numFmtId="0" fontId="35" fillId="27" borderId="40"/>
    <xf numFmtId="0" fontId="58" fillId="0" borderId="41"/>
    <xf numFmtId="0" fontId="59" fillId="0" borderId="0"/>
    <xf numFmtId="0" fontId="60" fillId="8" borderId="0"/>
  </cellStyleXfs>
  <cellXfs count="179">
    <xf numFmtId="0" fontId="0" fillId="0" borderId="0" xfId="0"/>
    <xf numFmtId="0" fontId="0" fillId="0" borderId="1" xfId="0" applyBorder="1"/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4" fillId="2" borderId="0" xfId="39" applyFont="1" applyFill="1" applyAlignment="1">
      <alignment vertical="center" wrapText="1"/>
    </xf>
    <xf numFmtId="0" fontId="4" fillId="2" borderId="0" xfId="39" applyFont="1" applyFill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49" fontId="8" fillId="3" borderId="2" xfId="39" applyNumberFormat="1" applyFont="1" applyFill="1" applyBorder="1" applyAlignment="1" applyProtection="1">
      <alignment horizontal="center" vertical="center"/>
      <protection locked="0"/>
    </xf>
    <xf numFmtId="49" fontId="9" fillId="0" borderId="3" xfId="39" applyNumberFormat="1" applyFont="1" applyBorder="1" applyAlignment="1">
      <alignment horizontal="left" vertical="center"/>
    </xf>
    <xf numFmtId="49" fontId="9" fillId="0" borderId="0" xfId="39" applyNumberFormat="1" applyFont="1" applyAlignment="1">
      <alignment horizontal="left" vertical="center"/>
    </xf>
    <xf numFmtId="49" fontId="8" fillId="0" borderId="2" xfId="39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 applyProtection="1">
      <alignment vertical="center" wrapText="1"/>
      <protection hidden="1"/>
    </xf>
    <xf numFmtId="0" fontId="14" fillId="0" borderId="0" xfId="0" applyFont="1" applyAlignment="1" applyProtection="1">
      <alignment horizontal="left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16" fillId="0" borderId="0" xfId="0" applyFont="1" applyAlignment="1" applyProtection="1">
      <alignment horizontal="center"/>
      <protection hidden="1"/>
    </xf>
    <xf numFmtId="1" fontId="22" fillId="0" borderId="11" xfId="0" applyNumberFormat="1" applyFont="1" applyBorder="1" applyAlignment="1">
      <alignment horizontal="center" vertical="center"/>
    </xf>
    <xf numFmtId="1" fontId="22" fillId="0" borderId="2" xfId="39" applyNumberFormat="1" applyFont="1" applyBorder="1" applyAlignment="1">
      <alignment horizontal="center" vertical="center"/>
    </xf>
    <xf numFmtId="0" fontId="16" fillId="0" borderId="2" xfId="0" applyFont="1" applyBorder="1" applyAlignment="1" applyProtection="1">
      <alignment horizontal="center" vertical="center"/>
      <protection hidden="1"/>
    </xf>
    <xf numFmtId="2" fontId="11" fillId="0" borderId="0" xfId="0" applyNumberFormat="1" applyFont="1" applyAlignment="1" applyProtection="1">
      <alignment horizontal="left" vertical="center" wrapText="1"/>
      <protection locked="0" hidden="1"/>
    </xf>
    <xf numFmtId="0" fontId="24" fillId="0" borderId="0" xfId="0" applyFont="1" applyAlignment="1" applyProtection="1">
      <alignment horizontal="right" vertical="center"/>
      <protection hidden="1"/>
    </xf>
    <xf numFmtId="0" fontId="12" fillId="0" borderId="0" xfId="0" applyFont="1" applyAlignment="1" applyProtection="1">
      <alignment horizontal="left" vertical="top" wrapText="1"/>
      <protection locked="0"/>
    </xf>
    <xf numFmtId="0" fontId="12" fillId="0" borderId="0" xfId="0" applyFont="1" applyAlignment="1" applyProtection="1">
      <alignment horizontal="center" vertical="top" wrapText="1"/>
      <protection locked="0"/>
    </xf>
    <xf numFmtId="2" fontId="12" fillId="0" borderId="0" xfId="0" applyNumberFormat="1" applyFont="1" applyAlignment="1" applyProtection="1">
      <alignment horizontal="left" vertical="center" wrapText="1"/>
      <protection locked="0" hidden="1"/>
    </xf>
    <xf numFmtId="0" fontId="24" fillId="0" borderId="0" xfId="0" applyFont="1" applyAlignment="1">
      <alignment horizontal="right" vertical="center"/>
    </xf>
    <xf numFmtId="2" fontId="11" fillId="0" borderId="0" xfId="0" applyNumberFormat="1" applyFont="1" applyAlignment="1" applyProtection="1">
      <alignment horizontal="left" vertical="center" wrapText="1"/>
      <protection hidden="1"/>
    </xf>
    <xf numFmtId="2" fontId="15" fillId="0" borderId="0" xfId="0" applyNumberFormat="1" applyFont="1" applyAlignment="1" applyProtection="1">
      <alignment horizontal="left" vertical="center" wrapText="1"/>
      <protection hidden="1"/>
    </xf>
    <xf numFmtId="1" fontId="16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14" fillId="0" borderId="0" xfId="0" applyFont="1" applyAlignment="1" applyProtection="1">
      <alignment horizontal="right"/>
      <protection hidden="1"/>
    </xf>
    <xf numFmtId="0" fontId="18" fillId="0" borderId="0" xfId="0" applyFont="1" applyAlignment="1">
      <alignment horizontal="right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49" fontId="30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2" fontId="12" fillId="0" borderId="0" xfId="0" applyNumberFormat="1" applyFont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center" vertical="center" wrapText="1"/>
      <protection hidden="1"/>
    </xf>
    <xf numFmtId="0" fontId="32" fillId="0" borderId="0" xfId="0" applyFont="1" applyAlignment="1">
      <alignment horizontal="right"/>
    </xf>
    <xf numFmtId="0" fontId="33" fillId="2" borderId="2" xfId="0" applyFont="1" applyFill="1" applyBorder="1" applyAlignment="1" applyProtection="1">
      <alignment horizontal="center" vertical="center" wrapText="1"/>
      <protection hidden="1"/>
    </xf>
    <xf numFmtId="0" fontId="16" fillId="0" borderId="2" xfId="0" applyFont="1" applyBorder="1" applyAlignment="1">
      <alignment horizontal="left"/>
    </xf>
    <xf numFmtId="0" fontId="34" fillId="0" borderId="2" xfId="0" applyFont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0" fontId="1" fillId="0" borderId="0" xfId="0" applyFont="1" applyProtection="1">
      <protection locked="0"/>
    </xf>
    <xf numFmtId="2" fontId="19" fillId="0" borderId="0" xfId="0" applyNumberFormat="1" applyFont="1" applyAlignment="1">
      <alignment horizontal="center" vertical="center"/>
    </xf>
    <xf numFmtId="2" fontId="36" fillId="0" borderId="2" xfId="0" applyNumberFormat="1" applyFont="1" applyBorder="1" applyAlignment="1">
      <alignment horizontal="center"/>
    </xf>
    <xf numFmtId="2" fontId="36" fillId="0" borderId="6" xfId="0" applyNumberFormat="1" applyFont="1" applyBorder="1" applyAlignment="1">
      <alignment horizontal="center" wrapText="1"/>
    </xf>
    <xf numFmtId="0" fontId="3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wrapText="1"/>
      <protection hidden="1"/>
    </xf>
    <xf numFmtId="0" fontId="38" fillId="0" borderId="26" xfId="0" applyFont="1" applyBorder="1" applyAlignment="1" applyProtection="1">
      <alignment horizontal="center" vertical="center"/>
      <protection hidden="1"/>
    </xf>
    <xf numFmtId="0" fontId="38" fillId="0" borderId="0" xfId="0" applyFont="1" applyProtection="1"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39" fillId="0" borderId="0" xfId="0" applyFont="1"/>
    <xf numFmtId="0" fontId="11" fillId="2" borderId="27" xfId="0" applyFont="1" applyFill="1" applyBorder="1" applyAlignment="1" applyProtection="1">
      <alignment horizontal="center" vertical="center" wrapText="1"/>
      <protection hidden="1"/>
    </xf>
    <xf numFmtId="0" fontId="41" fillId="2" borderId="2" xfId="0" applyFont="1" applyFill="1" applyBorder="1" applyAlignment="1" applyProtection="1">
      <alignment horizontal="center"/>
      <protection hidden="1"/>
    </xf>
    <xf numFmtId="0" fontId="13" fillId="4" borderId="0" xfId="0" applyFont="1" applyFill="1" applyAlignment="1" applyProtection="1">
      <alignment horizontal="left" vertical="center" wrapText="1"/>
      <protection locked="0" hidden="1"/>
    </xf>
    <xf numFmtId="2" fontId="12" fillId="4" borderId="0" xfId="0" applyNumberFormat="1" applyFont="1" applyFill="1" applyAlignment="1" applyProtection="1">
      <alignment horizontal="left" vertical="center" wrapText="1"/>
      <protection hidden="1"/>
    </xf>
    <xf numFmtId="0" fontId="1" fillId="0" borderId="0" xfId="0" applyFont="1" applyProtection="1">
      <protection hidden="1"/>
    </xf>
    <xf numFmtId="0" fontId="20" fillId="5" borderId="0" xfId="0" applyFont="1" applyFill="1" applyAlignment="1" applyProtection="1">
      <alignment horizontal="center"/>
      <protection hidden="1"/>
    </xf>
    <xf numFmtId="2" fontId="21" fillId="5" borderId="0" xfId="0" applyNumberFormat="1" applyFont="1" applyFill="1" applyAlignment="1" applyProtection="1">
      <alignment horizontal="center"/>
      <protection hidden="1"/>
    </xf>
    <xf numFmtId="0" fontId="40" fillId="0" borderId="28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4" fontId="2" fillId="0" borderId="0" xfId="0" applyNumberFormat="1" applyFont="1" applyAlignment="1" applyProtection="1">
      <alignment horizontal="center"/>
      <protection hidden="1"/>
    </xf>
    <xf numFmtId="166" fontId="4" fillId="2" borderId="0" xfId="39" applyNumberFormat="1" applyFont="1" applyFill="1" applyAlignment="1">
      <alignment vertical="center" wrapText="1"/>
    </xf>
    <xf numFmtId="166" fontId="4" fillId="2" borderId="0" xfId="39" applyNumberFormat="1" applyFont="1" applyFill="1" applyAlignment="1">
      <alignment horizontal="center" vertical="center" wrapText="1"/>
    </xf>
    <xf numFmtId="167" fontId="8" fillId="0" borderId="0" xfId="0" applyNumberFormat="1" applyFont="1" applyAlignment="1" applyProtection="1">
      <alignment horizontal="center" vertical="center"/>
      <protection locked="0"/>
    </xf>
    <xf numFmtId="168" fontId="31" fillId="0" borderId="0" xfId="39" applyNumberFormat="1" applyFont="1" applyAlignment="1" applyProtection="1">
      <alignment horizontal="center" vertical="center"/>
      <protection hidden="1"/>
    </xf>
    <xf numFmtId="167" fontId="0" fillId="0" borderId="0" xfId="0" applyNumberFormat="1" applyAlignment="1">
      <alignment horizontal="center"/>
    </xf>
    <xf numFmtId="165" fontId="16" fillId="0" borderId="2" xfId="0" applyNumberFormat="1" applyFont="1" applyBorder="1" applyAlignment="1" applyProtection="1">
      <alignment horizontal="center" vertical="center"/>
      <protection hidden="1"/>
    </xf>
    <xf numFmtId="169" fontId="35" fillId="3" borderId="2" xfId="0" applyNumberFormat="1" applyFont="1" applyFill="1" applyBorder="1" applyAlignment="1" applyProtection="1">
      <alignment horizontal="right"/>
      <protection locked="0"/>
    </xf>
    <xf numFmtId="169" fontId="35" fillId="0" borderId="2" xfId="0" applyNumberFormat="1" applyFont="1" applyBorder="1" applyAlignment="1">
      <alignment horizontal="right"/>
    </xf>
    <xf numFmtId="168" fontId="38" fillId="0" borderId="0" xfId="0" applyNumberFormat="1" applyFont="1" applyProtection="1">
      <protection hidden="1"/>
    </xf>
    <xf numFmtId="169" fontId="24" fillId="2" borderId="2" xfId="0" applyNumberFormat="1" applyFont="1" applyFill="1" applyBorder="1" applyAlignment="1">
      <alignment horizontal="right"/>
    </xf>
    <xf numFmtId="169" fontId="24" fillId="2" borderId="0" xfId="0" applyNumberFormat="1" applyFont="1" applyFill="1" applyAlignment="1">
      <alignment horizontal="right"/>
    </xf>
    <xf numFmtId="164" fontId="24" fillId="2" borderId="2" xfId="0" applyNumberFormat="1" applyFont="1" applyFill="1" applyBorder="1" applyAlignment="1">
      <alignment horizontal="right"/>
    </xf>
    <xf numFmtId="168" fontId="42" fillId="0" borderId="32" xfId="39" applyNumberFormat="1" applyFont="1" applyBorder="1" applyAlignment="1" applyProtection="1">
      <alignment horizontal="center" vertical="center"/>
      <protection hidden="1"/>
    </xf>
    <xf numFmtId="0" fontId="27" fillId="0" borderId="46" xfId="0" applyFont="1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1" fontId="22" fillId="0" borderId="2" xfId="0" applyNumberFormat="1" applyFont="1" applyBorder="1" applyAlignment="1">
      <alignment horizontal="center" vertical="center"/>
    </xf>
    <xf numFmtId="0" fontId="0" fillId="0" borderId="11" xfId="0" applyBorder="1"/>
    <xf numFmtId="0" fontId="28" fillId="0" borderId="46" xfId="0" applyFont="1" applyBorder="1" applyAlignment="1">
      <alignment horizontal="left" vertical="center" wrapText="1"/>
    </xf>
    <xf numFmtId="2" fontId="21" fillId="5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4" fillId="2" borderId="6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20" fillId="5" borderId="0" xfId="0" applyFont="1" applyFill="1" applyAlignment="1" applyProtection="1">
      <alignment horizontal="center"/>
      <protection hidden="1"/>
    </xf>
    <xf numFmtId="0" fontId="13" fillId="4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0" borderId="28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" borderId="13" xfId="0" applyFill="1" applyBorder="1" applyAlignment="1" applyProtection="1">
      <alignment horizontal="center"/>
      <protection hidden="1"/>
    </xf>
    <xf numFmtId="0" fontId="0" fillId="0" borderId="13" xfId="0" applyBorder="1" applyProtection="1"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0" fillId="0" borderId="14" xfId="0" applyBorder="1" applyProtection="1">
      <protection hidden="1"/>
    </xf>
    <xf numFmtId="0" fontId="11" fillId="2" borderId="30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166" fontId="4" fillId="2" borderId="0" xfId="0" applyNumberFormat="1" applyFont="1" applyFill="1" applyAlignment="1">
      <alignment vertical="center" wrapText="1"/>
    </xf>
    <xf numFmtId="0" fontId="1" fillId="0" borderId="0" xfId="0" applyFont="1" applyProtection="1">
      <protection hidden="1"/>
    </xf>
    <xf numFmtId="0" fontId="0" fillId="0" borderId="45" xfId="0" applyBorder="1" applyProtection="1">
      <protection hidden="1"/>
    </xf>
    <xf numFmtId="0" fontId="17" fillId="2" borderId="2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Protection="1">
      <protection hidden="1"/>
    </xf>
    <xf numFmtId="0" fontId="24" fillId="2" borderId="2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11" xfId="0" applyBorder="1" applyProtection="1">
      <protection hidden="1"/>
    </xf>
    <xf numFmtId="49" fontId="8" fillId="0" borderId="4" xfId="0" applyNumberFormat="1" applyFont="1" applyBorder="1" applyAlignment="1">
      <alignment horizontal="center" vertical="center"/>
    </xf>
    <xf numFmtId="0" fontId="0" fillId="0" borderId="7" xfId="0" applyBorder="1"/>
    <xf numFmtId="2" fontId="19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12" fillId="3" borderId="4" xfId="0" applyFont="1" applyFill="1" applyBorder="1" applyAlignment="1" applyProtection="1">
      <alignment horizontal="center" vertical="top" wrapText="1"/>
      <protection locked="0"/>
    </xf>
    <xf numFmtId="0" fontId="0" fillId="0" borderId="5" xfId="0" applyBorder="1" applyProtection="1">
      <protection locked="0"/>
    </xf>
    <xf numFmtId="0" fontId="0" fillId="0" borderId="7" xfId="0" applyBorder="1" applyProtection="1">
      <protection locked="0"/>
    </xf>
    <xf numFmtId="2" fontId="12" fillId="3" borderId="6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7" xfId="0" applyBorder="1" applyProtection="1">
      <protection locked="0" hidden="1"/>
    </xf>
    <xf numFmtId="0" fontId="0" fillId="0" borderId="18" xfId="0" applyBorder="1" applyProtection="1">
      <protection locked="0" hidden="1"/>
    </xf>
    <xf numFmtId="0" fontId="26" fillId="0" borderId="46" xfId="0" applyFont="1" applyBorder="1" applyAlignment="1">
      <alignment horizontal="left" vertical="center" wrapText="1"/>
    </xf>
    <xf numFmtId="0" fontId="4" fillId="2" borderId="0" xfId="39" applyFont="1" applyFill="1" applyAlignment="1">
      <alignment horizontal="center" vertical="center" wrapText="1"/>
    </xf>
    <xf numFmtId="2" fontId="11" fillId="3" borderId="2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1" xfId="0" applyBorder="1" applyProtection="1">
      <protection locked="0" hidden="1"/>
    </xf>
    <xf numFmtId="0" fontId="0" fillId="0" borderId="5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0" xfId="0" applyBorder="1" applyProtection="1">
      <protection hidden="1"/>
    </xf>
    <xf numFmtId="170" fontId="8" fillId="3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18" xfId="0" applyBorder="1" applyProtection="1">
      <protection locked="0"/>
    </xf>
    <xf numFmtId="167" fontId="8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2" fontId="11" fillId="2" borderId="2" xfId="0" applyNumberFormat="1" applyFont="1" applyFill="1" applyBorder="1" applyAlignment="1" applyProtection="1">
      <alignment vertical="center" wrapText="1"/>
      <protection hidden="1"/>
    </xf>
    <xf numFmtId="167" fontId="8" fillId="3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18" fillId="2" borderId="2" xfId="0" applyFont="1" applyFill="1" applyBorder="1" applyAlignment="1" applyProtection="1">
      <alignment horizontal="center" vertical="center" wrapText="1"/>
      <protection hidden="1"/>
    </xf>
    <xf numFmtId="0" fontId="11" fillId="4" borderId="0" xfId="0" quotePrefix="1" applyFont="1" applyFill="1" applyAlignment="1" applyProtection="1">
      <alignment horizontal="center" vertical="center" wrapText="1"/>
      <protection locked="0" hidden="1"/>
    </xf>
    <xf numFmtId="0" fontId="11" fillId="4" borderId="0" xfId="0" applyFont="1" applyFill="1" applyAlignment="1" applyProtection="1">
      <alignment vertical="center" wrapText="1"/>
      <protection hidden="1"/>
    </xf>
    <xf numFmtId="0" fontId="25" fillId="0" borderId="12" xfId="0" applyFont="1" applyBorder="1" applyAlignment="1">
      <alignment horizontal="center" wrapText="1"/>
    </xf>
    <xf numFmtId="0" fontId="0" fillId="0" borderId="12" xfId="0" applyBorder="1"/>
    <xf numFmtId="2" fontId="11" fillId="2" borderId="2" xfId="0" applyNumberFormat="1" applyFont="1" applyFill="1" applyBorder="1" applyAlignment="1" applyProtection="1">
      <alignment horizontal="left" vertical="center" wrapText="1"/>
      <protection hidden="1"/>
    </xf>
    <xf numFmtId="49" fontId="8" fillId="3" borderId="2" xfId="0" applyNumberFormat="1" applyFont="1" applyFill="1" applyBorder="1" applyAlignment="1" applyProtection="1">
      <alignment horizontal="center" vertical="center"/>
      <protection locked="0"/>
    </xf>
    <xf numFmtId="0" fontId="24" fillId="0" borderId="14" xfId="0" applyFont="1" applyBorder="1" applyAlignment="1" applyProtection="1">
      <alignment horizontal="right" vertical="center" wrapText="1"/>
      <protection hidden="1"/>
    </xf>
    <xf numFmtId="0" fontId="24" fillId="0" borderId="14" xfId="0" applyFont="1" applyBorder="1" applyAlignment="1" applyProtection="1">
      <alignment horizontal="center" vertical="center"/>
      <protection hidden="1"/>
    </xf>
    <xf numFmtId="167" fontId="8" fillId="3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2" fontId="15" fillId="2" borderId="2" xfId="0" applyNumberFormat="1" applyFont="1" applyFill="1" applyBorder="1" applyAlignment="1" applyProtection="1">
      <alignment horizontal="left" vertical="center" wrapText="1"/>
      <protection hidden="1"/>
    </xf>
    <xf numFmtId="0" fontId="17" fillId="2" borderId="6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12" fillId="4" borderId="0" xfId="0" applyNumberFormat="1" applyFont="1" applyFill="1" applyAlignment="1" applyProtection="1">
      <alignment horizontal="left" vertical="center" wrapText="1"/>
      <protection hidden="1"/>
    </xf>
    <xf numFmtId="168" fontId="30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0" fontId="17" fillId="2" borderId="43" xfId="0" applyFont="1" applyFill="1" applyBorder="1" applyAlignment="1" applyProtection="1">
      <alignment horizontal="center" vertical="center" wrapText="1"/>
      <protection hidden="1"/>
    </xf>
    <xf numFmtId="0" fontId="0" fillId="0" borderId="21" xfId="0" applyBorder="1" applyProtection="1">
      <protection hidden="1"/>
    </xf>
    <xf numFmtId="0" fontId="0" fillId="0" borderId="29" xfId="0" applyBorder="1" applyProtection="1">
      <protection locked="0" hidden="1"/>
    </xf>
    <xf numFmtId="0" fontId="12" fillId="3" borderId="2" xfId="0" applyFont="1" applyFill="1" applyBorder="1" applyAlignment="1" applyProtection="1">
      <alignment horizontal="left" vertical="top" wrapText="1"/>
      <protection locked="0"/>
    </xf>
    <xf numFmtId="0" fontId="0" fillId="0" borderId="29" xfId="0" applyBorder="1" applyProtection="1">
      <protection locked="0"/>
    </xf>
    <xf numFmtId="167" fontId="8" fillId="3" borderId="6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 wrapText="1"/>
      <protection locked="0"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25" xfId="0" applyBorder="1" applyProtection="1">
      <protection hidden="1"/>
    </xf>
    <xf numFmtId="2" fontId="11" fillId="2" borderId="2" xfId="0" applyNumberFormat="1" applyFont="1" applyFill="1" applyBorder="1" applyAlignment="1" applyProtection="1">
      <alignment horizontal="center" vertical="center" wrapText="1"/>
      <protection hidden="1"/>
    </xf>
    <xf numFmtId="170" fontId="8" fillId="3" borderId="2" xfId="0" applyNumberFormat="1" applyFont="1" applyFill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>
      <alignment horizontal="center" vertical="center"/>
    </xf>
    <xf numFmtId="0" fontId="33" fillId="2" borderId="2" xfId="0" applyFont="1" applyFill="1" applyBorder="1" applyAlignment="1" applyProtection="1">
      <alignment horizontal="center" vertical="center" wrapText="1"/>
      <protection hidden="1"/>
    </xf>
    <xf numFmtId="0" fontId="17" fillId="2" borderId="2" xfId="39" applyFont="1" applyFill="1" applyBorder="1" applyAlignment="1" applyProtection="1">
      <alignment horizontal="center" vertical="center" wrapText="1"/>
      <protection locked="0" hidden="1"/>
    </xf>
    <xf numFmtId="0" fontId="0" fillId="0" borderId="8" xfId="0" applyBorder="1" applyProtection="1">
      <protection locked="0" hidden="1"/>
    </xf>
    <xf numFmtId="2" fontId="11" fillId="2" borderId="6" xfId="0" applyNumberFormat="1" applyFont="1" applyFill="1" applyBorder="1" applyAlignment="1" applyProtection="1">
      <alignment vertical="center" wrapText="1"/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5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6" workbookViewId="0">
      <selection activeCell="AA511" sqref="AA511"/>
    </sheetView>
  </sheetViews>
  <sheetFormatPr defaultColWidth="9.140625" defaultRowHeight="12.75" x14ac:dyDescent="0.2"/>
  <cols>
    <col min="1" max="1" width="9.140625" style="68" customWidth="1"/>
    <col min="2" max="2" width="10.85546875" style="69" customWidth="1"/>
    <col min="3" max="3" width="12.5703125" style="69" customWidth="1"/>
    <col min="4" max="4" width="6.42578125" style="69" customWidth="1"/>
    <col min="5" max="5" width="6.85546875" style="69" customWidth="1"/>
    <col min="6" max="6" width="8.42578125" style="69" customWidth="1"/>
    <col min="7" max="7" width="9.42578125" style="69" customWidth="1"/>
    <col min="8" max="8" width="11.85546875" style="69" customWidth="1"/>
    <col min="9" max="9" width="9.42578125" style="69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69" customWidth="1"/>
    <col min="16" max="16" width="7.42578125" style="3" customWidth="1"/>
    <col min="17" max="17" width="15.5703125" style="3" customWidth="1"/>
    <col min="18" max="18" width="8.140625" style="68" customWidth="1"/>
    <col min="19" max="19" width="6.140625" style="68" customWidth="1"/>
    <col min="20" max="20" width="10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68" customWidth="1"/>
    <col min="25" max="25" width="11" style="68" customWidth="1"/>
    <col min="26" max="26" width="10" style="68" customWidth="1"/>
    <col min="27" max="27" width="11.5703125" style="68" customWidth="1"/>
    <col min="28" max="28" width="10.42578125" style="68" customWidth="1"/>
    <col min="29" max="29" width="30" style="68" customWidth="1"/>
    <col min="30" max="30" width="11.42578125" style="5" customWidth="1"/>
    <col min="31" max="31" width="9.140625" style="5" customWidth="1"/>
    <col min="32" max="32" width="8.85546875" style="5" customWidth="1"/>
    <col min="33" max="33" width="13.5703125" style="68" customWidth="1"/>
    <col min="34" max="34" width="9.140625" style="68" customWidth="1"/>
    <col min="35" max="16384" width="9.140625" style="68"/>
  </cols>
  <sheetData>
    <row r="1" spans="1:32" s="64" customFormat="1" ht="45" customHeight="1" x14ac:dyDescent="0.2">
      <c r="A1" s="6"/>
      <c r="B1" s="6"/>
      <c r="C1" s="6"/>
      <c r="D1" s="124" t="s">
        <v>0</v>
      </c>
      <c r="E1" s="106"/>
      <c r="F1" s="106"/>
      <c r="G1" s="7" t="s">
        <v>1</v>
      </c>
      <c r="H1" s="124" t="s">
        <v>2</v>
      </c>
      <c r="I1" s="106"/>
      <c r="J1" s="106"/>
      <c r="K1" s="106"/>
      <c r="L1" s="106"/>
      <c r="M1" s="106"/>
      <c r="N1" s="106"/>
      <c r="O1" s="106"/>
      <c r="P1" s="106"/>
      <c r="Q1" s="106"/>
      <c r="R1" s="105" t="s">
        <v>3</v>
      </c>
      <c r="S1" s="106"/>
      <c r="T1" s="106"/>
      <c r="U1" s="70"/>
      <c r="V1" s="70"/>
      <c r="W1" s="70"/>
      <c r="X1" s="70"/>
      <c r="Y1" s="70"/>
      <c r="Z1" s="70"/>
      <c r="AA1" s="70"/>
      <c r="AB1" s="71"/>
      <c r="AC1" s="71"/>
      <c r="AD1" s="71"/>
      <c r="AE1" s="71"/>
      <c r="AF1" s="71"/>
    </row>
    <row r="2" spans="1:32" s="64" customFormat="1" ht="16.5" customHeight="1" x14ac:dyDescent="0.2">
      <c r="A2" s="8" t="s">
        <v>4</v>
      </c>
      <c r="B2" s="9" t="s">
        <v>5</v>
      </c>
      <c r="C2" s="10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0"/>
      <c r="R2" s="90"/>
      <c r="S2" s="90"/>
      <c r="T2" s="90"/>
      <c r="U2" s="90"/>
      <c r="V2" s="90"/>
      <c r="W2" s="90"/>
      <c r="X2" s="36"/>
      <c r="Y2" s="36"/>
      <c r="Z2" s="36"/>
      <c r="AA2" s="36"/>
      <c r="AB2" s="50"/>
      <c r="AC2" s="50"/>
      <c r="AD2" s="50"/>
      <c r="AE2" s="50"/>
    </row>
    <row r="3" spans="1:32" s="64" customFormat="1" ht="11.25" customHeight="1" x14ac:dyDescent="0.2">
      <c r="A3" s="12"/>
      <c r="B3" s="13" t="s">
        <v>6</v>
      </c>
      <c r="C3" s="14"/>
      <c r="D3" s="14"/>
      <c r="E3" s="15"/>
      <c r="F3" s="16" t="s">
        <v>7</v>
      </c>
      <c r="G3" s="11"/>
      <c r="H3" s="11"/>
      <c r="I3" s="11"/>
      <c r="J3" s="16"/>
      <c r="K3" s="16"/>
      <c r="L3" s="16"/>
      <c r="M3" s="11"/>
      <c r="N3" s="11"/>
      <c r="O3" s="11"/>
      <c r="P3" s="90"/>
      <c r="Q3" s="90"/>
      <c r="R3" s="90"/>
      <c r="S3" s="90"/>
      <c r="T3" s="90"/>
      <c r="U3" s="90"/>
      <c r="V3" s="90"/>
      <c r="W3" s="90"/>
      <c r="X3" s="36"/>
      <c r="Y3" s="36"/>
      <c r="Z3" s="36"/>
      <c r="AA3" s="36"/>
      <c r="AB3" s="50"/>
      <c r="AC3" s="50"/>
      <c r="AD3" s="50"/>
      <c r="AE3" s="50"/>
    </row>
    <row r="4" spans="1:32" s="64" customFormat="1" ht="9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37"/>
      <c r="R4" s="37"/>
      <c r="S4" s="37"/>
      <c r="T4" s="37"/>
      <c r="U4" s="37"/>
      <c r="V4" s="38"/>
      <c r="W4" s="39"/>
      <c r="X4" s="39"/>
      <c r="Y4" s="39"/>
      <c r="Z4" s="39"/>
      <c r="AA4" s="39"/>
      <c r="AB4" s="50"/>
      <c r="AC4" s="50"/>
      <c r="AD4" s="50"/>
      <c r="AE4" s="50"/>
    </row>
    <row r="5" spans="1:32" s="64" customFormat="1" ht="23.45" customHeight="1" x14ac:dyDescent="0.2">
      <c r="A5" s="136" t="s">
        <v>8</v>
      </c>
      <c r="B5" s="111"/>
      <c r="C5" s="112"/>
      <c r="D5" s="125"/>
      <c r="E5" s="126"/>
      <c r="F5" s="172" t="s">
        <v>9</v>
      </c>
      <c r="G5" s="112"/>
      <c r="H5" s="125"/>
      <c r="I5" s="161"/>
      <c r="J5" s="161"/>
      <c r="K5" s="161"/>
      <c r="L5" s="161"/>
      <c r="M5" s="126"/>
      <c r="N5" s="27"/>
      <c r="P5" s="28" t="s">
        <v>10</v>
      </c>
      <c r="Q5" s="173">
        <v>45862</v>
      </c>
      <c r="R5" s="135"/>
      <c r="T5" s="146" t="s">
        <v>11</v>
      </c>
      <c r="U5" s="102"/>
      <c r="V5" s="145" t="s">
        <v>12</v>
      </c>
      <c r="W5" s="135"/>
      <c r="AB5" s="50"/>
      <c r="AC5" s="50"/>
      <c r="AD5" s="50"/>
      <c r="AE5" s="50"/>
    </row>
    <row r="6" spans="1:32" s="64" customFormat="1" ht="24" customHeight="1" x14ac:dyDescent="0.2">
      <c r="A6" s="136" t="s">
        <v>13</v>
      </c>
      <c r="B6" s="111"/>
      <c r="C6" s="112"/>
      <c r="D6" s="162" t="s">
        <v>14</v>
      </c>
      <c r="E6" s="163"/>
      <c r="F6" s="163"/>
      <c r="G6" s="163"/>
      <c r="H6" s="163"/>
      <c r="I6" s="163"/>
      <c r="J6" s="163"/>
      <c r="K6" s="163"/>
      <c r="L6" s="163"/>
      <c r="M6" s="135"/>
      <c r="N6" s="29"/>
      <c r="P6" s="28" t="s">
        <v>15</v>
      </c>
      <c r="Q6" s="174" t="str">
        <f>IF(Q5=0," ",CHOOSE(WEEKDAY(Q5,2),"Понедельник","Вторник","Среда","Четверг","Пятница","Суббота","Воскресенье"))</f>
        <v>Четверг</v>
      </c>
      <c r="R6" s="87"/>
      <c r="T6" s="147" t="s">
        <v>16</v>
      </c>
      <c r="U6" s="102"/>
      <c r="V6" s="154" t="s">
        <v>17</v>
      </c>
      <c r="W6" s="114"/>
      <c r="AB6" s="50"/>
      <c r="AC6" s="50"/>
      <c r="AD6" s="50"/>
      <c r="AE6" s="50"/>
    </row>
    <row r="7" spans="1:32" s="64" customFormat="1" ht="21.75" hidden="1" customHeight="1" x14ac:dyDescent="0.2">
      <c r="A7" s="18"/>
      <c r="B7" s="18"/>
      <c r="C7" s="18"/>
      <c r="D7" s="117" t="str">
        <f>IFERROR(VLOOKUP(DeliveryAddress,Table,3,0),1)</f>
        <v>1</v>
      </c>
      <c r="E7" s="118"/>
      <c r="F7" s="118"/>
      <c r="G7" s="118"/>
      <c r="H7" s="118"/>
      <c r="I7" s="118"/>
      <c r="J7" s="118"/>
      <c r="K7" s="118"/>
      <c r="L7" s="118"/>
      <c r="M7" s="119"/>
      <c r="N7" s="30"/>
      <c r="P7" s="28"/>
      <c r="Q7" s="40"/>
      <c r="R7" s="40"/>
      <c r="T7" s="90"/>
      <c r="U7" s="102"/>
      <c r="V7" s="155"/>
      <c r="W7" s="156"/>
      <c r="AB7" s="50"/>
      <c r="AC7" s="50"/>
      <c r="AD7" s="50"/>
      <c r="AE7" s="50"/>
    </row>
    <row r="8" spans="1:32" s="64" customFormat="1" ht="25.5" customHeight="1" x14ac:dyDescent="0.2">
      <c r="A8" s="178" t="s">
        <v>18</v>
      </c>
      <c r="B8" s="92"/>
      <c r="C8" s="93"/>
      <c r="D8" s="120" t="s">
        <v>19</v>
      </c>
      <c r="E8" s="121"/>
      <c r="F8" s="121"/>
      <c r="G8" s="121"/>
      <c r="H8" s="121"/>
      <c r="I8" s="121"/>
      <c r="J8" s="121"/>
      <c r="K8" s="121"/>
      <c r="L8" s="121"/>
      <c r="M8" s="122"/>
      <c r="N8" s="31"/>
      <c r="P8" s="28" t="s">
        <v>20</v>
      </c>
      <c r="Q8" s="137">
        <v>0.41666666666666669</v>
      </c>
      <c r="R8" s="119"/>
      <c r="T8" s="90"/>
      <c r="U8" s="102"/>
      <c r="V8" s="155"/>
      <c r="W8" s="156"/>
      <c r="AB8" s="50"/>
      <c r="AC8" s="50"/>
      <c r="AD8" s="50"/>
      <c r="AE8" s="50"/>
    </row>
    <row r="9" spans="1:32" s="64" customFormat="1" ht="39.950000000000003" customHeight="1" x14ac:dyDescent="0.2">
      <c r="A9" s="1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0"/>
      <c r="C9" s="90"/>
      <c r="D9" s="140"/>
      <c r="E9" s="96"/>
      <c r="F9" s="1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"/>
      <c r="H9" s="95" t="str">
        <f>IF(AND($A$9="Тип доверенности/получателя при получении в адресе перегруза:",$D$9="Разовая доверенность"),"Введите ФИО","")</f>
        <v/>
      </c>
      <c r="I9" s="96"/>
      <c r="J9" s="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6"/>
      <c r="L9" s="96"/>
      <c r="M9" s="96"/>
      <c r="N9" s="62"/>
      <c r="P9" s="32" t="s">
        <v>21</v>
      </c>
      <c r="Q9" s="132"/>
      <c r="R9" s="133"/>
      <c r="T9" s="90"/>
      <c r="U9" s="102"/>
      <c r="V9" s="157"/>
      <c r="W9" s="158"/>
      <c r="X9" s="41"/>
      <c r="Y9" s="41"/>
      <c r="Z9" s="41"/>
      <c r="AA9" s="41"/>
      <c r="AB9" s="50"/>
      <c r="AC9" s="50"/>
      <c r="AD9" s="50"/>
      <c r="AE9" s="50"/>
    </row>
    <row r="10" spans="1:32" s="64" customFormat="1" ht="26.45" customHeight="1" x14ac:dyDescent="0.2">
      <c r="A10" s="1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"/>
      <c r="C10" s="90"/>
      <c r="D10" s="166"/>
      <c r="E10" s="96"/>
      <c r="F10" s="1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"/>
      <c r="H10" s="153" t="str">
        <f>IFERROR(VLOOKUP($D$10,Proxy,2,FALSE),"")</f>
        <v/>
      </c>
      <c r="I10" s="90"/>
      <c r="J10" s="90"/>
      <c r="K10" s="90"/>
      <c r="L10" s="90"/>
      <c r="M10" s="90"/>
      <c r="N10" s="63"/>
      <c r="P10" s="32" t="s">
        <v>22</v>
      </c>
      <c r="Q10" s="148"/>
      <c r="R10" s="149"/>
      <c r="U10" s="28" t="s">
        <v>23</v>
      </c>
      <c r="V10" s="113" t="s">
        <v>24</v>
      </c>
      <c r="W10" s="114"/>
      <c r="X10" s="42"/>
      <c r="Y10" s="42"/>
      <c r="Z10" s="42"/>
      <c r="AA10" s="42"/>
      <c r="AB10" s="50"/>
      <c r="AC10" s="50"/>
      <c r="AD10" s="50"/>
      <c r="AE10" s="50"/>
    </row>
    <row r="11" spans="1:32" s="64" customFormat="1" ht="15.95" customHeight="1" x14ac:dyDescent="0.2">
      <c r="A11" s="19" t="s">
        <v>25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P11" s="32" t="s">
        <v>26</v>
      </c>
      <c r="Q11" s="134"/>
      <c r="R11" s="135"/>
      <c r="U11" s="28" t="s">
        <v>27</v>
      </c>
      <c r="V11" s="164" t="s">
        <v>28</v>
      </c>
      <c r="W11" s="133"/>
      <c r="X11" s="72"/>
      <c r="Y11" s="72"/>
      <c r="Z11" s="72"/>
      <c r="AA11" s="72"/>
      <c r="AB11" s="50"/>
      <c r="AC11" s="50"/>
      <c r="AD11" s="50"/>
      <c r="AE11" s="50"/>
    </row>
    <row r="12" spans="1:32" s="64" customFormat="1" ht="18.600000000000001" customHeight="1" x14ac:dyDescent="0.2">
      <c r="A12" s="144" t="s">
        <v>29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2"/>
      <c r="N12" s="33"/>
      <c r="P12" s="28" t="s">
        <v>30</v>
      </c>
      <c r="Q12" s="137"/>
      <c r="R12" s="119"/>
      <c r="S12" s="43"/>
      <c r="U12" s="28"/>
      <c r="V12" s="106"/>
      <c r="W12" s="90"/>
      <c r="AB12" s="50"/>
      <c r="AC12" s="50"/>
      <c r="AD12" s="50"/>
      <c r="AE12" s="50"/>
    </row>
    <row r="13" spans="1:32" s="64" customFormat="1" ht="23.25" customHeight="1" x14ac:dyDescent="0.2">
      <c r="A13" s="144" t="s">
        <v>31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2"/>
      <c r="N13" s="33"/>
      <c r="O13" s="32"/>
      <c r="P13" s="32" t="s">
        <v>32</v>
      </c>
      <c r="Q13" s="164"/>
      <c r="R13" s="133"/>
      <c r="S13" s="43"/>
      <c r="X13" s="44"/>
      <c r="Y13" s="44"/>
      <c r="Z13" s="44"/>
      <c r="AA13" s="44"/>
      <c r="AB13" s="50"/>
      <c r="AC13" s="50"/>
      <c r="AD13" s="50"/>
      <c r="AE13" s="50"/>
    </row>
    <row r="14" spans="1:32" s="64" customFormat="1" ht="18.600000000000001" customHeight="1" x14ac:dyDescent="0.2">
      <c r="A14" s="144" t="s">
        <v>33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2"/>
      <c r="N14" s="33"/>
      <c r="X14" s="73"/>
      <c r="Y14" s="73"/>
      <c r="Z14" s="73"/>
      <c r="AA14" s="73"/>
      <c r="AB14" s="50"/>
      <c r="AC14" s="50"/>
      <c r="AD14" s="50"/>
      <c r="AE14" s="50"/>
    </row>
    <row r="15" spans="1:32" s="64" customFormat="1" ht="22.5" customHeight="1" x14ac:dyDescent="0.2">
      <c r="A15" s="150" t="s">
        <v>34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2"/>
      <c r="N15" s="34"/>
      <c r="P15" s="142" t="s">
        <v>35</v>
      </c>
      <c r="Q15" s="106"/>
      <c r="R15" s="106"/>
      <c r="S15" s="106"/>
      <c r="T15" s="106"/>
      <c r="AB15" s="50"/>
      <c r="AC15" s="50"/>
      <c r="AD15" s="50"/>
      <c r="AE15" s="50"/>
    </row>
    <row r="16" spans="1:32" ht="18.75" customHeight="1" x14ac:dyDescent="0.2">
      <c r="B16" s="21"/>
      <c r="C16" s="21"/>
      <c r="D16" s="22"/>
      <c r="E16" s="22"/>
      <c r="F16" s="22"/>
      <c r="G16" s="22"/>
      <c r="H16" s="23"/>
      <c r="I16" s="23"/>
      <c r="J16" s="23"/>
      <c r="K16" s="23"/>
      <c r="L16" s="23"/>
      <c r="M16" s="23"/>
      <c r="N16" s="23"/>
      <c r="O16" s="23"/>
      <c r="P16" s="143"/>
      <c r="Q16" s="143"/>
      <c r="R16" s="143"/>
      <c r="S16" s="143"/>
      <c r="T16" s="143"/>
      <c r="U16" s="23"/>
      <c r="V16" s="23"/>
      <c r="W16" s="45"/>
      <c r="X16" s="74"/>
      <c r="Y16" s="74"/>
      <c r="Z16" s="74"/>
      <c r="AA16" s="74"/>
      <c r="AB16" s="74"/>
      <c r="AC16" s="74"/>
    </row>
    <row r="17" spans="1:68" ht="27.75" customHeight="1" x14ac:dyDescent="0.2">
      <c r="A17" s="108" t="s">
        <v>36</v>
      </c>
      <c r="B17" s="108" t="s">
        <v>37</v>
      </c>
      <c r="C17" s="139" t="s">
        <v>38</v>
      </c>
      <c r="D17" s="108" t="s">
        <v>39</v>
      </c>
      <c r="E17" s="128"/>
      <c r="F17" s="108" t="s">
        <v>40</v>
      </c>
      <c r="G17" s="108" t="s">
        <v>41</v>
      </c>
      <c r="H17" s="108" t="s">
        <v>42</v>
      </c>
      <c r="I17" s="108" t="s">
        <v>43</v>
      </c>
      <c r="J17" s="108" t="s">
        <v>44</v>
      </c>
      <c r="K17" s="108" t="s">
        <v>45</v>
      </c>
      <c r="L17" s="108" t="s">
        <v>46</v>
      </c>
      <c r="M17" s="108" t="s">
        <v>47</v>
      </c>
      <c r="N17" s="108" t="s">
        <v>48</v>
      </c>
      <c r="O17" s="108" t="s">
        <v>49</v>
      </c>
      <c r="P17" s="108" t="s">
        <v>50</v>
      </c>
      <c r="Q17" s="127"/>
      <c r="R17" s="127"/>
      <c r="S17" s="127"/>
      <c r="T17" s="128"/>
      <c r="U17" s="175" t="s">
        <v>51</v>
      </c>
      <c r="V17" s="112"/>
      <c r="W17" s="108" t="s">
        <v>52</v>
      </c>
      <c r="X17" s="108" t="s">
        <v>53</v>
      </c>
      <c r="Y17" s="176" t="s">
        <v>54</v>
      </c>
      <c r="Z17" s="159" t="s">
        <v>55</v>
      </c>
      <c r="AA17" s="151" t="s">
        <v>56</v>
      </c>
      <c r="AB17" s="151" t="s">
        <v>57</v>
      </c>
      <c r="AC17" s="151" t="s">
        <v>58</v>
      </c>
      <c r="AD17" s="151" t="s">
        <v>59</v>
      </c>
      <c r="AE17" s="167"/>
      <c r="AF17" s="168"/>
      <c r="AG17" s="56"/>
      <c r="BD17" s="58" t="s">
        <v>60</v>
      </c>
    </row>
    <row r="18" spans="1:68" ht="14.25" customHeight="1" x14ac:dyDescent="0.2">
      <c r="A18" s="109"/>
      <c r="B18" s="109"/>
      <c r="C18" s="109"/>
      <c r="D18" s="129"/>
      <c r="E18" s="131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29"/>
      <c r="Q18" s="130"/>
      <c r="R18" s="130"/>
      <c r="S18" s="130"/>
      <c r="T18" s="131"/>
      <c r="U18" s="46" t="s">
        <v>61</v>
      </c>
      <c r="V18" s="46" t="s">
        <v>62</v>
      </c>
      <c r="W18" s="109"/>
      <c r="X18" s="109"/>
      <c r="Y18" s="177"/>
      <c r="Z18" s="160"/>
      <c r="AA18" s="152"/>
      <c r="AB18" s="152"/>
      <c r="AC18" s="152"/>
      <c r="AD18" s="169"/>
      <c r="AE18" s="170"/>
      <c r="AF18" s="171"/>
      <c r="AG18" s="56"/>
      <c r="BD18" s="58"/>
    </row>
    <row r="19" spans="1:68" ht="27.75" customHeight="1" x14ac:dyDescent="0.2">
      <c r="A19" s="115" t="s">
        <v>63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51"/>
      <c r="AB19" s="51"/>
      <c r="AC19" s="51"/>
    </row>
    <row r="20" spans="1:68" ht="16.5" customHeight="1" x14ac:dyDescent="0.25">
      <c r="A20" s="94" t="s">
        <v>63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65"/>
      <c r="AB20" s="65"/>
      <c r="AC20" s="65"/>
    </row>
    <row r="21" spans="1:68" ht="14.25" customHeight="1" x14ac:dyDescent="0.25">
      <c r="A21" s="89" t="s">
        <v>64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66"/>
      <c r="AB21" s="66"/>
      <c r="AC21" s="66"/>
    </row>
    <row r="22" spans="1:68" ht="27" customHeight="1" x14ac:dyDescent="0.25">
      <c r="A22" s="24" t="s">
        <v>65</v>
      </c>
      <c r="B22" s="24" t="s">
        <v>66</v>
      </c>
      <c r="C22" s="25">
        <v>4301031278</v>
      </c>
      <c r="D22" s="86">
        <v>4680115886643</v>
      </c>
      <c r="E22" s="87"/>
      <c r="F22" s="75">
        <v>0.19</v>
      </c>
      <c r="G22" s="26">
        <v>10</v>
      </c>
      <c r="H22" s="75">
        <v>1.9</v>
      </c>
      <c r="I22" s="75">
        <v>2</v>
      </c>
      <c r="J22" s="26">
        <v>234</v>
      </c>
      <c r="K22" s="26" t="s">
        <v>67</v>
      </c>
      <c r="L22" s="26"/>
      <c r="M22" s="35" t="s">
        <v>68</v>
      </c>
      <c r="N22" s="35"/>
      <c r="O22" s="26">
        <v>40</v>
      </c>
      <c r="P22" s="123" t="s">
        <v>69</v>
      </c>
      <c r="Q22" s="84"/>
      <c r="R22" s="84"/>
      <c r="S22" s="84"/>
      <c r="T22" s="85"/>
      <c r="U22" s="47"/>
      <c r="V22" s="47"/>
      <c r="W22" s="48" t="s">
        <v>70</v>
      </c>
      <c r="X22" s="76">
        <v>0</v>
      </c>
      <c r="Y22" s="77">
        <f>IFERROR(IF(X22="",0,CEILING((X22/$H22),1)*$H22),"")</f>
        <v>0</v>
      </c>
      <c r="Z22" s="52" t="str">
        <f>IFERROR(IF(Y22=0,"",ROUNDUP(Y22/H22,0)*0.00502),"")</f>
        <v/>
      </c>
      <c r="AA22" s="53"/>
      <c r="AB22" s="54"/>
      <c r="AC22" s="55" t="s">
        <v>71</v>
      </c>
      <c r="AG22" s="78"/>
      <c r="AJ22" s="57"/>
      <c r="AK22" s="57">
        <v>0</v>
      </c>
      <c r="BB22" s="59" t="s">
        <v>1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9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100"/>
      <c r="P23" s="91" t="s">
        <v>72</v>
      </c>
      <c r="Q23" s="92"/>
      <c r="R23" s="92"/>
      <c r="S23" s="92"/>
      <c r="T23" s="92"/>
      <c r="U23" s="92"/>
      <c r="V23" s="93"/>
      <c r="W23" s="49" t="s">
        <v>73</v>
      </c>
      <c r="X23" s="79">
        <f>IFERROR(X22/H22,"0")</f>
        <v>0</v>
      </c>
      <c r="Y23" s="79">
        <f>IFERROR(Y22/H22,"0")</f>
        <v>0</v>
      </c>
      <c r="Z23" s="79">
        <f>IFERROR(IF(Z22="",0,Z22),"0")</f>
        <v>0</v>
      </c>
      <c r="AA23" s="80"/>
      <c r="AB23" s="80"/>
      <c r="AC23" s="80"/>
    </row>
    <row r="24" spans="1:68" x14ac:dyDescent="0.2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100"/>
      <c r="P24" s="91" t="s">
        <v>72</v>
      </c>
      <c r="Q24" s="92"/>
      <c r="R24" s="92"/>
      <c r="S24" s="92"/>
      <c r="T24" s="92"/>
      <c r="U24" s="92"/>
      <c r="V24" s="93"/>
      <c r="W24" s="49" t="s">
        <v>70</v>
      </c>
      <c r="X24" s="79">
        <f>IFERROR(SUM(X22:X22),"0")</f>
        <v>0</v>
      </c>
      <c r="Y24" s="79">
        <f>IFERROR(SUM(Y22:Y22),"0")</f>
        <v>0</v>
      </c>
      <c r="Z24" s="49"/>
      <c r="AA24" s="80"/>
      <c r="AB24" s="80"/>
      <c r="AC24" s="80"/>
    </row>
    <row r="25" spans="1:68" ht="14.25" customHeight="1" x14ac:dyDescent="0.25">
      <c r="A25" s="89" t="s">
        <v>74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66"/>
      <c r="AB25" s="66"/>
      <c r="AC25" s="66"/>
    </row>
    <row r="26" spans="1:68" ht="27" customHeight="1" x14ac:dyDescent="0.25">
      <c r="A26" s="24" t="s">
        <v>75</v>
      </c>
      <c r="B26" s="24" t="s">
        <v>76</v>
      </c>
      <c r="C26" s="25">
        <v>4301051866</v>
      </c>
      <c r="D26" s="86">
        <v>4680115885912</v>
      </c>
      <c r="E26" s="87"/>
      <c r="F26" s="75">
        <v>0.3</v>
      </c>
      <c r="G26" s="26">
        <v>6</v>
      </c>
      <c r="H26" s="75">
        <v>1.8</v>
      </c>
      <c r="I26" s="75">
        <v>3.18</v>
      </c>
      <c r="J26" s="26">
        <v>182</v>
      </c>
      <c r="K26" s="26" t="s">
        <v>77</v>
      </c>
      <c r="L26" s="26"/>
      <c r="M26" s="35" t="s">
        <v>78</v>
      </c>
      <c r="N26" s="35"/>
      <c r="O26" s="26">
        <v>40</v>
      </c>
      <c r="P26" s="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4"/>
      <c r="R26" s="84"/>
      <c r="S26" s="84"/>
      <c r="T26" s="85"/>
      <c r="U26" s="47"/>
      <c r="V26" s="47"/>
      <c r="W26" s="48" t="s">
        <v>70</v>
      </c>
      <c r="X26" s="76">
        <v>0</v>
      </c>
      <c r="Y26" s="77">
        <f t="shared" ref="Y26:Y31" si="0">IFERROR(IF(X26="",0,CEILING((X26/$H26),1)*$H26),"")</f>
        <v>0</v>
      </c>
      <c r="Z26" s="52" t="str">
        <f t="shared" ref="Z26:Z31" si="1">IFERROR(IF(Y26=0,"",ROUNDUP(Y26/H26,0)*0.00651),"")</f>
        <v/>
      </c>
      <c r="AA26" s="53"/>
      <c r="AB26" s="54"/>
      <c r="AC26" s="55" t="s">
        <v>79</v>
      </c>
      <c r="AG26" s="78"/>
      <c r="AJ26" s="57"/>
      <c r="AK26" s="57">
        <v>0</v>
      </c>
      <c r="BB26" s="59" t="s">
        <v>1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24" t="s">
        <v>80</v>
      </c>
      <c r="B27" s="24" t="s">
        <v>81</v>
      </c>
      <c r="C27" s="25">
        <v>4301051556</v>
      </c>
      <c r="D27" s="86">
        <v>4607091388237</v>
      </c>
      <c r="E27" s="87"/>
      <c r="F27" s="75">
        <v>0.42</v>
      </c>
      <c r="G27" s="26">
        <v>6</v>
      </c>
      <c r="H27" s="75">
        <v>2.52</v>
      </c>
      <c r="I27" s="75">
        <v>2.766</v>
      </c>
      <c r="J27" s="26">
        <v>182</v>
      </c>
      <c r="K27" s="26" t="s">
        <v>77</v>
      </c>
      <c r="L27" s="26"/>
      <c r="M27" s="35" t="s">
        <v>78</v>
      </c>
      <c r="N27" s="35"/>
      <c r="O27" s="26">
        <v>40</v>
      </c>
      <c r="P27" s="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4"/>
      <c r="R27" s="84"/>
      <c r="S27" s="84"/>
      <c r="T27" s="85"/>
      <c r="U27" s="47"/>
      <c r="V27" s="47"/>
      <c r="W27" s="48" t="s">
        <v>70</v>
      </c>
      <c r="X27" s="76">
        <v>0</v>
      </c>
      <c r="Y27" s="77">
        <f t="shared" si="0"/>
        <v>0</v>
      </c>
      <c r="Z27" s="52" t="str">
        <f t="shared" si="1"/>
        <v/>
      </c>
      <c r="AA27" s="53"/>
      <c r="AB27" s="54"/>
      <c r="AC27" s="55" t="s">
        <v>79</v>
      </c>
      <c r="AG27" s="78"/>
      <c r="AJ27" s="57"/>
      <c r="AK27" s="57">
        <v>0</v>
      </c>
      <c r="BB27" s="59" t="s">
        <v>1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24" t="s">
        <v>82</v>
      </c>
      <c r="B28" s="24" t="s">
        <v>83</v>
      </c>
      <c r="C28" s="25">
        <v>4301051907</v>
      </c>
      <c r="D28" s="86">
        <v>4680115886230</v>
      </c>
      <c r="E28" s="87"/>
      <c r="F28" s="75">
        <v>0.3</v>
      </c>
      <c r="G28" s="26">
        <v>6</v>
      </c>
      <c r="H28" s="75">
        <v>1.8</v>
      </c>
      <c r="I28" s="75">
        <v>2.0459999999999998</v>
      </c>
      <c r="J28" s="26">
        <v>182</v>
      </c>
      <c r="K28" s="26" t="s">
        <v>77</v>
      </c>
      <c r="L28" s="26"/>
      <c r="M28" s="35" t="s">
        <v>68</v>
      </c>
      <c r="N28" s="35"/>
      <c r="O28" s="26">
        <v>40</v>
      </c>
      <c r="P28" s="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84"/>
      <c r="R28" s="84"/>
      <c r="S28" s="84"/>
      <c r="T28" s="85"/>
      <c r="U28" s="47"/>
      <c r="V28" s="47"/>
      <c r="W28" s="48" t="s">
        <v>70</v>
      </c>
      <c r="X28" s="76">
        <v>0</v>
      </c>
      <c r="Y28" s="77">
        <f t="shared" si="0"/>
        <v>0</v>
      </c>
      <c r="Z28" s="52" t="str">
        <f t="shared" si="1"/>
        <v/>
      </c>
      <c r="AA28" s="53"/>
      <c r="AB28" s="54"/>
      <c r="AC28" s="55" t="s">
        <v>84</v>
      </c>
      <c r="AG28" s="78"/>
      <c r="AJ28" s="57"/>
      <c r="AK28" s="57">
        <v>0</v>
      </c>
      <c r="BB28" s="59" t="s">
        <v>1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24" t="s">
        <v>85</v>
      </c>
      <c r="B29" s="24" t="s">
        <v>86</v>
      </c>
      <c r="C29" s="25">
        <v>4301051909</v>
      </c>
      <c r="D29" s="86">
        <v>4680115886247</v>
      </c>
      <c r="E29" s="87"/>
      <c r="F29" s="75">
        <v>0.3</v>
      </c>
      <c r="G29" s="26">
        <v>6</v>
      </c>
      <c r="H29" s="75">
        <v>1.8</v>
      </c>
      <c r="I29" s="75">
        <v>2.0459999999999998</v>
      </c>
      <c r="J29" s="26">
        <v>182</v>
      </c>
      <c r="K29" s="26" t="s">
        <v>77</v>
      </c>
      <c r="L29" s="26"/>
      <c r="M29" s="35" t="s">
        <v>68</v>
      </c>
      <c r="N29" s="35"/>
      <c r="O29" s="26">
        <v>40</v>
      </c>
      <c r="P29" s="8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84"/>
      <c r="R29" s="84"/>
      <c r="S29" s="84"/>
      <c r="T29" s="85"/>
      <c r="U29" s="47"/>
      <c r="V29" s="47"/>
      <c r="W29" s="48" t="s">
        <v>70</v>
      </c>
      <c r="X29" s="76">
        <v>0</v>
      </c>
      <c r="Y29" s="77">
        <f t="shared" si="0"/>
        <v>0</v>
      </c>
      <c r="Z29" s="52" t="str">
        <f t="shared" si="1"/>
        <v/>
      </c>
      <c r="AA29" s="53"/>
      <c r="AB29" s="54"/>
      <c r="AC29" s="55" t="s">
        <v>87</v>
      </c>
      <c r="AG29" s="78"/>
      <c r="AJ29" s="57"/>
      <c r="AK29" s="57">
        <v>0</v>
      </c>
      <c r="BB29" s="59" t="s">
        <v>1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24" t="s">
        <v>88</v>
      </c>
      <c r="B30" s="24" t="s">
        <v>89</v>
      </c>
      <c r="C30" s="25">
        <v>4301051861</v>
      </c>
      <c r="D30" s="86">
        <v>4680115885905</v>
      </c>
      <c r="E30" s="87"/>
      <c r="F30" s="75">
        <v>0.3</v>
      </c>
      <c r="G30" s="26">
        <v>6</v>
      </c>
      <c r="H30" s="75">
        <v>1.8</v>
      </c>
      <c r="I30" s="75">
        <v>3.18</v>
      </c>
      <c r="J30" s="26">
        <v>182</v>
      </c>
      <c r="K30" s="26" t="s">
        <v>77</v>
      </c>
      <c r="L30" s="26"/>
      <c r="M30" s="35" t="s">
        <v>68</v>
      </c>
      <c r="N30" s="35"/>
      <c r="O30" s="26">
        <v>40</v>
      </c>
      <c r="P30" s="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84"/>
      <c r="R30" s="84"/>
      <c r="S30" s="84"/>
      <c r="T30" s="85"/>
      <c r="U30" s="47"/>
      <c r="V30" s="47"/>
      <c r="W30" s="48" t="s">
        <v>70</v>
      </c>
      <c r="X30" s="76">
        <v>0</v>
      </c>
      <c r="Y30" s="77">
        <f t="shared" si="0"/>
        <v>0</v>
      </c>
      <c r="Z30" s="52" t="str">
        <f t="shared" si="1"/>
        <v/>
      </c>
      <c r="AA30" s="53"/>
      <c r="AB30" s="54"/>
      <c r="AC30" s="55" t="s">
        <v>90</v>
      </c>
      <c r="AG30" s="78"/>
      <c r="AJ30" s="57"/>
      <c r="AK30" s="57">
        <v>0</v>
      </c>
      <c r="BB30" s="59" t="s">
        <v>1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24" t="s">
        <v>91</v>
      </c>
      <c r="B31" s="24" t="s">
        <v>92</v>
      </c>
      <c r="C31" s="25">
        <v>4301051595</v>
      </c>
      <c r="D31" s="86">
        <v>4607091388244</v>
      </c>
      <c r="E31" s="87"/>
      <c r="F31" s="75">
        <v>0.42</v>
      </c>
      <c r="G31" s="26">
        <v>6</v>
      </c>
      <c r="H31" s="75">
        <v>2.52</v>
      </c>
      <c r="I31" s="75">
        <v>2.766</v>
      </c>
      <c r="J31" s="26">
        <v>182</v>
      </c>
      <c r="K31" s="26" t="s">
        <v>77</v>
      </c>
      <c r="L31" s="26"/>
      <c r="M31" s="35" t="s">
        <v>93</v>
      </c>
      <c r="N31" s="35"/>
      <c r="O31" s="26">
        <v>40</v>
      </c>
      <c r="P31" s="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84"/>
      <c r="R31" s="84"/>
      <c r="S31" s="84"/>
      <c r="T31" s="85"/>
      <c r="U31" s="47"/>
      <c r="V31" s="47"/>
      <c r="W31" s="48" t="s">
        <v>70</v>
      </c>
      <c r="X31" s="76">
        <v>0</v>
      </c>
      <c r="Y31" s="77">
        <f t="shared" si="0"/>
        <v>0</v>
      </c>
      <c r="Z31" s="52" t="str">
        <f t="shared" si="1"/>
        <v/>
      </c>
      <c r="AA31" s="53"/>
      <c r="AB31" s="54"/>
      <c r="AC31" s="55" t="s">
        <v>94</v>
      </c>
      <c r="AG31" s="78"/>
      <c r="AJ31" s="57"/>
      <c r="AK31" s="57">
        <v>0</v>
      </c>
      <c r="BB31" s="59" t="s">
        <v>1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9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100"/>
      <c r="P32" s="91" t="s">
        <v>72</v>
      </c>
      <c r="Q32" s="92"/>
      <c r="R32" s="92"/>
      <c r="S32" s="92"/>
      <c r="T32" s="92"/>
      <c r="U32" s="92"/>
      <c r="V32" s="93"/>
      <c r="W32" s="49" t="s">
        <v>73</v>
      </c>
      <c r="X32" s="79">
        <f>IFERROR(X26/H26,"0")+IFERROR(X27/H27,"0")+IFERROR(X28/H28,"0")+IFERROR(X29/H29,"0")+IFERROR(X30/H30,"0")+IFERROR(X31/H31,"0")</f>
        <v>0</v>
      </c>
      <c r="Y32" s="79">
        <f>IFERROR(Y26/H26,"0")+IFERROR(Y27/H27,"0")+IFERROR(Y28/H28,"0")+IFERROR(Y29/H29,"0")+IFERROR(Y30/H30,"0")+IFERROR(Y31/H31,"0")</f>
        <v>0</v>
      </c>
      <c r="Z32" s="79">
        <f>IFERROR(IF(Z26="",0,Z26),"0")+IFERROR(IF(Z27="",0,Z27),"0")+IFERROR(IF(Z28="",0,Z28),"0")+IFERROR(IF(Z29="",0,Z29),"0")+IFERROR(IF(Z30="",0,Z30),"0")+IFERROR(IF(Z31="",0,Z31),"0")</f>
        <v>0</v>
      </c>
      <c r="AA32" s="80"/>
      <c r="AB32" s="80"/>
      <c r="AC32" s="80"/>
    </row>
    <row r="33" spans="1:68" x14ac:dyDescent="0.2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100"/>
      <c r="P33" s="91" t="s">
        <v>72</v>
      </c>
      <c r="Q33" s="92"/>
      <c r="R33" s="92"/>
      <c r="S33" s="92"/>
      <c r="T33" s="92"/>
      <c r="U33" s="92"/>
      <c r="V33" s="93"/>
      <c r="W33" s="49" t="s">
        <v>70</v>
      </c>
      <c r="X33" s="79">
        <f>IFERROR(SUM(X26:X31),"0")</f>
        <v>0</v>
      </c>
      <c r="Y33" s="79">
        <f>IFERROR(SUM(Y26:Y31),"0")</f>
        <v>0</v>
      </c>
      <c r="Z33" s="49"/>
      <c r="AA33" s="80"/>
      <c r="AB33" s="80"/>
      <c r="AC33" s="80"/>
    </row>
    <row r="34" spans="1:68" ht="14.25" customHeight="1" x14ac:dyDescent="0.25">
      <c r="A34" s="89" t="s">
        <v>95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66"/>
      <c r="AB34" s="66"/>
      <c r="AC34" s="66"/>
    </row>
    <row r="35" spans="1:68" ht="27" customHeight="1" x14ac:dyDescent="0.25">
      <c r="A35" s="24" t="s">
        <v>96</v>
      </c>
      <c r="B35" s="24" t="s">
        <v>97</v>
      </c>
      <c r="C35" s="25">
        <v>4301032013</v>
      </c>
      <c r="D35" s="86">
        <v>4607091388503</v>
      </c>
      <c r="E35" s="87"/>
      <c r="F35" s="75">
        <v>0.05</v>
      </c>
      <c r="G35" s="26">
        <v>12</v>
      </c>
      <c r="H35" s="75">
        <v>0.6</v>
      </c>
      <c r="I35" s="75">
        <v>0.82199999999999995</v>
      </c>
      <c r="J35" s="26">
        <v>182</v>
      </c>
      <c r="K35" s="26" t="s">
        <v>77</v>
      </c>
      <c r="L35" s="26"/>
      <c r="M35" s="35" t="s">
        <v>98</v>
      </c>
      <c r="N35" s="35"/>
      <c r="O35" s="26">
        <v>120</v>
      </c>
      <c r="P35" s="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84"/>
      <c r="R35" s="84"/>
      <c r="S35" s="84"/>
      <c r="T35" s="85"/>
      <c r="U35" s="47"/>
      <c r="V35" s="47"/>
      <c r="W35" s="48" t="s">
        <v>70</v>
      </c>
      <c r="X35" s="76">
        <v>0</v>
      </c>
      <c r="Y35" s="77">
        <f>IFERROR(IF(X35="",0,CEILING((X35/$H35),1)*$H35),"")</f>
        <v>0</v>
      </c>
      <c r="Z35" s="52" t="str">
        <f>IFERROR(IF(Y35=0,"",ROUNDUP(Y35/H35,0)*0.00651),"")</f>
        <v/>
      </c>
      <c r="AA35" s="53"/>
      <c r="AB35" s="54"/>
      <c r="AC35" s="55" t="s">
        <v>99</v>
      </c>
      <c r="AG35" s="78"/>
      <c r="AJ35" s="57"/>
      <c r="AK35" s="57">
        <v>0</v>
      </c>
      <c r="BB35" s="59" t="s">
        <v>100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99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100"/>
      <c r="P36" s="91" t="s">
        <v>72</v>
      </c>
      <c r="Q36" s="92"/>
      <c r="R36" s="92"/>
      <c r="S36" s="92"/>
      <c r="T36" s="92"/>
      <c r="U36" s="92"/>
      <c r="V36" s="93"/>
      <c r="W36" s="49" t="s">
        <v>73</v>
      </c>
      <c r="X36" s="79">
        <f>IFERROR(X35/H35,"0")</f>
        <v>0</v>
      </c>
      <c r="Y36" s="79">
        <f>IFERROR(Y35/H35,"0")</f>
        <v>0</v>
      </c>
      <c r="Z36" s="79">
        <f>IFERROR(IF(Z35="",0,Z35),"0")</f>
        <v>0</v>
      </c>
      <c r="AA36" s="80"/>
      <c r="AB36" s="80"/>
      <c r="AC36" s="80"/>
    </row>
    <row r="37" spans="1:68" x14ac:dyDescent="0.2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100"/>
      <c r="P37" s="91" t="s">
        <v>72</v>
      </c>
      <c r="Q37" s="92"/>
      <c r="R37" s="92"/>
      <c r="S37" s="92"/>
      <c r="T37" s="92"/>
      <c r="U37" s="92"/>
      <c r="V37" s="93"/>
      <c r="W37" s="49" t="s">
        <v>70</v>
      </c>
      <c r="X37" s="79">
        <f>IFERROR(SUM(X35:X35),"0")</f>
        <v>0</v>
      </c>
      <c r="Y37" s="79">
        <f>IFERROR(SUM(Y35:Y35),"0")</f>
        <v>0</v>
      </c>
      <c r="Z37" s="49"/>
      <c r="AA37" s="80"/>
      <c r="AB37" s="80"/>
      <c r="AC37" s="80"/>
    </row>
    <row r="38" spans="1:68" ht="27.75" customHeight="1" x14ac:dyDescent="0.2">
      <c r="A38" s="115" t="s">
        <v>101</v>
      </c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51"/>
      <c r="AB38" s="51"/>
      <c r="AC38" s="51"/>
    </row>
    <row r="39" spans="1:68" ht="16.5" customHeight="1" x14ac:dyDescent="0.25">
      <c r="A39" s="94" t="s">
        <v>102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65"/>
      <c r="AB39" s="65"/>
      <c r="AC39" s="65"/>
    </row>
    <row r="40" spans="1:68" ht="14.25" customHeight="1" x14ac:dyDescent="0.25">
      <c r="A40" s="89" t="s">
        <v>103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66"/>
      <c r="AB40" s="66"/>
      <c r="AC40" s="66"/>
    </row>
    <row r="41" spans="1:68" ht="16.5" customHeight="1" x14ac:dyDescent="0.25">
      <c r="A41" s="24" t="s">
        <v>104</v>
      </c>
      <c r="B41" s="24" t="s">
        <v>105</v>
      </c>
      <c r="C41" s="25">
        <v>4301011380</v>
      </c>
      <c r="D41" s="86">
        <v>4607091385670</v>
      </c>
      <c r="E41" s="87"/>
      <c r="F41" s="75">
        <v>1.35</v>
      </c>
      <c r="G41" s="26">
        <v>8</v>
      </c>
      <c r="H41" s="75">
        <v>10.8</v>
      </c>
      <c r="I41" s="75">
        <v>11.234999999999999</v>
      </c>
      <c r="J41" s="26">
        <v>64</v>
      </c>
      <c r="K41" s="26" t="s">
        <v>106</v>
      </c>
      <c r="L41" s="26"/>
      <c r="M41" s="35" t="s">
        <v>107</v>
      </c>
      <c r="N41" s="35"/>
      <c r="O41" s="26">
        <v>50</v>
      </c>
      <c r="P41" s="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84"/>
      <c r="R41" s="84"/>
      <c r="S41" s="84"/>
      <c r="T41" s="85"/>
      <c r="U41" s="47"/>
      <c r="V41" s="47"/>
      <c r="W41" s="48" t="s">
        <v>70</v>
      </c>
      <c r="X41" s="76">
        <v>108</v>
      </c>
      <c r="Y41" s="77">
        <f>IFERROR(IF(X41="",0,CEILING((X41/$H41),1)*$H41),"")</f>
        <v>108</v>
      </c>
      <c r="Z41" s="52">
        <f>IFERROR(IF(Y41=0,"",ROUNDUP(Y41/H41,0)*0.01898),"")</f>
        <v>0.1898</v>
      </c>
      <c r="AA41" s="53"/>
      <c r="AB41" s="54"/>
      <c r="AC41" s="55" t="s">
        <v>108</v>
      </c>
      <c r="AG41" s="78"/>
      <c r="AJ41" s="57"/>
      <c r="AK41" s="57">
        <v>0</v>
      </c>
      <c r="BB41" s="59" t="s">
        <v>1</v>
      </c>
      <c r="BM41" s="78">
        <f>IFERROR(X41*I41/H41,"0")</f>
        <v>112.34999999999998</v>
      </c>
      <c r="BN41" s="78">
        <f>IFERROR(Y41*I41/H41,"0")</f>
        <v>112.34999999999998</v>
      </c>
      <c r="BO41" s="78">
        <f>IFERROR(1/J41*(X41/H41),"0")</f>
        <v>0.15625</v>
      </c>
      <c r="BP41" s="78">
        <f>IFERROR(1/J41*(Y41/H41),"0")</f>
        <v>0.15625</v>
      </c>
    </row>
    <row r="42" spans="1:68" ht="27" customHeight="1" x14ac:dyDescent="0.25">
      <c r="A42" s="24" t="s">
        <v>109</v>
      </c>
      <c r="B42" s="24" t="s">
        <v>110</v>
      </c>
      <c r="C42" s="25">
        <v>4301011382</v>
      </c>
      <c r="D42" s="86">
        <v>4607091385687</v>
      </c>
      <c r="E42" s="87"/>
      <c r="F42" s="75">
        <v>0.4</v>
      </c>
      <c r="G42" s="26">
        <v>10</v>
      </c>
      <c r="H42" s="75">
        <v>4</v>
      </c>
      <c r="I42" s="75">
        <v>4.21</v>
      </c>
      <c r="J42" s="26">
        <v>132</v>
      </c>
      <c r="K42" s="26" t="s">
        <v>111</v>
      </c>
      <c r="L42" s="26" t="s">
        <v>112</v>
      </c>
      <c r="M42" s="35" t="s">
        <v>78</v>
      </c>
      <c r="N42" s="35"/>
      <c r="O42" s="26">
        <v>50</v>
      </c>
      <c r="P42" s="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84"/>
      <c r="R42" s="84"/>
      <c r="S42" s="84"/>
      <c r="T42" s="85"/>
      <c r="U42" s="47"/>
      <c r="V42" s="47"/>
      <c r="W42" s="48" t="s">
        <v>70</v>
      </c>
      <c r="X42" s="76">
        <v>0</v>
      </c>
      <c r="Y42" s="77">
        <f>IFERROR(IF(X42="",0,CEILING((X42/$H42),1)*$H42),"")</f>
        <v>0</v>
      </c>
      <c r="Z42" s="52" t="str">
        <f>IFERROR(IF(Y42=0,"",ROUNDUP(Y42/H42,0)*0.00902),"")</f>
        <v/>
      </c>
      <c r="AA42" s="53"/>
      <c r="AB42" s="54"/>
      <c r="AC42" s="55" t="s">
        <v>108</v>
      </c>
      <c r="AG42" s="78"/>
      <c r="AJ42" s="57" t="s">
        <v>113</v>
      </c>
      <c r="AK42" s="57">
        <v>48</v>
      </c>
      <c r="BB42" s="59" t="s">
        <v>1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24" t="s">
        <v>114</v>
      </c>
      <c r="B43" s="24" t="s">
        <v>115</v>
      </c>
      <c r="C43" s="25">
        <v>4301011565</v>
      </c>
      <c r="D43" s="86">
        <v>4680115882539</v>
      </c>
      <c r="E43" s="87"/>
      <c r="F43" s="75">
        <v>0.37</v>
      </c>
      <c r="G43" s="26">
        <v>10</v>
      </c>
      <c r="H43" s="75">
        <v>3.7</v>
      </c>
      <c r="I43" s="75">
        <v>3.91</v>
      </c>
      <c r="J43" s="26">
        <v>132</v>
      </c>
      <c r="K43" s="26" t="s">
        <v>111</v>
      </c>
      <c r="L43" s="26"/>
      <c r="M43" s="35" t="s">
        <v>78</v>
      </c>
      <c r="N43" s="35"/>
      <c r="O43" s="26">
        <v>50</v>
      </c>
      <c r="P43" s="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84"/>
      <c r="R43" s="84"/>
      <c r="S43" s="84"/>
      <c r="T43" s="85"/>
      <c r="U43" s="47"/>
      <c r="V43" s="47"/>
      <c r="W43" s="48" t="s">
        <v>70</v>
      </c>
      <c r="X43" s="76">
        <v>0</v>
      </c>
      <c r="Y43" s="77">
        <f>IFERROR(IF(X43="",0,CEILING((X43/$H43),1)*$H43),"")</f>
        <v>0</v>
      </c>
      <c r="Z43" s="52" t="str">
        <f>IFERROR(IF(Y43=0,"",ROUNDUP(Y43/H43,0)*0.00902),"")</f>
        <v/>
      </c>
      <c r="AA43" s="53"/>
      <c r="AB43" s="54"/>
      <c r="AC43" s="55" t="s">
        <v>108</v>
      </c>
      <c r="AG43" s="78"/>
      <c r="AJ43" s="57"/>
      <c r="AK43" s="57">
        <v>0</v>
      </c>
      <c r="BB43" s="59" t="s">
        <v>1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99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100"/>
      <c r="P44" s="91" t="s">
        <v>72</v>
      </c>
      <c r="Q44" s="92"/>
      <c r="R44" s="92"/>
      <c r="S44" s="92"/>
      <c r="T44" s="92"/>
      <c r="U44" s="92"/>
      <c r="V44" s="93"/>
      <c r="W44" s="49" t="s">
        <v>73</v>
      </c>
      <c r="X44" s="79">
        <f>IFERROR(X41/H41,"0")+IFERROR(X42/H42,"0")+IFERROR(X43/H43,"0")</f>
        <v>10</v>
      </c>
      <c r="Y44" s="79">
        <f>IFERROR(Y41/H41,"0")+IFERROR(Y42/H42,"0")+IFERROR(Y43/H43,"0")</f>
        <v>10</v>
      </c>
      <c r="Z44" s="79">
        <f>IFERROR(IF(Z41="",0,Z41),"0")+IFERROR(IF(Z42="",0,Z42),"0")+IFERROR(IF(Z43="",0,Z43),"0")</f>
        <v>0.1898</v>
      </c>
      <c r="AA44" s="80"/>
      <c r="AB44" s="80"/>
      <c r="AC44" s="80"/>
    </row>
    <row r="45" spans="1:68" x14ac:dyDescent="0.2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100"/>
      <c r="P45" s="91" t="s">
        <v>72</v>
      </c>
      <c r="Q45" s="92"/>
      <c r="R45" s="92"/>
      <c r="S45" s="92"/>
      <c r="T45" s="92"/>
      <c r="U45" s="92"/>
      <c r="V45" s="93"/>
      <c r="W45" s="49" t="s">
        <v>70</v>
      </c>
      <c r="X45" s="79">
        <f>IFERROR(SUM(X41:X43),"0")</f>
        <v>108</v>
      </c>
      <c r="Y45" s="79">
        <f>IFERROR(SUM(Y41:Y43),"0")</f>
        <v>108</v>
      </c>
      <c r="Z45" s="49"/>
      <c r="AA45" s="80"/>
      <c r="AB45" s="80"/>
      <c r="AC45" s="80"/>
    </row>
    <row r="46" spans="1:68" ht="14.25" customHeight="1" x14ac:dyDescent="0.25">
      <c r="A46" s="89" t="s">
        <v>74</v>
      </c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66"/>
      <c r="AB46" s="66"/>
      <c r="AC46" s="66"/>
    </row>
    <row r="47" spans="1:68" ht="16.5" customHeight="1" x14ac:dyDescent="0.25">
      <c r="A47" s="24" t="s">
        <v>116</v>
      </c>
      <c r="B47" s="24" t="s">
        <v>117</v>
      </c>
      <c r="C47" s="25">
        <v>4301051820</v>
      </c>
      <c r="D47" s="86">
        <v>4680115884915</v>
      </c>
      <c r="E47" s="87"/>
      <c r="F47" s="75">
        <v>0.3</v>
      </c>
      <c r="G47" s="26">
        <v>6</v>
      </c>
      <c r="H47" s="75">
        <v>1.8</v>
      </c>
      <c r="I47" s="75">
        <v>1.98</v>
      </c>
      <c r="J47" s="26">
        <v>182</v>
      </c>
      <c r="K47" s="26" t="s">
        <v>77</v>
      </c>
      <c r="L47" s="26"/>
      <c r="M47" s="35" t="s">
        <v>78</v>
      </c>
      <c r="N47" s="35"/>
      <c r="O47" s="26">
        <v>40</v>
      </c>
      <c r="P47" s="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84"/>
      <c r="R47" s="84"/>
      <c r="S47" s="84"/>
      <c r="T47" s="85"/>
      <c r="U47" s="47"/>
      <c r="V47" s="47"/>
      <c r="W47" s="48" t="s">
        <v>70</v>
      </c>
      <c r="X47" s="76">
        <v>3.6</v>
      </c>
      <c r="Y47" s="77">
        <f>IFERROR(IF(X47="",0,CEILING((X47/$H47),1)*$H47),"")</f>
        <v>3.6</v>
      </c>
      <c r="Z47" s="52">
        <f>IFERROR(IF(Y47=0,"",ROUNDUP(Y47/H47,0)*0.00651),"")</f>
        <v>1.302E-2</v>
      </c>
      <c r="AA47" s="53"/>
      <c r="AB47" s="54"/>
      <c r="AC47" s="55" t="s">
        <v>118</v>
      </c>
      <c r="AG47" s="78"/>
      <c r="AJ47" s="57"/>
      <c r="AK47" s="57">
        <v>0</v>
      </c>
      <c r="BB47" s="59" t="s">
        <v>1</v>
      </c>
      <c r="BM47" s="78">
        <f>IFERROR(X47*I47/H47,"0")</f>
        <v>3.96</v>
      </c>
      <c r="BN47" s="78">
        <f>IFERROR(Y47*I47/H47,"0")</f>
        <v>3.96</v>
      </c>
      <c r="BO47" s="78">
        <f>IFERROR(1/J47*(X47/H47),"0")</f>
        <v>1.098901098901099E-2</v>
      </c>
      <c r="BP47" s="78">
        <f>IFERROR(1/J47*(Y47/H47),"0")</f>
        <v>1.098901098901099E-2</v>
      </c>
    </row>
    <row r="48" spans="1:68" x14ac:dyDescent="0.2">
      <c r="A48" s="99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100"/>
      <c r="P48" s="91" t="s">
        <v>72</v>
      </c>
      <c r="Q48" s="92"/>
      <c r="R48" s="92"/>
      <c r="S48" s="92"/>
      <c r="T48" s="92"/>
      <c r="U48" s="92"/>
      <c r="V48" s="93"/>
      <c r="W48" s="49" t="s">
        <v>73</v>
      </c>
      <c r="X48" s="79">
        <f>IFERROR(X47/H47,"0")</f>
        <v>2</v>
      </c>
      <c r="Y48" s="79">
        <f>IFERROR(Y47/H47,"0")</f>
        <v>2</v>
      </c>
      <c r="Z48" s="79">
        <f>IFERROR(IF(Z47="",0,Z47),"0")</f>
        <v>1.302E-2</v>
      </c>
      <c r="AA48" s="80"/>
      <c r="AB48" s="80"/>
      <c r="AC48" s="80"/>
    </row>
    <row r="49" spans="1:68" x14ac:dyDescent="0.2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100"/>
      <c r="P49" s="91" t="s">
        <v>72</v>
      </c>
      <c r="Q49" s="92"/>
      <c r="R49" s="92"/>
      <c r="S49" s="92"/>
      <c r="T49" s="92"/>
      <c r="U49" s="92"/>
      <c r="V49" s="93"/>
      <c r="W49" s="49" t="s">
        <v>70</v>
      </c>
      <c r="X49" s="79">
        <f>IFERROR(SUM(X47:X47),"0")</f>
        <v>3.6</v>
      </c>
      <c r="Y49" s="79">
        <f>IFERROR(SUM(Y47:Y47),"0")</f>
        <v>3.6</v>
      </c>
      <c r="Z49" s="49"/>
      <c r="AA49" s="80"/>
      <c r="AB49" s="80"/>
      <c r="AC49" s="80"/>
    </row>
    <row r="50" spans="1:68" ht="16.5" customHeight="1" x14ac:dyDescent="0.25">
      <c r="A50" s="94" t="s">
        <v>119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65"/>
      <c r="AB50" s="65"/>
      <c r="AC50" s="65"/>
    </row>
    <row r="51" spans="1:68" ht="14.25" customHeight="1" x14ac:dyDescent="0.25">
      <c r="A51" s="89" t="s">
        <v>103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66"/>
      <c r="AB51" s="66"/>
      <c r="AC51" s="66"/>
    </row>
    <row r="52" spans="1:68" ht="27" customHeight="1" x14ac:dyDescent="0.25">
      <c r="A52" s="24" t="s">
        <v>120</v>
      </c>
      <c r="B52" s="24" t="s">
        <v>121</v>
      </c>
      <c r="C52" s="25">
        <v>4301012030</v>
      </c>
      <c r="D52" s="86">
        <v>4680115885882</v>
      </c>
      <c r="E52" s="87"/>
      <c r="F52" s="75">
        <v>1.4</v>
      </c>
      <c r="G52" s="26">
        <v>8</v>
      </c>
      <c r="H52" s="75">
        <v>11.2</v>
      </c>
      <c r="I52" s="75">
        <v>11.635</v>
      </c>
      <c r="J52" s="26">
        <v>64</v>
      </c>
      <c r="K52" s="26" t="s">
        <v>106</v>
      </c>
      <c r="L52" s="26"/>
      <c r="M52" s="35" t="s">
        <v>78</v>
      </c>
      <c r="N52" s="35"/>
      <c r="O52" s="26">
        <v>50</v>
      </c>
      <c r="P52" s="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84"/>
      <c r="R52" s="84"/>
      <c r="S52" s="84"/>
      <c r="T52" s="85"/>
      <c r="U52" s="47"/>
      <c r="V52" s="47"/>
      <c r="W52" s="48" t="s">
        <v>70</v>
      </c>
      <c r="X52" s="76">
        <v>0</v>
      </c>
      <c r="Y52" s="77">
        <f t="shared" ref="Y52:Y57" si="6">IFERROR(IF(X52="",0,CEILING((X52/$H52),1)*$H52),"")</f>
        <v>0</v>
      </c>
      <c r="Z52" s="52" t="str">
        <f>IFERROR(IF(Y52=0,"",ROUNDUP(Y52/H52,0)*0.01898),"")</f>
        <v/>
      </c>
      <c r="AA52" s="53"/>
      <c r="AB52" s="54"/>
      <c r="AC52" s="55" t="s">
        <v>122</v>
      </c>
      <c r="AG52" s="78"/>
      <c r="AJ52" s="57"/>
      <c r="AK52" s="57">
        <v>0</v>
      </c>
      <c r="BB52" s="59" t="s">
        <v>1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24" t="s">
        <v>123</v>
      </c>
      <c r="B53" s="24" t="s">
        <v>124</v>
      </c>
      <c r="C53" s="25">
        <v>4301011816</v>
      </c>
      <c r="D53" s="86">
        <v>4680115881426</v>
      </c>
      <c r="E53" s="87"/>
      <c r="F53" s="75">
        <v>1.35</v>
      </c>
      <c r="G53" s="26">
        <v>8</v>
      </c>
      <c r="H53" s="75">
        <v>10.8</v>
      </c>
      <c r="I53" s="75">
        <v>11.234999999999999</v>
      </c>
      <c r="J53" s="26">
        <v>64</v>
      </c>
      <c r="K53" s="26" t="s">
        <v>106</v>
      </c>
      <c r="L53" s="26" t="s">
        <v>125</v>
      </c>
      <c r="M53" s="35" t="s">
        <v>107</v>
      </c>
      <c r="N53" s="35"/>
      <c r="O53" s="26">
        <v>50</v>
      </c>
      <c r="P53" s="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84"/>
      <c r="R53" s="84"/>
      <c r="S53" s="84"/>
      <c r="T53" s="85"/>
      <c r="U53" s="47"/>
      <c r="V53" s="47"/>
      <c r="W53" s="48" t="s">
        <v>70</v>
      </c>
      <c r="X53" s="76">
        <v>0</v>
      </c>
      <c r="Y53" s="77">
        <f t="shared" si="6"/>
        <v>0</v>
      </c>
      <c r="Z53" s="52" t="str">
        <f>IFERROR(IF(Y53=0,"",ROUNDUP(Y53/H53,0)*0.01898),"")</f>
        <v/>
      </c>
      <c r="AA53" s="53"/>
      <c r="AB53" s="54"/>
      <c r="AC53" s="55" t="s">
        <v>126</v>
      </c>
      <c r="AG53" s="78"/>
      <c r="AJ53" s="57" t="s">
        <v>127</v>
      </c>
      <c r="AK53" s="57">
        <v>691.2</v>
      </c>
      <c r="BB53" s="59" t="s">
        <v>1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24" t="s">
        <v>128</v>
      </c>
      <c r="B54" s="24" t="s">
        <v>129</v>
      </c>
      <c r="C54" s="25">
        <v>4301011386</v>
      </c>
      <c r="D54" s="86">
        <v>4680115880283</v>
      </c>
      <c r="E54" s="87"/>
      <c r="F54" s="75">
        <v>0.6</v>
      </c>
      <c r="G54" s="26">
        <v>8</v>
      </c>
      <c r="H54" s="75">
        <v>4.8</v>
      </c>
      <c r="I54" s="75">
        <v>5.01</v>
      </c>
      <c r="J54" s="26">
        <v>132</v>
      </c>
      <c r="K54" s="26" t="s">
        <v>111</v>
      </c>
      <c r="L54" s="26"/>
      <c r="M54" s="35" t="s">
        <v>107</v>
      </c>
      <c r="N54" s="35"/>
      <c r="O54" s="26">
        <v>45</v>
      </c>
      <c r="P54" s="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84"/>
      <c r="R54" s="84"/>
      <c r="S54" s="84"/>
      <c r="T54" s="85"/>
      <c r="U54" s="47"/>
      <c r="V54" s="47"/>
      <c r="W54" s="48" t="s">
        <v>70</v>
      </c>
      <c r="X54" s="76">
        <v>14.4</v>
      </c>
      <c r="Y54" s="77">
        <f t="shared" si="6"/>
        <v>14.399999999999999</v>
      </c>
      <c r="Z54" s="52">
        <f>IFERROR(IF(Y54=0,"",ROUNDUP(Y54/H54,0)*0.00902),"")</f>
        <v>2.7060000000000001E-2</v>
      </c>
      <c r="AA54" s="53"/>
      <c r="AB54" s="54"/>
      <c r="AC54" s="55" t="s">
        <v>130</v>
      </c>
      <c r="AG54" s="78"/>
      <c r="AJ54" s="57"/>
      <c r="AK54" s="57">
        <v>0</v>
      </c>
      <c r="BB54" s="59" t="s">
        <v>1</v>
      </c>
      <c r="BM54" s="78">
        <f t="shared" si="7"/>
        <v>15.030000000000001</v>
      </c>
      <c r="BN54" s="78">
        <f t="shared" si="8"/>
        <v>15.03</v>
      </c>
      <c r="BO54" s="78">
        <f t="shared" si="9"/>
        <v>2.2727272727272728E-2</v>
      </c>
      <c r="BP54" s="78">
        <f t="shared" si="10"/>
        <v>2.2727272727272728E-2</v>
      </c>
    </row>
    <row r="55" spans="1:68" ht="16.5" customHeight="1" x14ac:dyDescent="0.25">
      <c r="A55" s="24" t="s">
        <v>131</v>
      </c>
      <c r="B55" s="24" t="s">
        <v>132</v>
      </c>
      <c r="C55" s="25">
        <v>4301011806</v>
      </c>
      <c r="D55" s="86">
        <v>4680115881525</v>
      </c>
      <c r="E55" s="87"/>
      <c r="F55" s="75">
        <v>0.4</v>
      </c>
      <c r="G55" s="26">
        <v>10</v>
      </c>
      <c r="H55" s="75">
        <v>4</v>
      </c>
      <c r="I55" s="75">
        <v>4.21</v>
      </c>
      <c r="J55" s="26">
        <v>132</v>
      </c>
      <c r="K55" s="26" t="s">
        <v>111</v>
      </c>
      <c r="L55" s="26"/>
      <c r="M55" s="35" t="s">
        <v>107</v>
      </c>
      <c r="N55" s="35"/>
      <c r="O55" s="26">
        <v>50</v>
      </c>
      <c r="P55" s="8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84"/>
      <c r="R55" s="84"/>
      <c r="S55" s="84"/>
      <c r="T55" s="85"/>
      <c r="U55" s="47"/>
      <c r="V55" s="47"/>
      <c r="W55" s="48" t="s">
        <v>70</v>
      </c>
      <c r="X55" s="76">
        <v>40</v>
      </c>
      <c r="Y55" s="77">
        <f t="shared" si="6"/>
        <v>40</v>
      </c>
      <c r="Z55" s="52">
        <f>IFERROR(IF(Y55=0,"",ROUNDUP(Y55/H55,0)*0.00902),"")</f>
        <v>9.0200000000000002E-2</v>
      </c>
      <c r="AA55" s="53"/>
      <c r="AB55" s="54"/>
      <c r="AC55" s="55" t="s">
        <v>126</v>
      </c>
      <c r="AG55" s="78"/>
      <c r="AJ55" s="57"/>
      <c r="AK55" s="57">
        <v>0</v>
      </c>
      <c r="BB55" s="59" t="s">
        <v>1</v>
      </c>
      <c r="BM55" s="78">
        <f t="shared" si="7"/>
        <v>42.1</v>
      </c>
      <c r="BN55" s="78">
        <f t="shared" si="8"/>
        <v>42.1</v>
      </c>
      <c r="BO55" s="78">
        <f t="shared" si="9"/>
        <v>7.575757575757576E-2</v>
      </c>
      <c r="BP55" s="78">
        <f t="shared" si="10"/>
        <v>7.575757575757576E-2</v>
      </c>
    </row>
    <row r="56" spans="1:68" ht="27" customHeight="1" x14ac:dyDescent="0.25">
      <c r="A56" s="24" t="s">
        <v>133</v>
      </c>
      <c r="B56" s="24" t="s">
        <v>134</v>
      </c>
      <c r="C56" s="25">
        <v>4301011589</v>
      </c>
      <c r="D56" s="86">
        <v>4680115885899</v>
      </c>
      <c r="E56" s="87"/>
      <c r="F56" s="75">
        <v>0.35</v>
      </c>
      <c r="G56" s="26">
        <v>6</v>
      </c>
      <c r="H56" s="75">
        <v>2.1</v>
      </c>
      <c r="I56" s="75">
        <v>2.2799999999999998</v>
      </c>
      <c r="J56" s="26">
        <v>182</v>
      </c>
      <c r="K56" s="26" t="s">
        <v>77</v>
      </c>
      <c r="L56" s="26"/>
      <c r="M56" s="35" t="s">
        <v>93</v>
      </c>
      <c r="N56" s="35"/>
      <c r="O56" s="26">
        <v>50</v>
      </c>
      <c r="P56" s="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84"/>
      <c r="R56" s="84"/>
      <c r="S56" s="84"/>
      <c r="T56" s="85"/>
      <c r="U56" s="47"/>
      <c r="V56" s="47"/>
      <c r="W56" s="48" t="s">
        <v>70</v>
      </c>
      <c r="X56" s="76">
        <v>0</v>
      </c>
      <c r="Y56" s="77">
        <f t="shared" si="6"/>
        <v>0</v>
      </c>
      <c r="Z56" s="52" t="str">
        <f>IFERROR(IF(Y56=0,"",ROUNDUP(Y56/H56,0)*0.00651),"")</f>
        <v/>
      </c>
      <c r="AA56" s="53"/>
      <c r="AB56" s="54"/>
      <c r="AC56" s="55" t="s">
        <v>135</v>
      </c>
      <c r="AG56" s="78"/>
      <c r="AJ56" s="57"/>
      <c r="AK56" s="57">
        <v>0</v>
      </c>
      <c r="BB56" s="59" t="s">
        <v>1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24" t="s">
        <v>136</v>
      </c>
      <c r="B57" s="24" t="s">
        <v>137</v>
      </c>
      <c r="C57" s="25">
        <v>4301011801</v>
      </c>
      <c r="D57" s="86">
        <v>4680115881419</v>
      </c>
      <c r="E57" s="87"/>
      <c r="F57" s="75">
        <v>0.45</v>
      </c>
      <c r="G57" s="26">
        <v>10</v>
      </c>
      <c r="H57" s="75">
        <v>4.5</v>
      </c>
      <c r="I57" s="75">
        <v>4.71</v>
      </c>
      <c r="J57" s="26">
        <v>132</v>
      </c>
      <c r="K57" s="26" t="s">
        <v>111</v>
      </c>
      <c r="L57" s="26" t="s">
        <v>125</v>
      </c>
      <c r="M57" s="35" t="s">
        <v>107</v>
      </c>
      <c r="N57" s="35"/>
      <c r="O57" s="26">
        <v>50</v>
      </c>
      <c r="P57" s="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84"/>
      <c r="R57" s="84"/>
      <c r="S57" s="84"/>
      <c r="T57" s="85"/>
      <c r="U57" s="47"/>
      <c r="V57" s="47"/>
      <c r="W57" s="48" t="s">
        <v>70</v>
      </c>
      <c r="X57" s="76">
        <v>0</v>
      </c>
      <c r="Y57" s="77">
        <f t="shared" si="6"/>
        <v>0</v>
      </c>
      <c r="Z57" s="52" t="str">
        <f>IFERROR(IF(Y57=0,"",ROUNDUP(Y57/H57,0)*0.00902),"")</f>
        <v/>
      </c>
      <c r="AA57" s="53"/>
      <c r="AB57" s="54"/>
      <c r="AC57" s="55" t="s">
        <v>138</v>
      </c>
      <c r="AG57" s="78"/>
      <c r="AJ57" s="57" t="s">
        <v>127</v>
      </c>
      <c r="AK57" s="57">
        <v>594</v>
      </c>
      <c r="BB57" s="59" t="s">
        <v>1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99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100"/>
      <c r="P58" s="91" t="s">
        <v>72</v>
      </c>
      <c r="Q58" s="92"/>
      <c r="R58" s="92"/>
      <c r="S58" s="92"/>
      <c r="T58" s="92"/>
      <c r="U58" s="92"/>
      <c r="V58" s="93"/>
      <c r="W58" s="49" t="s">
        <v>73</v>
      </c>
      <c r="X58" s="79">
        <f>IFERROR(X52/H52,"0")+IFERROR(X53/H53,"0")+IFERROR(X54/H54,"0")+IFERROR(X55/H55,"0")+IFERROR(X56/H56,"0")+IFERROR(X57/H57,"0")</f>
        <v>13</v>
      </c>
      <c r="Y58" s="79">
        <f>IFERROR(Y52/H52,"0")+IFERROR(Y53/H53,"0")+IFERROR(Y54/H54,"0")+IFERROR(Y55/H55,"0")+IFERROR(Y56/H56,"0")+IFERROR(Y57/H57,"0")</f>
        <v>13</v>
      </c>
      <c r="Z58" s="79">
        <f>IFERROR(IF(Z52="",0,Z52),"0")+IFERROR(IF(Z53="",0,Z53),"0")+IFERROR(IF(Z54="",0,Z54),"0")+IFERROR(IF(Z55="",0,Z55),"0")+IFERROR(IF(Z56="",0,Z56),"0")+IFERROR(IF(Z57="",0,Z57),"0")</f>
        <v>0.11726</v>
      </c>
      <c r="AA58" s="80"/>
      <c r="AB58" s="80"/>
      <c r="AC58" s="80"/>
    </row>
    <row r="59" spans="1:68" x14ac:dyDescent="0.2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100"/>
      <c r="P59" s="91" t="s">
        <v>72</v>
      </c>
      <c r="Q59" s="92"/>
      <c r="R59" s="92"/>
      <c r="S59" s="92"/>
      <c r="T59" s="92"/>
      <c r="U59" s="92"/>
      <c r="V59" s="93"/>
      <c r="W59" s="49" t="s">
        <v>70</v>
      </c>
      <c r="X59" s="79">
        <f>IFERROR(SUM(X52:X57),"0")</f>
        <v>54.4</v>
      </c>
      <c r="Y59" s="79">
        <f>IFERROR(SUM(Y52:Y57),"0")</f>
        <v>54.4</v>
      </c>
      <c r="Z59" s="49"/>
      <c r="AA59" s="80"/>
      <c r="AB59" s="80"/>
      <c r="AC59" s="80"/>
    </row>
    <row r="60" spans="1:68" ht="14.25" customHeight="1" x14ac:dyDescent="0.25">
      <c r="A60" s="89" t="s">
        <v>139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66"/>
      <c r="AB60" s="66"/>
      <c r="AC60" s="66"/>
    </row>
    <row r="61" spans="1:68" ht="16.5" customHeight="1" x14ac:dyDescent="0.25">
      <c r="A61" s="24" t="s">
        <v>140</v>
      </c>
      <c r="B61" s="24" t="s">
        <v>141</v>
      </c>
      <c r="C61" s="25">
        <v>4301020298</v>
      </c>
      <c r="D61" s="86">
        <v>4680115881440</v>
      </c>
      <c r="E61" s="87"/>
      <c r="F61" s="75">
        <v>1.35</v>
      </c>
      <c r="G61" s="26">
        <v>8</v>
      </c>
      <c r="H61" s="75">
        <v>10.8</v>
      </c>
      <c r="I61" s="75">
        <v>11.234999999999999</v>
      </c>
      <c r="J61" s="26">
        <v>64</v>
      </c>
      <c r="K61" s="26" t="s">
        <v>106</v>
      </c>
      <c r="L61" s="26"/>
      <c r="M61" s="35" t="s">
        <v>107</v>
      </c>
      <c r="N61" s="35"/>
      <c r="O61" s="26">
        <v>50</v>
      </c>
      <c r="P61" s="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84"/>
      <c r="R61" s="84"/>
      <c r="S61" s="84"/>
      <c r="T61" s="85"/>
      <c r="U61" s="47"/>
      <c r="V61" s="47"/>
      <c r="W61" s="48" t="s">
        <v>70</v>
      </c>
      <c r="X61" s="76">
        <v>216</v>
      </c>
      <c r="Y61" s="77">
        <f>IFERROR(IF(X61="",0,CEILING((X61/$H61),1)*$H61),"")</f>
        <v>216</v>
      </c>
      <c r="Z61" s="52">
        <f>IFERROR(IF(Y61=0,"",ROUNDUP(Y61/H61,0)*0.01898),"")</f>
        <v>0.37959999999999999</v>
      </c>
      <c r="AA61" s="53"/>
      <c r="AB61" s="54"/>
      <c r="AC61" s="55" t="s">
        <v>142</v>
      </c>
      <c r="AG61" s="78"/>
      <c r="AJ61" s="57"/>
      <c r="AK61" s="57">
        <v>0</v>
      </c>
      <c r="BB61" s="59" t="s">
        <v>1</v>
      </c>
      <c r="BM61" s="78">
        <f>IFERROR(X61*I61/H61,"0")</f>
        <v>224.69999999999996</v>
      </c>
      <c r="BN61" s="78">
        <f>IFERROR(Y61*I61/H61,"0")</f>
        <v>224.69999999999996</v>
      </c>
      <c r="BO61" s="78">
        <f>IFERROR(1/J61*(X61/H61),"0")</f>
        <v>0.3125</v>
      </c>
      <c r="BP61" s="78">
        <f>IFERROR(1/J61*(Y61/H61),"0")</f>
        <v>0.3125</v>
      </c>
    </row>
    <row r="62" spans="1:68" ht="27" customHeight="1" x14ac:dyDescent="0.25">
      <c r="A62" s="24" t="s">
        <v>143</v>
      </c>
      <c r="B62" s="24" t="s">
        <v>144</v>
      </c>
      <c r="C62" s="25">
        <v>4301020228</v>
      </c>
      <c r="D62" s="86">
        <v>4680115882751</v>
      </c>
      <c r="E62" s="87"/>
      <c r="F62" s="75">
        <v>0.45</v>
      </c>
      <c r="G62" s="26">
        <v>10</v>
      </c>
      <c r="H62" s="75">
        <v>4.5</v>
      </c>
      <c r="I62" s="75">
        <v>4.71</v>
      </c>
      <c r="J62" s="26">
        <v>132</v>
      </c>
      <c r="K62" s="26" t="s">
        <v>111</v>
      </c>
      <c r="L62" s="26"/>
      <c r="M62" s="35" t="s">
        <v>107</v>
      </c>
      <c r="N62" s="35"/>
      <c r="O62" s="26">
        <v>90</v>
      </c>
      <c r="P62" s="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84"/>
      <c r="R62" s="84"/>
      <c r="S62" s="84"/>
      <c r="T62" s="85"/>
      <c r="U62" s="47"/>
      <c r="V62" s="47"/>
      <c r="W62" s="48" t="s">
        <v>70</v>
      </c>
      <c r="X62" s="76">
        <v>0</v>
      </c>
      <c r="Y62" s="77">
        <f>IFERROR(IF(X62="",0,CEILING((X62/$H62),1)*$H62),"")</f>
        <v>0</v>
      </c>
      <c r="Z62" s="52" t="str">
        <f>IFERROR(IF(Y62=0,"",ROUNDUP(Y62/H62,0)*0.00902),"")</f>
        <v/>
      </c>
      <c r="AA62" s="53"/>
      <c r="AB62" s="54"/>
      <c r="AC62" s="55" t="s">
        <v>145</v>
      </c>
      <c r="AG62" s="78"/>
      <c r="AJ62" s="57"/>
      <c r="AK62" s="57">
        <v>0</v>
      </c>
      <c r="BB62" s="59" t="s">
        <v>1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24" t="s">
        <v>146</v>
      </c>
      <c r="B63" s="24" t="s">
        <v>147</v>
      </c>
      <c r="C63" s="25">
        <v>4301020358</v>
      </c>
      <c r="D63" s="86">
        <v>4680115885950</v>
      </c>
      <c r="E63" s="87"/>
      <c r="F63" s="75">
        <v>0.37</v>
      </c>
      <c r="G63" s="26">
        <v>6</v>
      </c>
      <c r="H63" s="75">
        <v>2.2200000000000002</v>
      </c>
      <c r="I63" s="75">
        <v>2.4</v>
      </c>
      <c r="J63" s="26">
        <v>182</v>
      </c>
      <c r="K63" s="26" t="s">
        <v>77</v>
      </c>
      <c r="L63" s="26"/>
      <c r="M63" s="35" t="s">
        <v>78</v>
      </c>
      <c r="N63" s="35"/>
      <c r="O63" s="26">
        <v>50</v>
      </c>
      <c r="P63" s="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84"/>
      <c r="R63" s="84"/>
      <c r="S63" s="84"/>
      <c r="T63" s="85"/>
      <c r="U63" s="47"/>
      <c r="V63" s="47"/>
      <c r="W63" s="48" t="s">
        <v>70</v>
      </c>
      <c r="X63" s="76">
        <v>0</v>
      </c>
      <c r="Y63" s="77">
        <f>IFERROR(IF(X63="",0,CEILING((X63/$H63),1)*$H63),"")</f>
        <v>0</v>
      </c>
      <c r="Z63" s="52" t="str">
        <f>IFERROR(IF(Y63=0,"",ROUNDUP(Y63/H63,0)*0.00651),"")</f>
        <v/>
      </c>
      <c r="AA63" s="53"/>
      <c r="AB63" s="54"/>
      <c r="AC63" s="55" t="s">
        <v>142</v>
      </c>
      <c r="AG63" s="78"/>
      <c r="AJ63" s="57"/>
      <c r="AK63" s="57">
        <v>0</v>
      </c>
      <c r="BB63" s="59" t="s">
        <v>1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24" t="s">
        <v>148</v>
      </c>
      <c r="B64" s="24" t="s">
        <v>149</v>
      </c>
      <c r="C64" s="25">
        <v>4301020296</v>
      </c>
      <c r="D64" s="86">
        <v>4680115881433</v>
      </c>
      <c r="E64" s="87"/>
      <c r="F64" s="75">
        <v>0.45</v>
      </c>
      <c r="G64" s="26">
        <v>6</v>
      </c>
      <c r="H64" s="75">
        <v>2.7</v>
      </c>
      <c r="I64" s="75">
        <v>2.88</v>
      </c>
      <c r="J64" s="26">
        <v>182</v>
      </c>
      <c r="K64" s="26" t="s">
        <v>77</v>
      </c>
      <c r="L64" s="26" t="s">
        <v>125</v>
      </c>
      <c r="M64" s="35" t="s">
        <v>107</v>
      </c>
      <c r="N64" s="35"/>
      <c r="O64" s="26">
        <v>50</v>
      </c>
      <c r="P64" s="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84"/>
      <c r="R64" s="84"/>
      <c r="S64" s="84"/>
      <c r="T64" s="85"/>
      <c r="U64" s="47"/>
      <c r="V64" s="47"/>
      <c r="W64" s="48" t="s">
        <v>70</v>
      </c>
      <c r="X64" s="76">
        <v>40.5</v>
      </c>
      <c r="Y64" s="77">
        <f>IFERROR(IF(X64="",0,CEILING((X64/$H64),1)*$H64),"")</f>
        <v>40.5</v>
      </c>
      <c r="Z64" s="52">
        <f>IFERROR(IF(Y64=0,"",ROUNDUP(Y64/H64,0)*0.00651),"")</f>
        <v>9.7650000000000001E-2</v>
      </c>
      <c r="AA64" s="53"/>
      <c r="AB64" s="54"/>
      <c r="AC64" s="55" t="s">
        <v>142</v>
      </c>
      <c r="AG64" s="78"/>
      <c r="AJ64" s="57" t="s">
        <v>127</v>
      </c>
      <c r="AK64" s="57">
        <v>491.4</v>
      </c>
      <c r="BB64" s="59" t="s">
        <v>1</v>
      </c>
      <c r="BM64" s="78">
        <f>IFERROR(X64*I64/H64,"0")</f>
        <v>43.199999999999996</v>
      </c>
      <c r="BN64" s="78">
        <f>IFERROR(Y64*I64/H64,"0")</f>
        <v>43.199999999999996</v>
      </c>
      <c r="BO64" s="78">
        <f>IFERROR(1/J64*(X64/H64),"0")</f>
        <v>8.2417582417582416E-2</v>
      </c>
      <c r="BP64" s="78">
        <f>IFERROR(1/J64*(Y64/H64),"0")</f>
        <v>8.2417582417582416E-2</v>
      </c>
    </row>
    <row r="65" spans="1:68" x14ac:dyDescent="0.2">
      <c r="A65" s="99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100"/>
      <c r="P65" s="91" t="s">
        <v>72</v>
      </c>
      <c r="Q65" s="92"/>
      <c r="R65" s="92"/>
      <c r="S65" s="92"/>
      <c r="T65" s="92"/>
      <c r="U65" s="92"/>
      <c r="V65" s="93"/>
      <c r="W65" s="49" t="s">
        <v>73</v>
      </c>
      <c r="X65" s="79">
        <f>IFERROR(X61/H61,"0")+IFERROR(X62/H62,"0")+IFERROR(X63/H63,"0")+IFERROR(X64/H64,"0")</f>
        <v>35</v>
      </c>
      <c r="Y65" s="79">
        <f>IFERROR(Y61/H61,"0")+IFERROR(Y62/H62,"0")+IFERROR(Y63/H63,"0")+IFERROR(Y64/H64,"0")</f>
        <v>35</v>
      </c>
      <c r="Z65" s="79">
        <f>IFERROR(IF(Z61="",0,Z61),"0")+IFERROR(IF(Z62="",0,Z62),"0")+IFERROR(IF(Z63="",0,Z63),"0")+IFERROR(IF(Z64="",0,Z64),"0")</f>
        <v>0.47725000000000001</v>
      </c>
      <c r="AA65" s="80"/>
      <c r="AB65" s="80"/>
      <c r="AC65" s="80"/>
    </row>
    <row r="66" spans="1:68" x14ac:dyDescent="0.2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100"/>
      <c r="P66" s="91" t="s">
        <v>72</v>
      </c>
      <c r="Q66" s="92"/>
      <c r="R66" s="92"/>
      <c r="S66" s="92"/>
      <c r="T66" s="92"/>
      <c r="U66" s="92"/>
      <c r="V66" s="93"/>
      <c r="W66" s="49" t="s">
        <v>70</v>
      </c>
      <c r="X66" s="79">
        <f>IFERROR(SUM(X61:X64),"0")</f>
        <v>256.5</v>
      </c>
      <c r="Y66" s="79">
        <f>IFERROR(SUM(Y61:Y64),"0")</f>
        <v>256.5</v>
      </c>
      <c r="Z66" s="49"/>
      <c r="AA66" s="80"/>
      <c r="AB66" s="80"/>
      <c r="AC66" s="80"/>
    </row>
    <row r="67" spans="1:68" ht="14.25" customHeight="1" x14ac:dyDescent="0.25">
      <c r="A67" s="89" t="s">
        <v>64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66"/>
      <c r="AB67" s="66"/>
      <c r="AC67" s="66"/>
    </row>
    <row r="68" spans="1:68" ht="27" customHeight="1" x14ac:dyDescent="0.25">
      <c r="A68" s="24" t="s">
        <v>150</v>
      </c>
      <c r="B68" s="24" t="s">
        <v>151</v>
      </c>
      <c r="C68" s="25">
        <v>4301031243</v>
      </c>
      <c r="D68" s="86">
        <v>4680115885073</v>
      </c>
      <c r="E68" s="87"/>
      <c r="F68" s="75">
        <v>0.3</v>
      </c>
      <c r="G68" s="26">
        <v>6</v>
      </c>
      <c r="H68" s="75">
        <v>1.8</v>
      </c>
      <c r="I68" s="75">
        <v>1.9</v>
      </c>
      <c r="J68" s="26">
        <v>234</v>
      </c>
      <c r="K68" s="26" t="s">
        <v>67</v>
      </c>
      <c r="L68" s="26"/>
      <c r="M68" s="35" t="s">
        <v>68</v>
      </c>
      <c r="N68" s="35"/>
      <c r="O68" s="26">
        <v>40</v>
      </c>
      <c r="P68" s="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84"/>
      <c r="R68" s="84"/>
      <c r="S68" s="84"/>
      <c r="T68" s="85"/>
      <c r="U68" s="47"/>
      <c r="V68" s="47"/>
      <c r="W68" s="48" t="s">
        <v>70</v>
      </c>
      <c r="X68" s="76">
        <v>5.4</v>
      </c>
      <c r="Y68" s="77">
        <f>IFERROR(IF(X68="",0,CEILING((X68/$H68),1)*$H68),"")</f>
        <v>5.4</v>
      </c>
      <c r="Z68" s="52">
        <f>IFERROR(IF(Y68=0,"",ROUNDUP(Y68/H68,0)*0.00502),"")</f>
        <v>1.506E-2</v>
      </c>
      <c r="AA68" s="53"/>
      <c r="AB68" s="54"/>
      <c r="AC68" s="55" t="s">
        <v>152</v>
      </c>
      <c r="AG68" s="78"/>
      <c r="AJ68" s="57"/>
      <c r="AK68" s="57">
        <v>0</v>
      </c>
      <c r="BB68" s="59" t="s">
        <v>1</v>
      </c>
      <c r="BM68" s="78">
        <f>IFERROR(X68*I68/H68,"0")</f>
        <v>5.7</v>
      </c>
      <c r="BN68" s="78">
        <f>IFERROR(Y68*I68/H68,"0")</f>
        <v>5.7</v>
      </c>
      <c r="BO68" s="78">
        <f>IFERROR(1/J68*(X68/H68),"0")</f>
        <v>1.2820512820512822E-2</v>
      </c>
      <c r="BP68" s="78">
        <f>IFERROR(1/J68*(Y68/H68),"0")</f>
        <v>1.2820512820512822E-2</v>
      </c>
    </row>
    <row r="69" spans="1:68" ht="27" customHeight="1" x14ac:dyDescent="0.25">
      <c r="A69" s="24" t="s">
        <v>153</v>
      </c>
      <c r="B69" s="24" t="s">
        <v>154</v>
      </c>
      <c r="C69" s="25">
        <v>4301031241</v>
      </c>
      <c r="D69" s="86">
        <v>4680115885059</v>
      </c>
      <c r="E69" s="87"/>
      <c r="F69" s="75">
        <v>0.3</v>
      </c>
      <c r="G69" s="26">
        <v>6</v>
      </c>
      <c r="H69" s="75">
        <v>1.8</v>
      </c>
      <c r="I69" s="75">
        <v>1.9</v>
      </c>
      <c r="J69" s="26">
        <v>234</v>
      </c>
      <c r="K69" s="26" t="s">
        <v>67</v>
      </c>
      <c r="L69" s="26"/>
      <c r="M69" s="35" t="s">
        <v>68</v>
      </c>
      <c r="N69" s="35"/>
      <c r="O69" s="26">
        <v>40</v>
      </c>
      <c r="P69" s="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84"/>
      <c r="R69" s="84"/>
      <c r="S69" s="84"/>
      <c r="T69" s="85"/>
      <c r="U69" s="47"/>
      <c r="V69" s="47"/>
      <c r="W69" s="48" t="s">
        <v>70</v>
      </c>
      <c r="X69" s="76">
        <v>5.4</v>
      </c>
      <c r="Y69" s="77">
        <f>IFERROR(IF(X69="",0,CEILING((X69/$H69),1)*$H69),"")</f>
        <v>5.4</v>
      </c>
      <c r="Z69" s="52">
        <f>IFERROR(IF(Y69=0,"",ROUNDUP(Y69/H69,0)*0.00502),"")</f>
        <v>1.506E-2</v>
      </c>
      <c r="AA69" s="53"/>
      <c r="AB69" s="54"/>
      <c r="AC69" s="55" t="s">
        <v>155</v>
      </c>
      <c r="AG69" s="78"/>
      <c r="AJ69" s="57"/>
      <c r="AK69" s="57">
        <v>0</v>
      </c>
      <c r="BB69" s="59" t="s">
        <v>1</v>
      </c>
      <c r="BM69" s="78">
        <f>IFERROR(X69*I69/H69,"0")</f>
        <v>5.7</v>
      </c>
      <c r="BN69" s="78">
        <f>IFERROR(Y69*I69/H69,"0")</f>
        <v>5.7</v>
      </c>
      <c r="BO69" s="78">
        <f>IFERROR(1/J69*(X69/H69),"0")</f>
        <v>1.2820512820512822E-2</v>
      </c>
      <c r="BP69" s="78">
        <f>IFERROR(1/J69*(Y69/H69),"0")</f>
        <v>1.2820512820512822E-2</v>
      </c>
    </row>
    <row r="70" spans="1:68" ht="27" customHeight="1" x14ac:dyDescent="0.25">
      <c r="A70" s="24" t="s">
        <v>156</v>
      </c>
      <c r="B70" s="24" t="s">
        <v>157</v>
      </c>
      <c r="C70" s="25">
        <v>4301031316</v>
      </c>
      <c r="D70" s="86">
        <v>4680115885097</v>
      </c>
      <c r="E70" s="87"/>
      <c r="F70" s="75">
        <v>0.3</v>
      </c>
      <c r="G70" s="26">
        <v>6</v>
      </c>
      <c r="H70" s="75">
        <v>1.8</v>
      </c>
      <c r="I70" s="75">
        <v>1.9</v>
      </c>
      <c r="J70" s="26">
        <v>234</v>
      </c>
      <c r="K70" s="26" t="s">
        <v>67</v>
      </c>
      <c r="L70" s="26"/>
      <c r="M70" s="35" t="s">
        <v>68</v>
      </c>
      <c r="N70" s="35"/>
      <c r="O70" s="26">
        <v>40</v>
      </c>
      <c r="P70" s="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84"/>
      <c r="R70" s="84"/>
      <c r="S70" s="84"/>
      <c r="T70" s="85"/>
      <c r="U70" s="47"/>
      <c r="V70" s="47"/>
      <c r="W70" s="48" t="s">
        <v>70</v>
      </c>
      <c r="X70" s="76">
        <v>5.4</v>
      </c>
      <c r="Y70" s="77">
        <f>IFERROR(IF(X70="",0,CEILING((X70/$H70),1)*$H70),"")</f>
        <v>5.4</v>
      </c>
      <c r="Z70" s="52">
        <f>IFERROR(IF(Y70=0,"",ROUNDUP(Y70/H70,0)*0.00502),"")</f>
        <v>1.506E-2</v>
      </c>
      <c r="AA70" s="53"/>
      <c r="AB70" s="54"/>
      <c r="AC70" s="55" t="s">
        <v>158</v>
      </c>
      <c r="AG70" s="78"/>
      <c r="AJ70" s="57"/>
      <c r="AK70" s="57">
        <v>0</v>
      </c>
      <c r="BB70" s="59" t="s">
        <v>1</v>
      </c>
      <c r="BM70" s="78">
        <f>IFERROR(X70*I70/H70,"0")</f>
        <v>5.7</v>
      </c>
      <c r="BN70" s="78">
        <f>IFERROR(Y70*I70/H70,"0")</f>
        <v>5.7</v>
      </c>
      <c r="BO70" s="78">
        <f>IFERROR(1/J70*(X70/H70),"0")</f>
        <v>1.2820512820512822E-2</v>
      </c>
      <c r="BP70" s="78">
        <f>IFERROR(1/J70*(Y70/H70),"0")</f>
        <v>1.2820512820512822E-2</v>
      </c>
    </row>
    <row r="71" spans="1:68" x14ac:dyDescent="0.2">
      <c r="A71" s="99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100"/>
      <c r="P71" s="91" t="s">
        <v>72</v>
      </c>
      <c r="Q71" s="92"/>
      <c r="R71" s="92"/>
      <c r="S71" s="92"/>
      <c r="T71" s="92"/>
      <c r="U71" s="92"/>
      <c r="V71" s="93"/>
      <c r="W71" s="49" t="s">
        <v>73</v>
      </c>
      <c r="X71" s="79">
        <f>IFERROR(X68/H68,"0")+IFERROR(X69/H69,"0")+IFERROR(X70/H70,"0")</f>
        <v>9</v>
      </c>
      <c r="Y71" s="79">
        <f>IFERROR(Y68/H68,"0")+IFERROR(Y69/H69,"0")+IFERROR(Y70/H70,"0")</f>
        <v>9</v>
      </c>
      <c r="Z71" s="79">
        <f>IFERROR(IF(Z68="",0,Z68),"0")+IFERROR(IF(Z69="",0,Z69),"0")+IFERROR(IF(Z70="",0,Z70),"0")</f>
        <v>4.5179999999999998E-2</v>
      </c>
      <c r="AA71" s="80"/>
      <c r="AB71" s="80"/>
      <c r="AC71" s="80"/>
    </row>
    <row r="72" spans="1:68" x14ac:dyDescent="0.2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100"/>
      <c r="P72" s="91" t="s">
        <v>72</v>
      </c>
      <c r="Q72" s="92"/>
      <c r="R72" s="92"/>
      <c r="S72" s="92"/>
      <c r="T72" s="92"/>
      <c r="U72" s="92"/>
      <c r="V72" s="93"/>
      <c r="W72" s="49" t="s">
        <v>70</v>
      </c>
      <c r="X72" s="79">
        <f>IFERROR(SUM(X68:X70),"0")</f>
        <v>16.200000000000003</v>
      </c>
      <c r="Y72" s="79">
        <f>IFERROR(SUM(Y68:Y70),"0")</f>
        <v>16.200000000000003</v>
      </c>
      <c r="Z72" s="49"/>
      <c r="AA72" s="80"/>
      <c r="AB72" s="80"/>
      <c r="AC72" s="80"/>
    </row>
    <row r="73" spans="1:68" ht="14.25" customHeight="1" x14ac:dyDescent="0.25">
      <c r="A73" s="89" t="s">
        <v>74</v>
      </c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66"/>
      <c r="AB73" s="66"/>
      <c r="AC73" s="66"/>
    </row>
    <row r="74" spans="1:68" ht="16.5" customHeight="1" x14ac:dyDescent="0.25">
      <c r="A74" s="24" t="s">
        <v>159</v>
      </c>
      <c r="B74" s="24" t="s">
        <v>160</v>
      </c>
      <c r="C74" s="25">
        <v>4301051838</v>
      </c>
      <c r="D74" s="86">
        <v>4680115881891</v>
      </c>
      <c r="E74" s="87"/>
      <c r="F74" s="75">
        <v>1.4</v>
      </c>
      <c r="G74" s="26">
        <v>6</v>
      </c>
      <c r="H74" s="75">
        <v>8.4</v>
      </c>
      <c r="I74" s="75">
        <v>8.9190000000000005</v>
      </c>
      <c r="J74" s="26">
        <v>64</v>
      </c>
      <c r="K74" s="26" t="s">
        <v>106</v>
      </c>
      <c r="L74" s="26"/>
      <c r="M74" s="35" t="s">
        <v>78</v>
      </c>
      <c r="N74" s="35"/>
      <c r="O74" s="26">
        <v>40</v>
      </c>
      <c r="P74" s="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84"/>
      <c r="R74" s="84"/>
      <c r="S74" s="84"/>
      <c r="T74" s="85"/>
      <c r="U74" s="47"/>
      <c r="V74" s="47"/>
      <c r="W74" s="48" t="s">
        <v>70</v>
      </c>
      <c r="X74" s="76">
        <v>16.8</v>
      </c>
      <c r="Y74" s="77">
        <f t="shared" ref="Y74:Y79" si="11">IFERROR(IF(X74="",0,CEILING((X74/$H74),1)*$H74),"")</f>
        <v>16.8</v>
      </c>
      <c r="Z74" s="52">
        <f>IFERROR(IF(Y74=0,"",ROUNDUP(Y74/H74,0)*0.01898),"")</f>
        <v>3.7960000000000001E-2</v>
      </c>
      <c r="AA74" s="53"/>
      <c r="AB74" s="54"/>
      <c r="AC74" s="55" t="s">
        <v>161</v>
      </c>
      <c r="AG74" s="78"/>
      <c r="AJ74" s="57"/>
      <c r="AK74" s="57">
        <v>0</v>
      </c>
      <c r="BB74" s="59" t="s">
        <v>1</v>
      </c>
      <c r="BM74" s="78">
        <f t="shared" ref="BM74:BM79" si="12">IFERROR(X74*I74/H74,"0")</f>
        <v>17.838000000000001</v>
      </c>
      <c r="BN74" s="78">
        <f t="shared" ref="BN74:BN79" si="13">IFERROR(Y74*I74/H74,"0")</f>
        <v>17.838000000000001</v>
      </c>
      <c r="BO74" s="78">
        <f t="shared" ref="BO74:BO79" si="14">IFERROR(1/J74*(X74/H74),"0")</f>
        <v>3.125E-2</v>
      </c>
      <c r="BP74" s="78">
        <f t="shared" ref="BP74:BP79" si="15">IFERROR(1/J74*(Y74/H74),"0")</f>
        <v>3.125E-2</v>
      </c>
    </row>
    <row r="75" spans="1:68" ht="27" customHeight="1" x14ac:dyDescent="0.25">
      <c r="A75" s="24" t="s">
        <v>162</v>
      </c>
      <c r="B75" s="24" t="s">
        <v>163</v>
      </c>
      <c r="C75" s="25">
        <v>4301051846</v>
      </c>
      <c r="D75" s="86">
        <v>4680115885769</v>
      </c>
      <c r="E75" s="87"/>
      <c r="F75" s="75">
        <v>1.4</v>
      </c>
      <c r="G75" s="26">
        <v>6</v>
      </c>
      <c r="H75" s="75">
        <v>8.4</v>
      </c>
      <c r="I75" s="75">
        <v>8.8350000000000009</v>
      </c>
      <c r="J75" s="26">
        <v>64</v>
      </c>
      <c r="K75" s="26" t="s">
        <v>106</v>
      </c>
      <c r="L75" s="26"/>
      <c r="M75" s="35" t="s">
        <v>78</v>
      </c>
      <c r="N75" s="35"/>
      <c r="O75" s="26">
        <v>45</v>
      </c>
      <c r="P75" s="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84"/>
      <c r="R75" s="84"/>
      <c r="S75" s="84"/>
      <c r="T75" s="85"/>
      <c r="U75" s="47"/>
      <c r="V75" s="47"/>
      <c r="W75" s="48" t="s">
        <v>70</v>
      </c>
      <c r="X75" s="76">
        <v>25.2</v>
      </c>
      <c r="Y75" s="77">
        <f t="shared" si="11"/>
        <v>25.200000000000003</v>
      </c>
      <c r="Z75" s="52">
        <f>IFERROR(IF(Y75=0,"",ROUNDUP(Y75/H75,0)*0.01898),"")</f>
        <v>5.6940000000000004E-2</v>
      </c>
      <c r="AA75" s="53"/>
      <c r="AB75" s="54"/>
      <c r="AC75" s="55" t="s">
        <v>164</v>
      </c>
      <c r="AG75" s="78"/>
      <c r="AJ75" s="57"/>
      <c r="AK75" s="57">
        <v>0</v>
      </c>
      <c r="BB75" s="59" t="s">
        <v>1</v>
      </c>
      <c r="BM75" s="78">
        <f t="shared" si="12"/>
        <v>26.505000000000003</v>
      </c>
      <c r="BN75" s="78">
        <f t="shared" si="13"/>
        <v>26.505000000000006</v>
      </c>
      <c r="BO75" s="78">
        <f t="shared" si="14"/>
        <v>4.6875E-2</v>
      </c>
      <c r="BP75" s="78">
        <f t="shared" si="15"/>
        <v>4.6875E-2</v>
      </c>
    </row>
    <row r="76" spans="1:68" ht="27" customHeight="1" x14ac:dyDescent="0.25">
      <c r="A76" s="24" t="s">
        <v>165</v>
      </c>
      <c r="B76" s="24" t="s">
        <v>166</v>
      </c>
      <c r="C76" s="25">
        <v>4301051927</v>
      </c>
      <c r="D76" s="86">
        <v>4680115884410</v>
      </c>
      <c r="E76" s="87"/>
      <c r="F76" s="75">
        <v>1.4</v>
      </c>
      <c r="G76" s="26">
        <v>6</v>
      </c>
      <c r="H76" s="75">
        <v>8.4</v>
      </c>
      <c r="I76" s="75">
        <v>8.907</v>
      </c>
      <c r="J76" s="26">
        <v>64</v>
      </c>
      <c r="K76" s="26" t="s">
        <v>106</v>
      </c>
      <c r="L76" s="26"/>
      <c r="M76" s="35" t="s">
        <v>78</v>
      </c>
      <c r="N76" s="35"/>
      <c r="O76" s="26">
        <v>40</v>
      </c>
      <c r="P76" s="8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84"/>
      <c r="R76" s="84"/>
      <c r="S76" s="84"/>
      <c r="T76" s="85"/>
      <c r="U76" s="47"/>
      <c r="V76" s="47"/>
      <c r="W76" s="48" t="s">
        <v>70</v>
      </c>
      <c r="X76" s="76">
        <v>25.2</v>
      </c>
      <c r="Y76" s="77">
        <f t="shared" si="11"/>
        <v>25.200000000000003</v>
      </c>
      <c r="Z76" s="52">
        <f>IFERROR(IF(Y76=0,"",ROUNDUP(Y76/H76,0)*0.01898),"")</f>
        <v>5.6940000000000004E-2</v>
      </c>
      <c r="AA76" s="53"/>
      <c r="AB76" s="54"/>
      <c r="AC76" s="55" t="s">
        <v>167</v>
      </c>
      <c r="AG76" s="78"/>
      <c r="AJ76" s="57"/>
      <c r="AK76" s="57">
        <v>0</v>
      </c>
      <c r="BB76" s="59" t="s">
        <v>1</v>
      </c>
      <c r="BM76" s="78">
        <f t="shared" si="12"/>
        <v>26.721</v>
      </c>
      <c r="BN76" s="78">
        <f t="shared" si="13"/>
        <v>26.721000000000004</v>
      </c>
      <c r="BO76" s="78">
        <f t="shared" si="14"/>
        <v>4.6875E-2</v>
      </c>
      <c r="BP76" s="78">
        <f t="shared" si="15"/>
        <v>4.6875E-2</v>
      </c>
    </row>
    <row r="77" spans="1:68" ht="16.5" customHeight="1" x14ac:dyDescent="0.25">
      <c r="A77" s="24" t="s">
        <v>168</v>
      </c>
      <c r="B77" s="24" t="s">
        <v>169</v>
      </c>
      <c r="C77" s="25">
        <v>4301051837</v>
      </c>
      <c r="D77" s="86">
        <v>4680115884311</v>
      </c>
      <c r="E77" s="87"/>
      <c r="F77" s="75">
        <v>0.3</v>
      </c>
      <c r="G77" s="26">
        <v>6</v>
      </c>
      <c r="H77" s="75">
        <v>1.8</v>
      </c>
      <c r="I77" s="75">
        <v>2.0459999999999998</v>
      </c>
      <c r="J77" s="26">
        <v>182</v>
      </c>
      <c r="K77" s="26" t="s">
        <v>77</v>
      </c>
      <c r="L77" s="26"/>
      <c r="M77" s="35" t="s">
        <v>78</v>
      </c>
      <c r="N77" s="35"/>
      <c r="O77" s="26">
        <v>40</v>
      </c>
      <c r="P77" s="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84"/>
      <c r="R77" s="84"/>
      <c r="S77" s="84"/>
      <c r="T77" s="85"/>
      <c r="U77" s="47"/>
      <c r="V77" s="47"/>
      <c r="W77" s="48" t="s">
        <v>70</v>
      </c>
      <c r="X77" s="76">
        <v>0</v>
      </c>
      <c r="Y77" s="77">
        <f t="shared" si="11"/>
        <v>0</v>
      </c>
      <c r="Z77" s="52" t="str">
        <f>IFERROR(IF(Y77=0,"",ROUNDUP(Y77/H77,0)*0.00651),"")</f>
        <v/>
      </c>
      <c r="AA77" s="53"/>
      <c r="AB77" s="54"/>
      <c r="AC77" s="55" t="s">
        <v>161</v>
      </c>
      <c r="AG77" s="78"/>
      <c r="AJ77" s="57"/>
      <c r="AK77" s="57">
        <v>0</v>
      </c>
      <c r="BB77" s="59" t="s">
        <v>1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24" t="s">
        <v>170</v>
      </c>
      <c r="B78" s="24" t="s">
        <v>171</v>
      </c>
      <c r="C78" s="25">
        <v>4301051844</v>
      </c>
      <c r="D78" s="86">
        <v>4680115885929</v>
      </c>
      <c r="E78" s="87"/>
      <c r="F78" s="75">
        <v>0.42</v>
      </c>
      <c r="G78" s="26">
        <v>6</v>
      </c>
      <c r="H78" s="75">
        <v>2.52</v>
      </c>
      <c r="I78" s="75">
        <v>2.7</v>
      </c>
      <c r="J78" s="26">
        <v>182</v>
      </c>
      <c r="K78" s="26" t="s">
        <v>77</v>
      </c>
      <c r="L78" s="26"/>
      <c r="M78" s="35" t="s">
        <v>78</v>
      </c>
      <c r="N78" s="35"/>
      <c r="O78" s="26">
        <v>45</v>
      </c>
      <c r="P78" s="8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84"/>
      <c r="R78" s="84"/>
      <c r="S78" s="84"/>
      <c r="T78" s="85"/>
      <c r="U78" s="47"/>
      <c r="V78" s="47"/>
      <c r="W78" s="48" t="s">
        <v>70</v>
      </c>
      <c r="X78" s="76">
        <v>5.04</v>
      </c>
      <c r="Y78" s="77">
        <f t="shared" si="11"/>
        <v>5.04</v>
      </c>
      <c r="Z78" s="52">
        <f>IFERROR(IF(Y78=0,"",ROUNDUP(Y78/H78,0)*0.00651),"")</f>
        <v>1.302E-2</v>
      </c>
      <c r="AA78" s="53"/>
      <c r="AB78" s="54"/>
      <c r="AC78" s="55" t="s">
        <v>164</v>
      </c>
      <c r="AG78" s="78"/>
      <c r="AJ78" s="57"/>
      <c r="AK78" s="57">
        <v>0</v>
      </c>
      <c r="BB78" s="59" t="s">
        <v>1</v>
      </c>
      <c r="BM78" s="78">
        <f t="shared" si="12"/>
        <v>5.4</v>
      </c>
      <c r="BN78" s="78">
        <f t="shared" si="13"/>
        <v>5.4</v>
      </c>
      <c r="BO78" s="78">
        <f t="shared" si="14"/>
        <v>1.098901098901099E-2</v>
      </c>
      <c r="BP78" s="78">
        <f t="shared" si="15"/>
        <v>1.098901098901099E-2</v>
      </c>
    </row>
    <row r="79" spans="1:68" ht="27" customHeight="1" x14ac:dyDescent="0.25">
      <c r="A79" s="24" t="s">
        <v>172</v>
      </c>
      <c r="B79" s="24" t="s">
        <v>173</v>
      </c>
      <c r="C79" s="25">
        <v>4301051929</v>
      </c>
      <c r="D79" s="86">
        <v>4680115884403</v>
      </c>
      <c r="E79" s="87"/>
      <c r="F79" s="75">
        <v>0.3</v>
      </c>
      <c r="G79" s="26">
        <v>6</v>
      </c>
      <c r="H79" s="75">
        <v>1.8</v>
      </c>
      <c r="I79" s="75">
        <v>1.98</v>
      </c>
      <c r="J79" s="26">
        <v>182</v>
      </c>
      <c r="K79" s="26" t="s">
        <v>77</v>
      </c>
      <c r="L79" s="26"/>
      <c r="M79" s="35" t="s">
        <v>78</v>
      </c>
      <c r="N79" s="35"/>
      <c r="O79" s="26">
        <v>40</v>
      </c>
      <c r="P79" s="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84"/>
      <c r="R79" s="84"/>
      <c r="S79" s="84"/>
      <c r="T79" s="85"/>
      <c r="U79" s="47"/>
      <c r="V79" s="47"/>
      <c r="W79" s="48" t="s">
        <v>70</v>
      </c>
      <c r="X79" s="76">
        <v>0</v>
      </c>
      <c r="Y79" s="77">
        <f t="shared" si="11"/>
        <v>0</v>
      </c>
      <c r="Z79" s="52" t="str">
        <f>IFERROR(IF(Y79=0,"",ROUNDUP(Y79/H79,0)*0.00651),"")</f>
        <v/>
      </c>
      <c r="AA79" s="53"/>
      <c r="AB79" s="54"/>
      <c r="AC79" s="55" t="s">
        <v>167</v>
      </c>
      <c r="AG79" s="78"/>
      <c r="AJ79" s="57"/>
      <c r="AK79" s="57">
        <v>0</v>
      </c>
      <c r="BB79" s="59" t="s">
        <v>1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99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100"/>
      <c r="P80" s="91" t="s">
        <v>72</v>
      </c>
      <c r="Q80" s="92"/>
      <c r="R80" s="92"/>
      <c r="S80" s="92"/>
      <c r="T80" s="92"/>
      <c r="U80" s="92"/>
      <c r="V80" s="93"/>
      <c r="W80" s="49" t="s">
        <v>73</v>
      </c>
      <c r="X80" s="79">
        <f>IFERROR(X74/H74,"0")+IFERROR(X75/H75,"0")+IFERROR(X76/H76,"0")+IFERROR(X77/H77,"0")+IFERROR(X78/H78,"0")+IFERROR(X79/H79,"0")</f>
        <v>10</v>
      </c>
      <c r="Y80" s="79">
        <f>IFERROR(Y74/H74,"0")+IFERROR(Y75/H75,"0")+IFERROR(Y76/H76,"0")+IFERROR(Y77/H77,"0")+IFERROR(Y78/H78,"0")+IFERROR(Y79/H79,"0")</f>
        <v>10</v>
      </c>
      <c r="Z80" s="79">
        <f>IFERROR(IF(Z74="",0,Z74),"0")+IFERROR(IF(Z75="",0,Z75),"0")+IFERROR(IF(Z76="",0,Z76),"0")+IFERROR(IF(Z77="",0,Z77),"0")+IFERROR(IF(Z78="",0,Z78),"0")+IFERROR(IF(Z79="",0,Z79),"0")</f>
        <v>0.16486000000000003</v>
      </c>
      <c r="AA80" s="80"/>
      <c r="AB80" s="80"/>
      <c r="AC80" s="80"/>
    </row>
    <row r="81" spans="1:68" x14ac:dyDescent="0.2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100"/>
      <c r="P81" s="91" t="s">
        <v>72</v>
      </c>
      <c r="Q81" s="92"/>
      <c r="R81" s="92"/>
      <c r="S81" s="92"/>
      <c r="T81" s="92"/>
      <c r="U81" s="92"/>
      <c r="V81" s="93"/>
      <c r="W81" s="49" t="s">
        <v>70</v>
      </c>
      <c r="X81" s="79">
        <f>IFERROR(SUM(X74:X79),"0")</f>
        <v>72.240000000000009</v>
      </c>
      <c r="Y81" s="79">
        <f>IFERROR(SUM(Y74:Y79),"0")</f>
        <v>72.240000000000009</v>
      </c>
      <c r="Z81" s="49"/>
      <c r="AA81" s="80"/>
      <c r="AB81" s="80"/>
      <c r="AC81" s="80"/>
    </row>
    <row r="82" spans="1:68" ht="14.25" customHeight="1" x14ac:dyDescent="0.25">
      <c r="A82" s="89" t="s">
        <v>174</v>
      </c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66"/>
      <c r="AB82" s="66"/>
      <c r="AC82" s="66"/>
    </row>
    <row r="83" spans="1:68" ht="27" customHeight="1" x14ac:dyDescent="0.25">
      <c r="A83" s="24" t="s">
        <v>175</v>
      </c>
      <c r="B83" s="24" t="s">
        <v>176</v>
      </c>
      <c r="C83" s="25">
        <v>4301060455</v>
      </c>
      <c r="D83" s="86">
        <v>4680115881532</v>
      </c>
      <c r="E83" s="87"/>
      <c r="F83" s="75">
        <v>1.3</v>
      </c>
      <c r="G83" s="26">
        <v>6</v>
      </c>
      <c r="H83" s="75">
        <v>7.8</v>
      </c>
      <c r="I83" s="75">
        <v>8.2349999999999994</v>
      </c>
      <c r="J83" s="26">
        <v>64</v>
      </c>
      <c r="K83" s="26" t="s">
        <v>106</v>
      </c>
      <c r="L83" s="26"/>
      <c r="M83" s="35" t="s">
        <v>93</v>
      </c>
      <c r="N83" s="35"/>
      <c r="O83" s="26">
        <v>30</v>
      </c>
      <c r="P83" s="8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84"/>
      <c r="R83" s="84"/>
      <c r="S83" s="84"/>
      <c r="T83" s="85"/>
      <c r="U83" s="47"/>
      <c r="V83" s="47"/>
      <c r="W83" s="48" t="s">
        <v>70</v>
      </c>
      <c r="X83" s="76">
        <v>15.6</v>
      </c>
      <c r="Y83" s="77">
        <f>IFERROR(IF(X83="",0,CEILING((X83/$H83),1)*$H83),"")</f>
        <v>15.6</v>
      </c>
      <c r="Z83" s="52">
        <f>IFERROR(IF(Y83=0,"",ROUNDUP(Y83/H83,0)*0.01898),"")</f>
        <v>3.7960000000000001E-2</v>
      </c>
      <c r="AA83" s="53"/>
      <c r="AB83" s="54"/>
      <c r="AC83" s="55" t="s">
        <v>177</v>
      </c>
      <c r="AG83" s="78"/>
      <c r="AJ83" s="57"/>
      <c r="AK83" s="57">
        <v>0</v>
      </c>
      <c r="BB83" s="59" t="s">
        <v>1</v>
      </c>
      <c r="BM83" s="78">
        <f>IFERROR(X83*I83/H83,"0")</f>
        <v>16.47</v>
      </c>
      <c r="BN83" s="78">
        <f>IFERROR(Y83*I83/H83,"0")</f>
        <v>16.47</v>
      </c>
      <c r="BO83" s="78">
        <f>IFERROR(1/J83*(X83/H83),"0")</f>
        <v>3.125E-2</v>
      </c>
      <c r="BP83" s="78">
        <f>IFERROR(1/J83*(Y83/H83),"0")</f>
        <v>3.125E-2</v>
      </c>
    </row>
    <row r="84" spans="1:68" ht="27" customHeight="1" x14ac:dyDescent="0.25">
      <c r="A84" s="24" t="s">
        <v>178</v>
      </c>
      <c r="B84" s="24" t="s">
        <v>179</v>
      </c>
      <c r="C84" s="25">
        <v>4301060351</v>
      </c>
      <c r="D84" s="86">
        <v>4680115881464</v>
      </c>
      <c r="E84" s="87"/>
      <c r="F84" s="75">
        <v>0.4</v>
      </c>
      <c r="G84" s="26">
        <v>6</v>
      </c>
      <c r="H84" s="75">
        <v>2.4</v>
      </c>
      <c r="I84" s="75">
        <v>2.61</v>
      </c>
      <c r="J84" s="26">
        <v>132</v>
      </c>
      <c r="K84" s="26" t="s">
        <v>111</v>
      </c>
      <c r="L84" s="26"/>
      <c r="M84" s="35" t="s">
        <v>78</v>
      </c>
      <c r="N84" s="35"/>
      <c r="O84" s="26">
        <v>30</v>
      </c>
      <c r="P84" s="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84"/>
      <c r="R84" s="84"/>
      <c r="S84" s="84"/>
      <c r="T84" s="85"/>
      <c r="U84" s="47"/>
      <c r="V84" s="47"/>
      <c r="W84" s="48" t="s">
        <v>70</v>
      </c>
      <c r="X84" s="76">
        <v>0</v>
      </c>
      <c r="Y84" s="77">
        <f>IFERROR(IF(X84="",0,CEILING((X84/$H84),1)*$H84),"")</f>
        <v>0</v>
      </c>
      <c r="Z84" s="52" t="str">
        <f>IFERROR(IF(Y84=0,"",ROUNDUP(Y84/H84,0)*0.00902),"")</f>
        <v/>
      </c>
      <c r="AA84" s="53"/>
      <c r="AB84" s="54"/>
      <c r="AC84" s="55" t="s">
        <v>180</v>
      </c>
      <c r="AG84" s="78"/>
      <c r="AJ84" s="57"/>
      <c r="AK84" s="57">
        <v>0</v>
      </c>
      <c r="BB84" s="59" t="s">
        <v>1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99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100"/>
      <c r="P85" s="91" t="s">
        <v>72</v>
      </c>
      <c r="Q85" s="92"/>
      <c r="R85" s="92"/>
      <c r="S85" s="92"/>
      <c r="T85" s="92"/>
      <c r="U85" s="92"/>
      <c r="V85" s="93"/>
      <c r="W85" s="49" t="s">
        <v>73</v>
      </c>
      <c r="X85" s="79">
        <f>IFERROR(X83/H83,"0")+IFERROR(X84/H84,"0")</f>
        <v>2</v>
      </c>
      <c r="Y85" s="79">
        <f>IFERROR(Y83/H83,"0")+IFERROR(Y84/H84,"0")</f>
        <v>2</v>
      </c>
      <c r="Z85" s="79">
        <f>IFERROR(IF(Z83="",0,Z83),"0")+IFERROR(IF(Z84="",0,Z84),"0")</f>
        <v>3.7960000000000001E-2</v>
      </c>
      <c r="AA85" s="80"/>
      <c r="AB85" s="80"/>
      <c r="AC85" s="80"/>
    </row>
    <row r="86" spans="1:68" x14ac:dyDescent="0.2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100"/>
      <c r="P86" s="91" t="s">
        <v>72</v>
      </c>
      <c r="Q86" s="92"/>
      <c r="R86" s="92"/>
      <c r="S86" s="92"/>
      <c r="T86" s="92"/>
      <c r="U86" s="92"/>
      <c r="V86" s="93"/>
      <c r="W86" s="49" t="s">
        <v>70</v>
      </c>
      <c r="X86" s="79">
        <f>IFERROR(SUM(X83:X84),"0")</f>
        <v>15.6</v>
      </c>
      <c r="Y86" s="79">
        <f>IFERROR(SUM(Y83:Y84),"0")</f>
        <v>15.6</v>
      </c>
      <c r="Z86" s="49"/>
      <c r="AA86" s="80"/>
      <c r="AB86" s="80"/>
      <c r="AC86" s="80"/>
    </row>
    <row r="87" spans="1:68" ht="16.5" customHeight="1" x14ac:dyDescent="0.25">
      <c r="A87" s="94" t="s">
        <v>181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65"/>
      <c r="AB87" s="65"/>
      <c r="AC87" s="65"/>
    </row>
    <row r="88" spans="1:68" ht="14.25" customHeight="1" x14ac:dyDescent="0.25">
      <c r="A88" s="89" t="s">
        <v>103</v>
      </c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66"/>
      <c r="AB88" s="66"/>
      <c r="AC88" s="66"/>
    </row>
    <row r="89" spans="1:68" ht="27" customHeight="1" x14ac:dyDescent="0.25">
      <c r="A89" s="24" t="s">
        <v>182</v>
      </c>
      <c r="B89" s="24" t="s">
        <v>183</v>
      </c>
      <c r="C89" s="25">
        <v>4301011468</v>
      </c>
      <c r="D89" s="86">
        <v>4680115881327</v>
      </c>
      <c r="E89" s="87"/>
      <c r="F89" s="75">
        <v>1.35</v>
      </c>
      <c r="G89" s="26">
        <v>8</v>
      </c>
      <c r="H89" s="75">
        <v>10.8</v>
      </c>
      <c r="I89" s="75">
        <v>11.234999999999999</v>
      </c>
      <c r="J89" s="26">
        <v>64</v>
      </c>
      <c r="K89" s="26" t="s">
        <v>106</v>
      </c>
      <c r="L89" s="26"/>
      <c r="M89" s="35" t="s">
        <v>93</v>
      </c>
      <c r="N89" s="35"/>
      <c r="O89" s="26">
        <v>50</v>
      </c>
      <c r="P89" s="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84"/>
      <c r="R89" s="84"/>
      <c r="S89" s="84"/>
      <c r="T89" s="85"/>
      <c r="U89" s="47"/>
      <c r="V89" s="47"/>
      <c r="W89" s="48" t="s">
        <v>70</v>
      </c>
      <c r="X89" s="76">
        <v>0</v>
      </c>
      <c r="Y89" s="77">
        <f>IFERROR(IF(X89="",0,CEILING((X89/$H89),1)*$H89),"")</f>
        <v>0</v>
      </c>
      <c r="Z89" s="52" t="str">
        <f>IFERROR(IF(Y89=0,"",ROUNDUP(Y89/H89,0)*0.01898),"")</f>
        <v/>
      </c>
      <c r="AA89" s="53"/>
      <c r="AB89" s="54"/>
      <c r="AC89" s="55" t="s">
        <v>184</v>
      </c>
      <c r="AG89" s="78"/>
      <c r="AJ89" s="57"/>
      <c r="AK89" s="57">
        <v>0</v>
      </c>
      <c r="BB89" s="59" t="s">
        <v>1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24" t="s">
        <v>185</v>
      </c>
      <c r="B90" s="24" t="s">
        <v>186</v>
      </c>
      <c r="C90" s="25">
        <v>4301011476</v>
      </c>
      <c r="D90" s="86">
        <v>4680115881518</v>
      </c>
      <c r="E90" s="87"/>
      <c r="F90" s="75">
        <v>0.4</v>
      </c>
      <c r="G90" s="26">
        <v>10</v>
      </c>
      <c r="H90" s="75">
        <v>4</v>
      </c>
      <c r="I90" s="75">
        <v>4.21</v>
      </c>
      <c r="J90" s="26">
        <v>132</v>
      </c>
      <c r="K90" s="26" t="s">
        <v>111</v>
      </c>
      <c r="L90" s="26"/>
      <c r="M90" s="35" t="s">
        <v>78</v>
      </c>
      <c r="N90" s="35"/>
      <c r="O90" s="26">
        <v>50</v>
      </c>
      <c r="P90" s="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84"/>
      <c r="R90" s="84"/>
      <c r="S90" s="84"/>
      <c r="T90" s="85"/>
      <c r="U90" s="47"/>
      <c r="V90" s="47"/>
      <c r="W90" s="48" t="s">
        <v>70</v>
      </c>
      <c r="X90" s="76">
        <v>0</v>
      </c>
      <c r="Y90" s="77">
        <f>IFERROR(IF(X90="",0,CEILING((X90/$H90),1)*$H90),"")</f>
        <v>0</v>
      </c>
      <c r="Z90" s="52" t="str">
        <f>IFERROR(IF(Y90=0,"",ROUNDUP(Y90/H90,0)*0.00902),"")</f>
        <v/>
      </c>
      <c r="AA90" s="53"/>
      <c r="AB90" s="54"/>
      <c r="AC90" s="55" t="s">
        <v>184</v>
      </c>
      <c r="AG90" s="78"/>
      <c r="AJ90" s="57"/>
      <c r="AK90" s="57">
        <v>0</v>
      </c>
      <c r="BB90" s="59" t="s">
        <v>1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24" t="s">
        <v>187</v>
      </c>
      <c r="B91" s="24" t="s">
        <v>188</v>
      </c>
      <c r="C91" s="25">
        <v>4301011443</v>
      </c>
      <c r="D91" s="86">
        <v>4680115881303</v>
      </c>
      <c r="E91" s="87"/>
      <c r="F91" s="75">
        <v>0.45</v>
      </c>
      <c r="G91" s="26">
        <v>10</v>
      </c>
      <c r="H91" s="75">
        <v>4.5</v>
      </c>
      <c r="I91" s="75">
        <v>4.71</v>
      </c>
      <c r="J91" s="26">
        <v>132</v>
      </c>
      <c r="K91" s="26" t="s">
        <v>111</v>
      </c>
      <c r="L91" s="26" t="s">
        <v>112</v>
      </c>
      <c r="M91" s="35" t="s">
        <v>93</v>
      </c>
      <c r="N91" s="35"/>
      <c r="O91" s="26">
        <v>50</v>
      </c>
      <c r="P91" s="8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84"/>
      <c r="R91" s="84"/>
      <c r="S91" s="84"/>
      <c r="T91" s="85"/>
      <c r="U91" s="47"/>
      <c r="V91" s="47"/>
      <c r="W91" s="48" t="s">
        <v>70</v>
      </c>
      <c r="X91" s="76">
        <v>22.5</v>
      </c>
      <c r="Y91" s="77">
        <f>IFERROR(IF(X91="",0,CEILING((X91/$H91),1)*$H91),"")</f>
        <v>22.5</v>
      </c>
      <c r="Z91" s="52">
        <f>IFERROR(IF(Y91=0,"",ROUNDUP(Y91/H91,0)*0.00902),"")</f>
        <v>4.5100000000000001E-2</v>
      </c>
      <c r="AA91" s="53"/>
      <c r="AB91" s="54"/>
      <c r="AC91" s="55" t="s">
        <v>184</v>
      </c>
      <c r="AG91" s="78"/>
      <c r="AJ91" s="57" t="s">
        <v>113</v>
      </c>
      <c r="AK91" s="57">
        <v>54</v>
      </c>
      <c r="BB91" s="59" t="s">
        <v>1</v>
      </c>
      <c r="BM91" s="78">
        <f>IFERROR(X91*I91/H91,"0")</f>
        <v>23.549999999999997</v>
      </c>
      <c r="BN91" s="78">
        <f>IFERROR(Y91*I91/H91,"0")</f>
        <v>23.549999999999997</v>
      </c>
      <c r="BO91" s="78">
        <f>IFERROR(1/J91*(X91/H91),"0")</f>
        <v>3.787878787878788E-2</v>
      </c>
      <c r="BP91" s="78">
        <f>IFERROR(1/J91*(Y91/H91),"0")</f>
        <v>3.787878787878788E-2</v>
      </c>
    </row>
    <row r="92" spans="1:68" x14ac:dyDescent="0.2">
      <c r="A92" s="99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100"/>
      <c r="P92" s="91" t="s">
        <v>72</v>
      </c>
      <c r="Q92" s="92"/>
      <c r="R92" s="92"/>
      <c r="S92" s="92"/>
      <c r="T92" s="92"/>
      <c r="U92" s="92"/>
      <c r="V92" s="93"/>
      <c r="W92" s="49" t="s">
        <v>73</v>
      </c>
      <c r="X92" s="79">
        <f>IFERROR(X89/H89,"0")+IFERROR(X90/H90,"0")+IFERROR(X91/H91,"0")</f>
        <v>5</v>
      </c>
      <c r="Y92" s="79">
        <f>IFERROR(Y89/H89,"0")+IFERROR(Y90/H90,"0")+IFERROR(Y91/H91,"0")</f>
        <v>5</v>
      </c>
      <c r="Z92" s="79">
        <f>IFERROR(IF(Z89="",0,Z89),"0")+IFERROR(IF(Z90="",0,Z90),"0")+IFERROR(IF(Z91="",0,Z91),"0")</f>
        <v>4.5100000000000001E-2</v>
      </c>
      <c r="AA92" s="80"/>
      <c r="AB92" s="80"/>
      <c r="AC92" s="80"/>
    </row>
    <row r="93" spans="1:68" x14ac:dyDescent="0.2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100"/>
      <c r="P93" s="91" t="s">
        <v>72</v>
      </c>
      <c r="Q93" s="92"/>
      <c r="R93" s="92"/>
      <c r="S93" s="92"/>
      <c r="T93" s="92"/>
      <c r="U93" s="92"/>
      <c r="V93" s="93"/>
      <c r="W93" s="49" t="s">
        <v>70</v>
      </c>
      <c r="X93" s="79">
        <f>IFERROR(SUM(X89:X91),"0")</f>
        <v>22.5</v>
      </c>
      <c r="Y93" s="79">
        <f>IFERROR(SUM(Y89:Y91),"0")</f>
        <v>22.5</v>
      </c>
      <c r="Z93" s="49"/>
      <c r="AA93" s="80"/>
      <c r="AB93" s="80"/>
      <c r="AC93" s="80"/>
    </row>
    <row r="94" spans="1:68" ht="14.25" customHeight="1" x14ac:dyDescent="0.25">
      <c r="A94" s="89" t="s">
        <v>74</v>
      </c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66"/>
      <c r="AB94" s="66"/>
      <c r="AC94" s="66"/>
    </row>
    <row r="95" spans="1:68" ht="16.5" customHeight="1" x14ac:dyDescent="0.25">
      <c r="A95" s="24" t="s">
        <v>189</v>
      </c>
      <c r="B95" s="24" t="s">
        <v>190</v>
      </c>
      <c r="C95" s="25">
        <v>4301051712</v>
      </c>
      <c r="D95" s="86">
        <v>4607091386967</v>
      </c>
      <c r="E95" s="87"/>
      <c r="F95" s="75">
        <v>1.35</v>
      </c>
      <c r="G95" s="26">
        <v>6</v>
      </c>
      <c r="H95" s="75">
        <v>8.1</v>
      </c>
      <c r="I95" s="75">
        <v>8.6189999999999998</v>
      </c>
      <c r="J95" s="26">
        <v>64</v>
      </c>
      <c r="K95" s="26" t="s">
        <v>106</v>
      </c>
      <c r="L95" s="26"/>
      <c r="M95" s="35" t="s">
        <v>93</v>
      </c>
      <c r="N95" s="35"/>
      <c r="O95" s="26">
        <v>45</v>
      </c>
      <c r="P95" s="123" t="s">
        <v>191</v>
      </c>
      <c r="Q95" s="84"/>
      <c r="R95" s="84"/>
      <c r="S95" s="84"/>
      <c r="T95" s="85"/>
      <c r="U95" s="47"/>
      <c r="V95" s="47"/>
      <c r="W95" s="48" t="s">
        <v>70</v>
      </c>
      <c r="X95" s="76">
        <v>40.5</v>
      </c>
      <c r="Y95" s="77">
        <f t="shared" ref="Y95:Y100" si="16">IFERROR(IF(X95="",0,CEILING((X95/$H95),1)*$H95),"")</f>
        <v>40.5</v>
      </c>
      <c r="Z95" s="52">
        <f>IFERROR(IF(Y95=0,"",ROUNDUP(Y95/H95,0)*0.01898),"")</f>
        <v>9.4899999999999998E-2</v>
      </c>
      <c r="AA95" s="53"/>
      <c r="AB95" s="54"/>
      <c r="AC95" s="55" t="s">
        <v>192</v>
      </c>
      <c r="AG95" s="78"/>
      <c r="AJ95" s="57"/>
      <c r="AK95" s="57">
        <v>0</v>
      </c>
      <c r="BB95" s="59" t="s">
        <v>1</v>
      </c>
      <c r="BM95" s="78">
        <f t="shared" ref="BM95:BM100" si="17">IFERROR(X95*I95/H95,"0")</f>
        <v>43.095000000000006</v>
      </c>
      <c r="BN95" s="78">
        <f t="shared" ref="BN95:BN100" si="18">IFERROR(Y95*I95/H95,"0")</f>
        <v>43.095000000000006</v>
      </c>
      <c r="BO95" s="78">
        <f t="shared" ref="BO95:BO100" si="19">IFERROR(1/J95*(X95/H95),"0")</f>
        <v>7.8125E-2</v>
      </c>
      <c r="BP95" s="78">
        <f t="shared" ref="BP95:BP100" si="20">IFERROR(1/J95*(Y95/H95),"0")</f>
        <v>7.8125E-2</v>
      </c>
    </row>
    <row r="96" spans="1:68" ht="16.5" customHeight="1" x14ac:dyDescent="0.25">
      <c r="A96" s="24" t="s">
        <v>189</v>
      </c>
      <c r="B96" s="24" t="s">
        <v>193</v>
      </c>
      <c r="C96" s="25">
        <v>4301051437</v>
      </c>
      <c r="D96" s="86">
        <v>4607091386967</v>
      </c>
      <c r="E96" s="87"/>
      <c r="F96" s="75">
        <v>1.35</v>
      </c>
      <c r="G96" s="26">
        <v>6</v>
      </c>
      <c r="H96" s="75">
        <v>8.1</v>
      </c>
      <c r="I96" s="75">
        <v>8.6189999999999998</v>
      </c>
      <c r="J96" s="26">
        <v>64</v>
      </c>
      <c r="K96" s="26" t="s">
        <v>106</v>
      </c>
      <c r="L96" s="26"/>
      <c r="M96" s="35" t="s">
        <v>78</v>
      </c>
      <c r="N96" s="35"/>
      <c r="O96" s="26">
        <v>45</v>
      </c>
      <c r="P96" s="8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84"/>
      <c r="R96" s="84"/>
      <c r="S96" s="84"/>
      <c r="T96" s="85"/>
      <c r="U96" s="47"/>
      <c r="V96" s="47"/>
      <c r="W96" s="48" t="s">
        <v>70</v>
      </c>
      <c r="X96" s="76">
        <v>0</v>
      </c>
      <c r="Y96" s="77">
        <f t="shared" si="16"/>
        <v>0</v>
      </c>
      <c r="Z96" s="52" t="str">
        <f>IFERROR(IF(Y96=0,"",ROUNDUP(Y96/H96,0)*0.01898),"")</f>
        <v/>
      </c>
      <c r="AA96" s="53"/>
      <c r="AB96" s="54"/>
      <c r="AC96" s="55" t="s">
        <v>192</v>
      </c>
      <c r="AG96" s="78"/>
      <c r="AJ96" s="57"/>
      <c r="AK96" s="57">
        <v>0</v>
      </c>
      <c r="BB96" s="59" t="s">
        <v>1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24" t="s">
        <v>194</v>
      </c>
      <c r="B97" s="24" t="s">
        <v>195</v>
      </c>
      <c r="C97" s="25">
        <v>4301051788</v>
      </c>
      <c r="D97" s="86">
        <v>4680115884953</v>
      </c>
      <c r="E97" s="87"/>
      <c r="F97" s="75">
        <v>0.37</v>
      </c>
      <c r="G97" s="26">
        <v>6</v>
      </c>
      <c r="H97" s="75">
        <v>2.2200000000000002</v>
      </c>
      <c r="I97" s="75">
        <v>2.472</v>
      </c>
      <c r="J97" s="26">
        <v>182</v>
      </c>
      <c r="K97" s="26" t="s">
        <v>77</v>
      </c>
      <c r="L97" s="26"/>
      <c r="M97" s="35" t="s">
        <v>78</v>
      </c>
      <c r="N97" s="35"/>
      <c r="O97" s="26">
        <v>45</v>
      </c>
      <c r="P97" s="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84"/>
      <c r="R97" s="84"/>
      <c r="S97" s="84"/>
      <c r="T97" s="85"/>
      <c r="U97" s="47"/>
      <c r="V97" s="47"/>
      <c r="W97" s="48" t="s">
        <v>70</v>
      </c>
      <c r="X97" s="76">
        <v>0</v>
      </c>
      <c r="Y97" s="77">
        <f t="shared" si="16"/>
        <v>0</v>
      </c>
      <c r="Z97" s="52" t="str">
        <f>IFERROR(IF(Y97=0,"",ROUNDUP(Y97/H97,0)*0.00651),"")</f>
        <v/>
      </c>
      <c r="AA97" s="53"/>
      <c r="AB97" s="54"/>
      <c r="AC97" s="55" t="s">
        <v>196</v>
      </c>
      <c r="AG97" s="78"/>
      <c r="AJ97" s="57"/>
      <c r="AK97" s="57">
        <v>0</v>
      </c>
      <c r="BB97" s="59" t="s">
        <v>1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24" t="s">
        <v>197</v>
      </c>
      <c r="B98" s="24" t="s">
        <v>198</v>
      </c>
      <c r="C98" s="25">
        <v>4301051718</v>
      </c>
      <c r="D98" s="86">
        <v>4607091385731</v>
      </c>
      <c r="E98" s="87"/>
      <c r="F98" s="75">
        <v>0.45</v>
      </c>
      <c r="G98" s="26">
        <v>6</v>
      </c>
      <c r="H98" s="75">
        <v>2.7</v>
      </c>
      <c r="I98" s="75">
        <v>2.952</v>
      </c>
      <c r="J98" s="26">
        <v>182</v>
      </c>
      <c r="K98" s="26" t="s">
        <v>77</v>
      </c>
      <c r="L98" s="26"/>
      <c r="M98" s="35" t="s">
        <v>93</v>
      </c>
      <c r="N98" s="35"/>
      <c r="O98" s="26">
        <v>45</v>
      </c>
      <c r="P98" s="8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84"/>
      <c r="R98" s="84"/>
      <c r="S98" s="84"/>
      <c r="T98" s="85"/>
      <c r="U98" s="47"/>
      <c r="V98" s="47"/>
      <c r="W98" s="48" t="s">
        <v>70</v>
      </c>
      <c r="X98" s="76">
        <v>5.4</v>
      </c>
      <c r="Y98" s="77">
        <f t="shared" si="16"/>
        <v>5.4</v>
      </c>
      <c r="Z98" s="52">
        <f>IFERROR(IF(Y98=0,"",ROUNDUP(Y98/H98,0)*0.00651),"")</f>
        <v>1.302E-2</v>
      </c>
      <c r="AA98" s="53"/>
      <c r="AB98" s="54"/>
      <c r="AC98" s="55" t="s">
        <v>192</v>
      </c>
      <c r="AG98" s="78"/>
      <c r="AJ98" s="57"/>
      <c r="AK98" s="57">
        <v>0</v>
      </c>
      <c r="BB98" s="59" t="s">
        <v>1</v>
      </c>
      <c r="BM98" s="78">
        <f t="shared" si="17"/>
        <v>5.9039999999999999</v>
      </c>
      <c r="BN98" s="78">
        <f t="shared" si="18"/>
        <v>5.9039999999999999</v>
      </c>
      <c r="BO98" s="78">
        <f t="shared" si="19"/>
        <v>1.098901098901099E-2</v>
      </c>
      <c r="BP98" s="78">
        <f t="shared" si="20"/>
        <v>1.098901098901099E-2</v>
      </c>
    </row>
    <row r="99" spans="1:68" ht="27" customHeight="1" x14ac:dyDescent="0.25">
      <c r="A99" s="24" t="s">
        <v>197</v>
      </c>
      <c r="B99" s="24" t="s">
        <v>199</v>
      </c>
      <c r="C99" s="25">
        <v>4301052039</v>
      </c>
      <c r="D99" s="86">
        <v>4607091385731</v>
      </c>
      <c r="E99" s="87"/>
      <c r="F99" s="75">
        <v>0.45</v>
      </c>
      <c r="G99" s="26">
        <v>6</v>
      </c>
      <c r="H99" s="75">
        <v>2.7</v>
      </c>
      <c r="I99" s="75">
        <v>2.952</v>
      </c>
      <c r="J99" s="26">
        <v>182</v>
      </c>
      <c r="K99" s="26" t="s">
        <v>77</v>
      </c>
      <c r="L99" s="26"/>
      <c r="M99" s="35" t="s">
        <v>78</v>
      </c>
      <c r="N99" s="35"/>
      <c r="O99" s="26">
        <v>45</v>
      </c>
      <c r="P99" s="8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84"/>
      <c r="R99" s="84"/>
      <c r="S99" s="84"/>
      <c r="T99" s="85"/>
      <c r="U99" s="47"/>
      <c r="V99" s="47"/>
      <c r="W99" s="48" t="s">
        <v>70</v>
      </c>
      <c r="X99" s="76">
        <v>0</v>
      </c>
      <c r="Y99" s="77">
        <f t="shared" si="16"/>
        <v>0</v>
      </c>
      <c r="Z99" s="52" t="str">
        <f>IFERROR(IF(Y99=0,"",ROUNDUP(Y99/H99,0)*0.00651),"")</f>
        <v/>
      </c>
      <c r="AA99" s="53"/>
      <c r="AB99" s="54"/>
      <c r="AC99" s="55" t="s">
        <v>200</v>
      </c>
      <c r="AG99" s="78"/>
      <c r="AJ99" s="57"/>
      <c r="AK99" s="57">
        <v>0</v>
      </c>
      <c r="BB99" s="59" t="s">
        <v>1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24" t="s">
        <v>201</v>
      </c>
      <c r="B100" s="24" t="s">
        <v>202</v>
      </c>
      <c r="C100" s="25">
        <v>4301051438</v>
      </c>
      <c r="D100" s="86">
        <v>4680115880894</v>
      </c>
      <c r="E100" s="87"/>
      <c r="F100" s="75">
        <v>0.33</v>
      </c>
      <c r="G100" s="26">
        <v>6</v>
      </c>
      <c r="H100" s="75">
        <v>1.98</v>
      </c>
      <c r="I100" s="75">
        <v>2.238</v>
      </c>
      <c r="J100" s="26">
        <v>182</v>
      </c>
      <c r="K100" s="26" t="s">
        <v>77</v>
      </c>
      <c r="L100" s="26"/>
      <c r="M100" s="35" t="s">
        <v>78</v>
      </c>
      <c r="N100" s="35"/>
      <c r="O100" s="26">
        <v>45</v>
      </c>
      <c r="P100" s="8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84"/>
      <c r="R100" s="84"/>
      <c r="S100" s="84"/>
      <c r="T100" s="85"/>
      <c r="U100" s="47"/>
      <c r="V100" s="47"/>
      <c r="W100" s="48" t="s">
        <v>70</v>
      </c>
      <c r="X100" s="76">
        <v>0</v>
      </c>
      <c r="Y100" s="77">
        <f t="shared" si="16"/>
        <v>0</v>
      </c>
      <c r="Z100" s="52" t="str">
        <f>IFERROR(IF(Y100=0,"",ROUNDUP(Y100/H100,0)*0.00651),"")</f>
        <v/>
      </c>
      <c r="AA100" s="53"/>
      <c r="AB100" s="54"/>
      <c r="AC100" s="55" t="s">
        <v>203</v>
      </c>
      <c r="AG100" s="78"/>
      <c r="AJ100" s="57"/>
      <c r="AK100" s="57">
        <v>0</v>
      </c>
      <c r="BB100" s="59" t="s">
        <v>1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99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100"/>
      <c r="P101" s="91" t="s">
        <v>72</v>
      </c>
      <c r="Q101" s="92"/>
      <c r="R101" s="92"/>
      <c r="S101" s="92"/>
      <c r="T101" s="92"/>
      <c r="U101" s="92"/>
      <c r="V101" s="93"/>
      <c r="W101" s="49" t="s">
        <v>73</v>
      </c>
      <c r="X101" s="79">
        <f>IFERROR(X95/H95,"0")+IFERROR(X96/H96,"0")+IFERROR(X97/H97,"0")+IFERROR(X98/H98,"0")+IFERROR(X99/H99,"0")+IFERROR(X100/H100,"0")</f>
        <v>7</v>
      </c>
      <c r="Y101" s="79">
        <f>IFERROR(Y95/H95,"0")+IFERROR(Y96/H96,"0")+IFERROR(Y97/H97,"0")+IFERROR(Y98/H98,"0")+IFERROR(Y99/H99,"0")+IFERROR(Y100/H100,"0")</f>
        <v>7</v>
      </c>
      <c r="Z101" s="79">
        <f>IFERROR(IF(Z95="",0,Z95),"0")+IFERROR(IF(Z96="",0,Z96),"0")+IFERROR(IF(Z97="",0,Z97),"0")+IFERROR(IF(Z98="",0,Z98),"0")+IFERROR(IF(Z99="",0,Z99),"0")+IFERROR(IF(Z100="",0,Z100),"0")</f>
        <v>0.10792</v>
      </c>
      <c r="AA101" s="80"/>
      <c r="AB101" s="80"/>
      <c r="AC101" s="80"/>
    </row>
    <row r="102" spans="1:68" x14ac:dyDescent="0.2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100"/>
      <c r="P102" s="91" t="s">
        <v>72</v>
      </c>
      <c r="Q102" s="92"/>
      <c r="R102" s="92"/>
      <c r="S102" s="92"/>
      <c r="T102" s="92"/>
      <c r="U102" s="92"/>
      <c r="V102" s="93"/>
      <c r="W102" s="49" t="s">
        <v>70</v>
      </c>
      <c r="X102" s="79">
        <f>IFERROR(SUM(X95:X100),"0")</f>
        <v>45.9</v>
      </c>
      <c r="Y102" s="79">
        <f>IFERROR(SUM(Y95:Y100),"0")</f>
        <v>45.9</v>
      </c>
      <c r="Z102" s="49"/>
      <c r="AA102" s="80"/>
      <c r="AB102" s="80"/>
      <c r="AC102" s="80"/>
    </row>
    <row r="103" spans="1:68" ht="16.5" customHeight="1" x14ac:dyDescent="0.25">
      <c r="A103" s="94" t="s">
        <v>204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65"/>
      <c r="AB103" s="65"/>
      <c r="AC103" s="65"/>
    </row>
    <row r="104" spans="1:68" ht="14.25" customHeight="1" x14ac:dyDescent="0.25">
      <c r="A104" s="89" t="s">
        <v>103</v>
      </c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66"/>
      <c r="AB104" s="66"/>
      <c r="AC104" s="66"/>
    </row>
    <row r="105" spans="1:68" ht="16.5" customHeight="1" x14ac:dyDescent="0.25">
      <c r="A105" s="24" t="s">
        <v>205</v>
      </c>
      <c r="B105" s="24" t="s">
        <v>206</v>
      </c>
      <c r="C105" s="25">
        <v>4301011514</v>
      </c>
      <c r="D105" s="86">
        <v>4680115882133</v>
      </c>
      <c r="E105" s="87"/>
      <c r="F105" s="75">
        <v>1.35</v>
      </c>
      <c r="G105" s="26">
        <v>8</v>
      </c>
      <c r="H105" s="75">
        <v>10.8</v>
      </c>
      <c r="I105" s="75">
        <v>11.234999999999999</v>
      </c>
      <c r="J105" s="26">
        <v>64</v>
      </c>
      <c r="K105" s="26" t="s">
        <v>106</v>
      </c>
      <c r="L105" s="26"/>
      <c r="M105" s="35" t="s">
        <v>107</v>
      </c>
      <c r="N105" s="35"/>
      <c r="O105" s="26">
        <v>50</v>
      </c>
      <c r="P105" s="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84"/>
      <c r="R105" s="84"/>
      <c r="S105" s="84"/>
      <c r="T105" s="85"/>
      <c r="U105" s="47"/>
      <c r="V105" s="47"/>
      <c r="W105" s="48" t="s">
        <v>70</v>
      </c>
      <c r="X105" s="76">
        <v>32.4</v>
      </c>
      <c r="Y105" s="77">
        <f>IFERROR(IF(X105="",0,CEILING((X105/$H105),1)*$H105),"")</f>
        <v>32.400000000000006</v>
      </c>
      <c r="Z105" s="52">
        <f>IFERROR(IF(Y105=0,"",ROUNDUP(Y105/H105,0)*0.01898),"")</f>
        <v>5.6940000000000004E-2</v>
      </c>
      <c r="AA105" s="53"/>
      <c r="AB105" s="54"/>
      <c r="AC105" s="55" t="s">
        <v>207</v>
      </c>
      <c r="AG105" s="78"/>
      <c r="AJ105" s="57"/>
      <c r="AK105" s="57">
        <v>0</v>
      </c>
      <c r="BB105" s="59" t="s">
        <v>1</v>
      </c>
      <c r="BM105" s="78">
        <f>IFERROR(X105*I105/H105,"0")</f>
        <v>33.704999999999991</v>
      </c>
      <c r="BN105" s="78">
        <f>IFERROR(Y105*I105/H105,"0")</f>
        <v>33.705000000000005</v>
      </c>
      <c r="BO105" s="78">
        <f>IFERROR(1/J105*(X105/H105),"0")</f>
        <v>4.6874999999999993E-2</v>
      </c>
      <c r="BP105" s="78">
        <f>IFERROR(1/J105*(Y105/H105),"0")</f>
        <v>4.6875000000000007E-2</v>
      </c>
    </row>
    <row r="106" spans="1:68" ht="16.5" customHeight="1" x14ac:dyDescent="0.25">
      <c r="A106" s="24" t="s">
        <v>208</v>
      </c>
      <c r="B106" s="24" t="s">
        <v>209</v>
      </c>
      <c r="C106" s="25">
        <v>4301011417</v>
      </c>
      <c r="D106" s="86">
        <v>4680115880269</v>
      </c>
      <c r="E106" s="87"/>
      <c r="F106" s="75">
        <v>0.375</v>
      </c>
      <c r="G106" s="26">
        <v>10</v>
      </c>
      <c r="H106" s="75">
        <v>3.75</v>
      </c>
      <c r="I106" s="75">
        <v>3.96</v>
      </c>
      <c r="J106" s="26">
        <v>132</v>
      </c>
      <c r="K106" s="26" t="s">
        <v>111</v>
      </c>
      <c r="L106" s="26" t="s">
        <v>112</v>
      </c>
      <c r="M106" s="35" t="s">
        <v>78</v>
      </c>
      <c r="N106" s="35"/>
      <c r="O106" s="26">
        <v>50</v>
      </c>
      <c r="P106" s="8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84"/>
      <c r="R106" s="84"/>
      <c r="S106" s="84"/>
      <c r="T106" s="85"/>
      <c r="U106" s="47"/>
      <c r="V106" s="47"/>
      <c r="W106" s="48" t="s">
        <v>70</v>
      </c>
      <c r="X106" s="76">
        <v>0</v>
      </c>
      <c r="Y106" s="77">
        <f>IFERROR(IF(X106="",0,CEILING((X106/$H106),1)*$H106),"")</f>
        <v>0</v>
      </c>
      <c r="Z106" s="52" t="str">
        <f>IFERROR(IF(Y106=0,"",ROUNDUP(Y106/H106,0)*0.00902),"")</f>
        <v/>
      </c>
      <c r="AA106" s="53"/>
      <c r="AB106" s="54"/>
      <c r="AC106" s="55" t="s">
        <v>207</v>
      </c>
      <c r="AG106" s="78"/>
      <c r="AJ106" s="57" t="s">
        <v>113</v>
      </c>
      <c r="AK106" s="57">
        <v>45</v>
      </c>
      <c r="BB106" s="59" t="s">
        <v>1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24" t="s">
        <v>210</v>
      </c>
      <c r="B107" s="24" t="s">
        <v>211</v>
      </c>
      <c r="C107" s="25">
        <v>4301011415</v>
      </c>
      <c r="D107" s="86">
        <v>4680115880429</v>
      </c>
      <c r="E107" s="87"/>
      <c r="F107" s="75">
        <v>0.45</v>
      </c>
      <c r="G107" s="26">
        <v>10</v>
      </c>
      <c r="H107" s="75">
        <v>4.5</v>
      </c>
      <c r="I107" s="75">
        <v>4.71</v>
      </c>
      <c r="J107" s="26">
        <v>132</v>
      </c>
      <c r="K107" s="26" t="s">
        <v>111</v>
      </c>
      <c r="L107" s="26"/>
      <c r="M107" s="35" t="s">
        <v>78</v>
      </c>
      <c r="N107" s="35"/>
      <c r="O107" s="26">
        <v>50</v>
      </c>
      <c r="P107" s="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84"/>
      <c r="R107" s="84"/>
      <c r="S107" s="84"/>
      <c r="T107" s="85"/>
      <c r="U107" s="47"/>
      <c r="V107" s="47"/>
      <c r="W107" s="48" t="s">
        <v>70</v>
      </c>
      <c r="X107" s="76">
        <v>22.5</v>
      </c>
      <c r="Y107" s="77">
        <f>IFERROR(IF(X107="",0,CEILING((X107/$H107),1)*$H107),"")</f>
        <v>22.5</v>
      </c>
      <c r="Z107" s="52">
        <f>IFERROR(IF(Y107=0,"",ROUNDUP(Y107/H107,0)*0.00902),"")</f>
        <v>4.5100000000000001E-2</v>
      </c>
      <c r="AA107" s="53"/>
      <c r="AB107" s="54"/>
      <c r="AC107" s="55" t="s">
        <v>207</v>
      </c>
      <c r="AG107" s="78"/>
      <c r="AJ107" s="57"/>
      <c r="AK107" s="57">
        <v>0</v>
      </c>
      <c r="BB107" s="59" t="s">
        <v>1</v>
      </c>
      <c r="BM107" s="78">
        <f>IFERROR(X107*I107/H107,"0")</f>
        <v>23.549999999999997</v>
      </c>
      <c r="BN107" s="78">
        <f>IFERROR(Y107*I107/H107,"0")</f>
        <v>23.549999999999997</v>
      </c>
      <c r="BO107" s="78">
        <f>IFERROR(1/J107*(X107/H107),"0")</f>
        <v>3.787878787878788E-2</v>
      </c>
      <c r="BP107" s="78">
        <f>IFERROR(1/J107*(Y107/H107),"0")</f>
        <v>3.787878787878788E-2</v>
      </c>
    </row>
    <row r="108" spans="1:68" ht="16.5" customHeight="1" x14ac:dyDescent="0.25">
      <c r="A108" s="24" t="s">
        <v>212</v>
      </c>
      <c r="B108" s="24" t="s">
        <v>213</v>
      </c>
      <c r="C108" s="25">
        <v>4301011462</v>
      </c>
      <c r="D108" s="86">
        <v>4680115881457</v>
      </c>
      <c r="E108" s="87"/>
      <c r="F108" s="75">
        <v>0.75</v>
      </c>
      <c r="G108" s="26">
        <v>6</v>
      </c>
      <c r="H108" s="75">
        <v>4.5</v>
      </c>
      <c r="I108" s="75">
        <v>4.71</v>
      </c>
      <c r="J108" s="26">
        <v>132</v>
      </c>
      <c r="K108" s="26" t="s">
        <v>111</v>
      </c>
      <c r="L108" s="26"/>
      <c r="M108" s="35" t="s">
        <v>78</v>
      </c>
      <c r="N108" s="35"/>
      <c r="O108" s="26">
        <v>50</v>
      </c>
      <c r="P108" s="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84"/>
      <c r="R108" s="84"/>
      <c r="S108" s="84"/>
      <c r="T108" s="85"/>
      <c r="U108" s="47"/>
      <c r="V108" s="47"/>
      <c r="W108" s="48" t="s">
        <v>70</v>
      </c>
      <c r="X108" s="76">
        <v>13.5</v>
      </c>
      <c r="Y108" s="77">
        <f>IFERROR(IF(X108="",0,CEILING((X108/$H108),1)*$H108),"")</f>
        <v>13.5</v>
      </c>
      <c r="Z108" s="52">
        <f>IFERROR(IF(Y108=0,"",ROUNDUP(Y108/H108,0)*0.00902),"")</f>
        <v>2.7060000000000001E-2</v>
      </c>
      <c r="AA108" s="53"/>
      <c r="AB108" s="54"/>
      <c r="AC108" s="55" t="s">
        <v>207</v>
      </c>
      <c r="AG108" s="78"/>
      <c r="AJ108" s="57"/>
      <c r="AK108" s="57">
        <v>0</v>
      </c>
      <c r="BB108" s="59" t="s">
        <v>1</v>
      </c>
      <c r="BM108" s="78">
        <f>IFERROR(X108*I108/H108,"0")</f>
        <v>14.13</v>
      </c>
      <c r="BN108" s="78">
        <f>IFERROR(Y108*I108/H108,"0")</f>
        <v>14.13</v>
      </c>
      <c r="BO108" s="78">
        <f>IFERROR(1/J108*(X108/H108),"0")</f>
        <v>2.2727272727272728E-2</v>
      </c>
      <c r="BP108" s="78">
        <f>IFERROR(1/J108*(Y108/H108),"0")</f>
        <v>2.2727272727272728E-2</v>
      </c>
    </row>
    <row r="109" spans="1:68" x14ac:dyDescent="0.2">
      <c r="A109" s="99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100"/>
      <c r="P109" s="91" t="s">
        <v>72</v>
      </c>
      <c r="Q109" s="92"/>
      <c r="R109" s="92"/>
      <c r="S109" s="92"/>
      <c r="T109" s="92"/>
      <c r="U109" s="92"/>
      <c r="V109" s="93"/>
      <c r="W109" s="49" t="s">
        <v>73</v>
      </c>
      <c r="X109" s="79">
        <f>IFERROR(X105/H105,"0")+IFERROR(X106/H106,"0")+IFERROR(X107/H107,"0")+IFERROR(X108/H108,"0")</f>
        <v>11</v>
      </c>
      <c r="Y109" s="79">
        <f>IFERROR(Y105/H105,"0")+IFERROR(Y106/H106,"0")+IFERROR(Y107/H107,"0")+IFERROR(Y108/H108,"0")</f>
        <v>11</v>
      </c>
      <c r="Z109" s="79">
        <f>IFERROR(IF(Z105="",0,Z105),"0")+IFERROR(IF(Z106="",0,Z106),"0")+IFERROR(IF(Z107="",0,Z107),"0")+IFERROR(IF(Z108="",0,Z108),"0")</f>
        <v>0.12909999999999999</v>
      </c>
      <c r="AA109" s="80"/>
      <c r="AB109" s="80"/>
      <c r="AC109" s="80"/>
    </row>
    <row r="110" spans="1:68" x14ac:dyDescent="0.2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100"/>
      <c r="P110" s="91" t="s">
        <v>72</v>
      </c>
      <c r="Q110" s="92"/>
      <c r="R110" s="92"/>
      <c r="S110" s="92"/>
      <c r="T110" s="92"/>
      <c r="U110" s="92"/>
      <c r="V110" s="93"/>
      <c r="W110" s="49" t="s">
        <v>70</v>
      </c>
      <c r="X110" s="79">
        <f>IFERROR(SUM(X105:X108),"0")</f>
        <v>68.400000000000006</v>
      </c>
      <c r="Y110" s="79">
        <f>IFERROR(SUM(Y105:Y108),"0")</f>
        <v>68.400000000000006</v>
      </c>
      <c r="Z110" s="49"/>
      <c r="AA110" s="80"/>
      <c r="AB110" s="80"/>
      <c r="AC110" s="80"/>
    </row>
    <row r="111" spans="1:68" ht="14.25" customHeight="1" x14ac:dyDescent="0.25">
      <c r="A111" s="89" t="s">
        <v>139</v>
      </c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66"/>
      <c r="AB111" s="66"/>
      <c r="AC111" s="66"/>
    </row>
    <row r="112" spans="1:68" ht="16.5" customHeight="1" x14ac:dyDescent="0.25">
      <c r="A112" s="24" t="s">
        <v>214</v>
      </c>
      <c r="B112" s="24" t="s">
        <v>215</v>
      </c>
      <c r="C112" s="25">
        <v>4301020345</v>
      </c>
      <c r="D112" s="86">
        <v>4680115881488</v>
      </c>
      <c r="E112" s="87"/>
      <c r="F112" s="75">
        <v>1.35</v>
      </c>
      <c r="G112" s="26">
        <v>8</v>
      </c>
      <c r="H112" s="75">
        <v>10.8</v>
      </c>
      <c r="I112" s="75">
        <v>11.234999999999999</v>
      </c>
      <c r="J112" s="26">
        <v>64</v>
      </c>
      <c r="K112" s="26" t="s">
        <v>106</v>
      </c>
      <c r="L112" s="26"/>
      <c r="M112" s="35" t="s">
        <v>107</v>
      </c>
      <c r="N112" s="35"/>
      <c r="O112" s="26">
        <v>55</v>
      </c>
      <c r="P112" s="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84"/>
      <c r="R112" s="84"/>
      <c r="S112" s="84"/>
      <c r="T112" s="85"/>
      <c r="U112" s="47"/>
      <c r="V112" s="47"/>
      <c r="W112" s="48" t="s">
        <v>70</v>
      </c>
      <c r="X112" s="76">
        <v>32.4</v>
      </c>
      <c r="Y112" s="77">
        <f>IFERROR(IF(X112="",0,CEILING((X112/$H112),1)*$H112),"")</f>
        <v>32.400000000000006</v>
      </c>
      <c r="Z112" s="52">
        <f>IFERROR(IF(Y112=0,"",ROUNDUP(Y112/H112,0)*0.01898),"")</f>
        <v>5.6940000000000004E-2</v>
      </c>
      <c r="AA112" s="53"/>
      <c r="AB112" s="54"/>
      <c r="AC112" s="55" t="s">
        <v>216</v>
      </c>
      <c r="AG112" s="78"/>
      <c r="AJ112" s="57"/>
      <c r="AK112" s="57">
        <v>0</v>
      </c>
      <c r="BB112" s="59" t="s">
        <v>1</v>
      </c>
      <c r="BM112" s="78">
        <f>IFERROR(X112*I112/H112,"0")</f>
        <v>33.704999999999991</v>
      </c>
      <c r="BN112" s="78">
        <f>IFERROR(Y112*I112/H112,"0")</f>
        <v>33.705000000000005</v>
      </c>
      <c r="BO112" s="78">
        <f>IFERROR(1/J112*(X112/H112),"0")</f>
        <v>4.6874999999999993E-2</v>
      </c>
      <c r="BP112" s="78">
        <f>IFERROR(1/J112*(Y112/H112),"0")</f>
        <v>4.6875000000000007E-2</v>
      </c>
    </row>
    <row r="113" spans="1:68" ht="16.5" customHeight="1" x14ac:dyDescent="0.25">
      <c r="A113" s="24" t="s">
        <v>217</v>
      </c>
      <c r="B113" s="24" t="s">
        <v>218</v>
      </c>
      <c r="C113" s="25">
        <v>4301020346</v>
      </c>
      <c r="D113" s="86">
        <v>4680115882775</v>
      </c>
      <c r="E113" s="87"/>
      <c r="F113" s="75">
        <v>0.3</v>
      </c>
      <c r="G113" s="26">
        <v>8</v>
      </c>
      <c r="H113" s="75">
        <v>2.4</v>
      </c>
      <c r="I113" s="75">
        <v>2.5</v>
      </c>
      <c r="J113" s="26">
        <v>234</v>
      </c>
      <c r="K113" s="26" t="s">
        <v>67</v>
      </c>
      <c r="L113" s="26"/>
      <c r="M113" s="35" t="s">
        <v>107</v>
      </c>
      <c r="N113" s="35"/>
      <c r="O113" s="26">
        <v>55</v>
      </c>
      <c r="P113" s="8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84"/>
      <c r="R113" s="84"/>
      <c r="S113" s="84"/>
      <c r="T113" s="85"/>
      <c r="U113" s="47"/>
      <c r="V113" s="47"/>
      <c r="W113" s="48" t="s">
        <v>70</v>
      </c>
      <c r="X113" s="76">
        <v>0</v>
      </c>
      <c r="Y113" s="77">
        <f>IFERROR(IF(X113="",0,CEILING((X113/$H113),1)*$H113),"")</f>
        <v>0</v>
      </c>
      <c r="Z113" s="52" t="str">
        <f>IFERROR(IF(Y113=0,"",ROUNDUP(Y113/H113,0)*0.00502),"")</f>
        <v/>
      </c>
      <c r="AA113" s="53"/>
      <c r="AB113" s="54"/>
      <c r="AC113" s="55" t="s">
        <v>216</v>
      </c>
      <c r="AG113" s="78"/>
      <c r="AJ113" s="57"/>
      <c r="AK113" s="57">
        <v>0</v>
      </c>
      <c r="BB113" s="59" t="s">
        <v>1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24" t="s">
        <v>219</v>
      </c>
      <c r="B114" s="24" t="s">
        <v>220</v>
      </c>
      <c r="C114" s="25">
        <v>4301020344</v>
      </c>
      <c r="D114" s="86">
        <v>4680115880658</v>
      </c>
      <c r="E114" s="87"/>
      <c r="F114" s="75">
        <v>0.4</v>
      </c>
      <c r="G114" s="26">
        <v>6</v>
      </c>
      <c r="H114" s="75">
        <v>2.4</v>
      </c>
      <c r="I114" s="75">
        <v>2.58</v>
      </c>
      <c r="J114" s="26">
        <v>182</v>
      </c>
      <c r="K114" s="26" t="s">
        <v>77</v>
      </c>
      <c r="L114" s="26"/>
      <c r="M114" s="35" t="s">
        <v>107</v>
      </c>
      <c r="N114" s="35"/>
      <c r="O114" s="26">
        <v>55</v>
      </c>
      <c r="P114" s="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84"/>
      <c r="R114" s="84"/>
      <c r="S114" s="84"/>
      <c r="T114" s="85"/>
      <c r="U114" s="47"/>
      <c r="V114" s="47"/>
      <c r="W114" s="48" t="s">
        <v>70</v>
      </c>
      <c r="X114" s="76">
        <v>0</v>
      </c>
      <c r="Y114" s="77">
        <f>IFERROR(IF(X114="",0,CEILING((X114/$H114),1)*$H114),"")</f>
        <v>0</v>
      </c>
      <c r="Z114" s="52" t="str">
        <f>IFERROR(IF(Y114=0,"",ROUNDUP(Y114/H114,0)*0.00651),"")</f>
        <v/>
      </c>
      <c r="AA114" s="53"/>
      <c r="AB114" s="54"/>
      <c r="AC114" s="55" t="s">
        <v>216</v>
      </c>
      <c r="AG114" s="78"/>
      <c r="AJ114" s="57"/>
      <c r="AK114" s="57">
        <v>0</v>
      </c>
      <c r="BB114" s="59" t="s">
        <v>1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99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100"/>
      <c r="P115" s="91" t="s">
        <v>72</v>
      </c>
      <c r="Q115" s="92"/>
      <c r="R115" s="92"/>
      <c r="S115" s="92"/>
      <c r="T115" s="92"/>
      <c r="U115" s="92"/>
      <c r="V115" s="93"/>
      <c r="W115" s="49" t="s">
        <v>73</v>
      </c>
      <c r="X115" s="79">
        <f>IFERROR(X112/H112,"0")+IFERROR(X113/H113,"0")+IFERROR(X114/H114,"0")</f>
        <v>2.9999999999999996</v>
      </c>
      <c r="Y115" s="79">
        <f>IFERROR(Y112/H112,"0")+IFERROR(Y113/H113,"0")+IFERROR(Y114/H114,"0")</f>
        <v>3.0000000000000004</v>
      </c>
      <c r="Z115" s="79">
        <f>IFERROR(IF(Z112="",0,Z112),"0")+IFERROR(IF(Z113="",0,Z113),"0")+IFERROR(IF(Z114="",0,Z114),"0")</f>
        <v>5.6940000000000004E-2</v>
      </c>
      <c r="AA115" s="80"/>
      <c r="AB115" s="80"/>
      <c r="AC115" s="80"/>
    </row>
    <row r="116" spans="1:68" x14ac:dyDescent="0.2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100"/>
      <c r="P116" s="91" t="s">
        <v>72</v>
      </c>
      <c r="Q116" s="92"/>
      <c r="R116" s="92"/>
      <c r="S116" s="92"/>
      <c r="T116" s="92"/>
      <c r="U116" s="92"/>
      <c r="V116" s="93"/>
      <c r="W116" s="49" t="s">
        <v>70</v>
      </c>
      <c r="X116" s="79">
        <f>IFERROR(SUM(X112:X114),"0")</f>
        <v>32.4</v>
      </c>
      <c r="Y116" s="79">
        <f>IFERROR(SUM(Y112:Y114),"0")</f>
        <v>32.400000000000006</v>
      </c>
      <c r="Z116" s="49"/>
      <c r="AA116" s="80"/>
      <c r="AB116" s="80"/>
      <c r="AC116" s="80"/>
    </row>
    <row r="117" spans="1:68" ht="14.25" customHeight="1" x14ac:dyDescent="0.25">
      <c r="A117" s="89" t="s">
        <v>74</v>
      </c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66"/>
      <c r="AB117" s="66"/>
      <c r="AC117" s="66"/>
    </row>
    <row r="118" spans="1:68" ht="16.5" customHeight="1" x14ac:dyDescent="0.25">
      <c r="A118" s="24" t="s">
        <v>221</v>
      </c>
      <c r="B118" s="24" t="s">
        <v>222</v>
      </c>
      <c r="C118" s="25">
        <v>4301051724</v>
      </c>
      <c r="D118" s="86">
        <v>4607091385168</v>
      </c>
      <c r="E118" s="87"/>
      <c r="F118" s="75">
        <v>1.35</v>
      </c>
      <c r="G118" s="26">
        <v>6</v>
      </c>
      <c r="H118" s="75">
        <v>8.1</v>
      </c>
      <c r="I118" s="75">
        <v>8.6129999999999995</v>
      </c>
      <c r="J118" s="26">
        <v>64</v>
      </c>
      <c r="K118" s="26" t="s">
        <v>106</v>
      </c>
      <c r="L118" s="26"/>
      <c r="M118" s="35" t="s">
        <v>93</v>
      </c>
      <c r="N118" s="35"/>
      <c r="O118" s="26">
        <v>45</v>
      </c>
      <c r="P118" s="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84"/>
      <c r="R118" s="84"/>
      <c r="S118" s="84"/>
      <c r="T118" s="85"/>
      <c r="U118" s="47"/>
      <c r="V118" s="47"/>
      <c r="W118" s="48" t="s">
        <v>70</v>
      </c>
      <c r="X118" s="76">
        <v>40.5</v>
      </c>
      <c r="Y118" s="77">
        <f>IFERROR(IF(X118="",0,CEILING((X118/$H118),1)*$H118),"")</f>
        <v>40.5</v>
      </c>
      <c r="Z118" s="52">
        <f>IFERROR(IF(Y118=0,"",ROUNDUP(Y118/H118,0)*0.01898),"")</f>
        <v>9.4899999999999998E-2</v>
      </c>
      <c r="AA118" s="53"/>
      <c r="AB118" s="54"/>
      <c r="AC118" s="55" t="s">
        <v>223</v>
      </c>
      <c r="AG118" s="78"/>
      <c r="AJ118" s="57"/>
      <c r="AK118" s="57">
        <v>0</v>
      </c>
      <c r="BB118" s="59" t="s">
        <v>1</v>
      </c>
      <c r="BM118" s="78">
        <f>IFERROR(X118*I118/H118,"0")</f>
        <v>43.065000000000005</v>
      </c>
      <c r="BN118" s="78">
        <f>IFERROR(Y118*I118/H118,"0")</f>
        <v>43.065000000000005</v>
      </c>
      <c r="BO118" s="78">
        <f>IFERROR(1/J118*(X118/H118),"0")</f>
        <v>7.8125E-2</v>
      </c>
      <c r="BP118" s="78">
        <f>IFERROR(1/J118*(Y118/H118),"0")</f>
        <v>7.8125E-2</v>
      </c>
    </row>
    <row r="119" spans="1:68" ht="27" customHeight="1" x14ac:dyDescent="0.25">
      <c r="A119" s="24" t="s">
        <v>224</v>
      </c>
      <c r="B119" s="24" t="s">
        <v>225</v>
      </c>
      <c r="C119" s="25">
        <v>4301051730</v>
      </c>
      <c r="D119" s="86">
        <v>4607091383256</v>
      </c>
      <c r="E119" s="87"/>
      <c r="F119" s="75">
        <v>0.33</v>
      </c>
      <c r="G119" s="26">
        <v>6</v>
      </c>
      <c r="H119" s="75">
        <v>1.98</v>
      </c>
      <c r="I119" s="75">
        <v>2.226</v>
      </c>
      <c r="J119" s="26">
        <v>182</v>
      </c>
      <c r="K119" s="26" t="s">
        <v>77</v>
      </c>
      <c r="L119" s="26"/>
      <c r="M119" s="35" t="s">
        <v>93</v>
      </c>
      <c r="N119" s="35"/>
      <c r="O119" s="26">
        <v>45</v>
      </c>
      <c r="P119" s="8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84"/>
      <c r="R119" s="84"/>
      <c r="S119" s="84"/>
      <c r="T119" s="85"/>
      <c r="U119" s="47"/>
      <c r="V119" s="47"/>
      <c r="W119" s="48" t="s">
        <v>70</v>
      </c>
      <c r="X119" s="76">
        <v>0</v>
      </c>
      <c r="Y119" s="77">
        <f>IFERROR(IF(X119="",0,CEILING((X119/$H119),1)*$H119),"")</f>
        <v>0</v>
      </c>
      <c r="Z119" s="52" t="str">
        <f>IFERROR(IF(Y119=0,"",ROUNDUP(Y119/H119,0)*0.00651),"")</f>
        <v/>
      </c>
      <c r="AA119" s="53"/>
      <c r="AB119" s="54"/>
      <c r="AC119" s="55" t="s">
        <v>223</v>
      </c>
      <c r="AG119" s="78"/>
      <c r="AJ119" s="57"/>
      <c r="AK119" s="57">
        <v>0</v>
      </c>
      <c r="BB119" s="59" t="s">
        <v>1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24" t="s">
        <v>226</v>
      </c>
      <c r="B120" s="24" t="s">
        <v>227</v>
      </c>
      <c r="C120" s="25">
        <v>4301051721</v>
      </c>
      <c r="D120" s="86">
        <v>4607091385748</v>
      </c>
      <c r="E120" s="87"/>
      <c r="F120" s="75">
        <v>0.45</v>
      </c>
      <c r="G120" s="26">
        <v>6</v>
      </c>
      <c r="H120" s="75">
        <v>2.7</v>
      </c>
      <c r="I120" s="75">
        <v>2.952</v>
      </c>
      <c r="J120" s="26">
        <v>182</v>
      </c>
      <c r="K120" s="26" t="s">
        <v>77</v>
      </c>
      <c r="L120" s="26"/>
      <c r="M120" s="35" t="s">
        <v>93</v>
      </c>
      <c r="N120" s="35"/>
      <c r="O120" s="26">
        <v>45</v>
      </c>
      <c r="P120" s="8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84"/>
      <c r="R120" s="84"/>
      <c r="S120" s="84"/>
      <c r="T120" s="85"/>
      <c r="U120" s="47"/>
      <c r="V120" s="47"/>
      <c r="W120" s="48" t="s">
        <v>70</v>
      </c>
      <c r="X120" s="76">
        <v>0</v>
      </c>
      <c r="Y120" s="77">
        <f>IFERROR(IF(X120="",0,CEILING((X120/$H120),1)*$H120),"")</f>
        <v>0</v>
      </c>
      <c r="Z120" s="52" t="str">
        <f>IFERROR(IF(Y120=0,"",ROUNDUP(Y120/H120,0)*0.00651),"")</f>
        <v/>
      </c>
      <c r="AA120" s="53"/>
      <c r="AB120" s="54"/>
      <c r="AC120" s="55" t="s">
        <v>223</v>
      </c>
      <c r="AG120" s="78"/>
      <c r="AJ120" s="57"/>
      <c r="AK120" s="57">
        <v>0</v>
      </c>
      <c r="BB120" s="59" t="s">
        <v>1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24" t="s">
        <v>228</v>
      </c>
      <c r="B121" s="24" t="s">
        <v>229</v>
      </c>
      <c r="C121" s="25">
        <v>4301051740</v>
      </c>
      <c r="D121" s="86">
        <v>4680115884533</v>
      </c>
      <c r="E121" s="87"/>
      <c r="F121" s="75">
        <v>0.3</v>
      </c>
      <c r="G121" s="26">
        <v>6</v>
      </c>
      <c r="H121" s="75">
        <v>1.8</v>
      </c>
      <c r="I121" s="75">
        <v>1.98</v>
      </c>
      <c r="J121" s="26">
        <v>182</v>
      </c>
      <c r="K121" s="26" t="s">
        <v>77</v>
      </c>
      <c r="L121" s="26"/>
      <c r="M121" s="35" t="s">
        <v>78</v>
      </c>
      <c r="N121" s="35"/>
      <c r="O121" s="26">
        <v>45</v>
      </c>
      <c r="P121" s="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84"/>
      <c r="R121" s="84"/>
      <c r="S121" s="84"/>
      <c r="T121" s="85"/>
      <c r="U121" s="47"/>
      <c r="V121" s="47"/>
      <c r="W121" s="48" t="s">
        <v>70</v>
      </c>
      <c r="X121" s="76">
        <v>0</v>
      </c>
      <c r="Y121" s="77">
        <f>IFERROR(IF(X121="",0,CEILING((X121/$H121),1)*$H121),"")</f>
        <v>0</v>
      </c>
      <c r="Z121" s="52" t="str">
        <f>IFERROR(IF(Y121=0,"",ROUNDUP(Y121/H121,0)*0.00651),"")</f>
        <v/>
      </c>
      <c r="AA121" s="53"/>
      <c r="AB121" s="54"/>
      <c r="AC121" s="55" t="s">
        <v>230</v>
      </c>
      <c r="AG121" s="78"/>
      <c r="AJ121" s="57"/>
      <c r="AK121" s="57">
        <v>0</v>
      </c>
      <c r="BB121" s="59" t="s">
        <v>1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99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100"/>
      <c r="P122" s="91" t="s">
        <v>72</v>
      </c>
      <c r="Q122" s="92"/>
      <c r="R122" s="92"/>
      <c r="S122" s="92"/>
      <c r="T122" s="92"/>
      <c r="U122" s="92"/>
      <c r="V122" s="93"/>
      <c r="W122" s="49" t="s">
        <v>73</v>
      </c>
      <c r="X122" s="79">
        <f>IFERROR(X118/H118,"0")+IFERROR(X119/H119,"0")+IFERROR(X120/H120,"0")+IFERROR(X121/H121,"0")</f>
        <v>5</v>
      </c>
      <c r="Y122" s="79">
        <f>IFERROR(Y118/H118,"0")+IFERROR(Y119/H119,"0")+IFERROR(Y120/H120,"0")+IFERROR(Y121/H121,"0")</f>
        <v>5</v>
      </c>
      <c r="Z122" s="79">
        <f>IFERROR(IF(Z118="",0,Z118),"0")+IFERROR(IF(Z119="",0,Z119),"0")+IFERROR(IF(Z120="",0,Z120),"0")+IFERROR(IF(Z121="",0,Z121),"0")</f>
        <v>9.4899999999999998E-2</v>
      </c>
      <c r="AA122" s="80"/>
      <c r="AB122" s="80"/>
      <c r="AC122" s="80"/>
    </row>
    <row r="123" spans="1:68" x14ac:dyDescent="0.2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100"/>
      <c r="P123" s="91" t="s">
        <v>72</v>
      </c>
      <c r="Q123" s="92"/>
      <c r="R123" s="92"/>
      <c r="S123" s="92"/>
      <c r="T123" s="92"/>
      <c r="U123" s="92"/>
      <c r="V123" s="93"/>
      <c r="W123" s="49" t="s">
        <v>70</v>
      </c>
      <c r="X123" s="79">
        <f>IFERROR(SUM(X118:X121),"0")</f>
        <v>40.5</v>
      </c>
      <c r="Y123" s="79">
        <f>IFERROR(SUM(Y118:Y121),"0")</f>
        <v>40.5</v>
      </c>
      <c r="Z123" s="49"/>
      <c r="AA123" s="80"/>
      <c r="AB123" s="80"/>
      <c r="AC123" s="80"/>
    </row>
    <row r="124" spans="1:68" ht="14.25" customHeight="1" x14ac:dyDescent="0.25">
      <c r="A124" s="89" t="s">
        <v>174</v>
      </c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66"/>
      <c r="AB124" s="66"/>
      <c r="AC124" s="66"/>
    </row>
    <row r="125" spans="1:68" ht="27" customHeight="1" x14ac:dyDescent="0.25">
      <c r="A125" s="24" t="s">
        <v>231</v>
      </c>
      <c r="B125" s="24" t="s">
        <v>232</v>
      </c>
      <c r="C125" s="25">
        <v>4301060357</v>
      </c>
      <c r="D125" s="86">
        <v>4680115882652</v>
      </c>
      <c r="E125" s="87"/>
      <c r="F125" s="75">
        <v>0.33</v>
      </c>
      <c r="G125" s="26">
        <v>6</v>
      </c>
      <c r="H125" s="75">
        <v>1.98</v>
      </c>
      <c r="I125" s="75">
        <v>2.82</v>
      </c>
      <c r="J125" s="26">
        <v>182</v>
      </c>
      <c r="K125" s="26" t="s">
        <v>77</v>
      </c>
      <c r="L125" s="26"/>
      <c r="M125" s="35" t="s">
        <v>78</v>
      </c>
      <c r="N125" s="35"/>
      <c r="O125" s="26">
        <v>40</v>
      </c>
      <c r="P125" s="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84"/>
      <c r="R125" s="84"/>
      <c r="S125" s="84"/>
      <c r="T125" s="85"/>
      <c r="U125" s="47"/>
      <c r="V125" s="47"/>
      <c r="W125" s="48" t="s">
        <v>70</v>
      </c>
      <c r="X125" s="76">
        <v>0</v>
      </c>
      <c r="Y125" s="77">
        <f>IFERROR(IF(X125="",0,CEILING((X125/$H125),1)*$H125),"")</f>
        <v>0</v>
      </c>
      <c r="Z125" s="52" t="str">
        <f>IFERROR(IF(Y125=0,"",ROUNDUP(Y125/H125,0)*0.00651),"")</f>
        <v/>
      </c>
      <c r="AA125" s="53"/>
      <c r="AB125" s="54"/>
      <c r="AC125" s="55" t="s">
        <v>233</v>
      </c>
      <c r="AG125" s="78"/>
      <c r="AJ125" s="57"/>
      <c r="AK125" s="57">
        <v>0</v>
      </c>
      <c r="BB125" s="59" t="s">
        <v>1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24" t="s">
        <v>234</v>
      </c>
      <c r="B126" s="24" t="s">
        <v>235</v>
      </c>
      <c r="C126" s="25">
        <v>4301060317</v>
      </c>
      <c r="D126" s="86">
        <v>4680115880238</v>
      </c>
      <c r="E126" s="87"/>
      <c r="F126" s="75">
        <v>0.33</v>
      </c>
      <c r="G126" s="26">
        <v>6</v>
      </c>
      <c r="H126" s="75">
        <v>1.98</v>
      </c>
      <c r="I126" s="75">
        <v>2.238</v>
      </c>
      <c r="J126" s="26">
        <v>182</v>
      </c>
      <c r="K126" s="26" t="s">
        <v>77</v>
      </c>
      <c r="L126" s="26"/>
      <c r="M126" s="35" t="s">
        <v>78</v>
      </c>
      <c r="N126" s="35"/>
      <c r="O126" s="26">
        <v>40</v>
      </c>
      <c r="P126" s="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84"/>
      <c r="R126" s="84"/>
      <c r="S126" s="84"/>
      <c r="T126" s="85"/>
      <c r="U126" s="47"/>
      <c r="V126" s="47"/>
      <c r="W126" s="48" t="s">
        <v>70</v>
      </c>
      <c r="X126" s="76">
        <v>0</v>
      </c>
      <c r="Y126" s="77">
        <f>IFERROR(IF(X126="",0,CEILING((X126/$H126),1)*$H126),"")</f>
        <v>0</v>
      </c>
      <c r="Z126" s="52" t="str">
        <f>IFERROR(IF(Y126=0,"",ROUNDUP(Y126/H126,0)*0.00651),"")</f>
        <v/>
      </c>
      <c r="AA126" s="53"/>
      <c r="AB126" s="54"/>
      <c r="AC126" s="55" t="s">
        <v>236</v>
      </c>
      <c r="AG126" s="78"/>
      <c r="AJ126" s="57"/>
      <c r="AK126" s="57">
        <v>0</v>
      </c>
      <c r="BB126" s="59" t="s">
        <v>1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99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100"/>
      <c r="P127" s="91" t="s">
        <v>72</v>
      </c>
      <c r="Q127" s="92"/>
      <c r="R127" s="92"/>
      <c r="S127" s="92"/>
      <c r="T127" s="92"/>
      <c r="U127" s="92"/>
      <c r="V127" s="93"/>
      <c r="W127" s="49" t="s">
        <v>73</v>
      </c>
      <c r="X127" s="79">
        <f>IFERROR(X125/H125,"0")+IFERROR(X126/H126,"0")</f>
        <v>0</v>
      </c>
      <c r="Y127" s="79">
        <f>IFERROR(Y125/H125,"0")+IFERROR(Y126/H126,"0")</f>
        <v>0</v>
      </c>
      <c r="Z127" s="79">
        <f>IFERROR(IF(Z125="",0,Z125),"0")+IFERROR(IF(Z126="",0,Z126),"0")</f>
        <v>0</v>
      </c>
      <c r="AA127" s="80"/>
      <c r="AB127" s="80"/>
      <c r="AC127" s="80"/>
    </row>
    <row r="128" spans="1:68" x14ac:dyDescent="0.2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100"/>
      <c r="P128" s="91" t="s">
        <v>72</v>
      </c>
      <c r="Q128" s="92"/>
      <c r="R128" s="92"/>
      <c r="S128" s="92"/>
      <c r="T128" s="92"/>
      <c r="U128" s="92"/>
      <c r="V128" s="93"/>
      <c r="W128" s="49" t="s">
        <v>70</v>
      </c>
      <c r="X128" s="79">
        <f>IFERROR(SUM(X125:X126),"0")</f>
        <v>0</v>
      </c>
      <c r="Y128" s="79">
        <f>IFERROR(SUM(Y125:Y126),"0")</f>
        <v>0</v>
      </c>
      <c r="Z128" s="49"/>
      <c r="AA128" s="80"/>
      <c r="AB128" s="80"/>
      <c r="AC128" s="80"/>
    </row>
    <row r="129" spans="1:68" ht="16.5" customHeight="1" x14ac:dyDescent="0.25">
      <c r="A129" s="94" t="s">
        <v>237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65"/>
      <c r="AB129" s="65"/>
      <c r="AC129" s="65"/>
    </row>
    <row r="130" spans="1:68" ht="14.25" customHeight="1" x14ac:dyDescent="0.25">
      <c r="A130" s="89" t="s">
        <v>64</v>
      </c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66"/>
      <c r="AB130" s="66"/>
      <c r="AC130" s="66"/>
    </row>
    <row r="131" spans="1:68" ht="27" customHeight="1" x14ac:dyDescent="0.25">
      <c r="A131" s="24" t="s">
        <v>238</v>
      </c>
      <c r="B131" s="24" t="s">
        <v>239</v>
      </c>
      <c r="C131" s="25">
        <v>4301031235</v>
      </c>
      <c r="D131" s="86">
        <v>4680115883444</v>
      </c>
      <c r="E131" s="87"/>
      <c r="F131" s="75">
        <v>0.35</v>
      </c>
      <c r="G131" s="26">
        <v>8</v>
      </c>
      <c r="H131" s="75">
        <v>2.8</v>
      </c>
      <c r="I131" s="75">
        <v>3.0680000000000001</v>
      </c>
      <c r="J131" s="26">
        <v>182</v>
      </c>
      <c r="K131" s="26" t="s">
        <v>77</v>
      </c>
      <c r="L131" s="26"/>
      <c r="M131" s="35" t="s">
        <v>98</v>
      </c>
      <c r="N131" s="35"/>
      <c r="O131" s="26">
        <v>90</v>
      </c>
      <c r="P131" s="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84"/>
      <c r="R131" s="84"/>
      <c r="S131" s="84"/>
      <c r="T131" s="85"/>
      <c r="U131" s="47"/>
      <c r="V131" s="47"/>
      <c r="W131" s="48" t="s">
        <v>70</v>
      </c>
      <c r="X131" s="76">
        <v>5.6</v>
      </c>
      <c r="Y131" s="77">
        <f>IFERROR(IF(X131="",0,CEILING((X131/$H131),1)*$H131),"")</f>
        <v>5.6</v>
      </c>
      <c r="Z131" s="52">
        <f>IFERROR(IF(Y131=0,"",ROUNDUP(Y131/H131,0)*0.00651),"")</f>
        <v>1.302E-2</v>
      </c>
      <c r="AA131" s="53"/>
      <c r="AB131" s="54"/>
      <c r="AC131" s="55" t="s">
        <v>240</v>
      </c>
      <c r="AG131" s="78"/>
      <c r="AJ131" s="57"/>
      <c r="AK131" s="57">
        <v>0</v>
      </c>
      <c r="BB131" s="59" t="s">
        <v>1</v>
      </c>
      <c r="BM131" s="78">
        <f>IFERROR(X131*I131/H131,"0")</f>
        <v>6.1359999999999992</v>
      </c>
      <c r="BN131" s="78">
        <f>IFERROR(Y131*I131/H131,"0")</f>
        <v>6.1359999999999992</v>
      </c>
      <c r="BO131" s="78">
        <f>IFERROR(1/J131*(X131/H131),"0")</f>
        <v>1.098901098901099E-2</v>
      </c>
      <c r="BP131" s="78">
        <f>IFERROR(1/J131*(Y131/H131),"0")</f>
        <v>1.098901098901099E-2</v>
      </c>
    </row>
    <row r="132" spans="1:68" ht="27" customHeight="1" x14ac:dyDescent="0.25">
      <c r="A132" s="24" t="s">
        <v>238</v>
      </c>
      <c r="B132" s="24" t="s">
        <v>241</v>
      </c>
      <c r="C132" s="25">
        <v>4301031234</v>
      </c>
      <c r="D132" s="86">
        <v>4680115883444</v>
      </c>
      <c r="E132" s="87"/>
      <c r="F132" s="75">
        <v>0.35</v>
      </c>
      <c r="G132" s="26">
        <v>8</v>
      </c>
      <c r="H132" s="75">
        <v>2.8</v>
      </c>
      <c r="I132" s="75">
        <v>3.0680000000000001</v>
      </c>
      <c r="J132" s="26">
        <v>182</v>
      </c>
      <c r="K132" s="26" t="s">
        <v>77</v>
      </c>
      <c r="L132" s="26"/>
      <c r="M132" s="35" t="s">
        <v>98</v>
      </c>
      <c r="N132" s="35"/>
      <c r="O132" s="26">
        <v>90</v>
      </c>
      <c r="P132" s="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84"/>
      <c r="R132" s="84"/>
      <c r="S132" s="84"/>
      <c r="T132" s="85"/>
      <c r="U132" s="47"/>
      <c r="V132" s="47"/>
      <c r="W132" s="48" t="s">
        <v>70</v>
      </c>
      <c r="X132" s="76">
        <v>0</v>
      </c>
      <c r="Y132" s="77">
        <f>IFERROR(IF(X132="",0,CEILING((X132/$H132),1)*$H132),"")</f>
        <v>0</v>
      </c>
      <c r="Z132" s="52" t="str">
        <f>IFERROR(IF(Y132=0,"",ROUNDUP(Y132/H132,0)*0.00651),"")</f>
        <v/>
      </c>
      <c r="AA132" s="53"/>
      <c r="AB132" s="54"/>
      <c r="AC132" s="55" t="s">
        <v>240</v>
      </c>
      <c r="AG132" s="78"/>
      <c r="AJ132" s="57"/>
      <c r="AK132" s="57">
        <v>0</v>
      </c>
      <c r="BB132" s="59" t="s">
        <v>1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99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100"/>
      <c r="P133" s="91" t="s">
        <v>72</v>
      </c>
      <c r="Q133" s="92"/>
      <c r="R133" s="92"/>
      <c r="S133" s="92"/>
      <c r="T133" s="92"/>
      <c r="U133" s="92"/>
      <c r="V133" s="93"/>
      <c r="W133" s="49" t="s">
        <v>73</v>
      </c>
      <c r="X133" s="79">
        <f>IFERROR(X131/H131,"0")+IFERROR(X132/H132,"0")</f>
        <v>2</v>
      </c>
      <c r="Y133" s="79">
        <f>IFERROR(Y131/H131,"0")+IFERROR(Y132/H132,"0")</f>
        <v>2</v>
      </c>
      <c r="Z133" s="79">
        <f>IFERROR(IF(Z131="",0,Z131),"0")+IFERROR(IF(Z132="",0,Z132),"0")</f>
        <v>1.302E-2</v>
      </c>
      <c r="AA133" s="80"/>
      <c r="AB133" s="80"/>
      <c r="AC133" s="80"/>
    </row>
    <row r="134" spans="1:68" x14ac:dyDescent="0.2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100"/>
      <c r="P134" s="91" t="s">
        <v>72</v>
      </c>
      <c r="Q134" s="92"/>
      <c r="R134" s="92"/>
      <c r="S134" s="92"/>
      <c r="T134" s="92"/>
      <c r="U134" s="92"/>
      <c r="V134" s="93"/>
      <c r="W134" s="49" t="s">
        <v>70</v>
      </c>
      <c r="X134" s="79">
        <f>IFERROR(SUM(X131:X132),"0")</f>
        <v>5.6</v>
      </c>
      <c r="Y134" s="79">
        <f>IFERROR(SUM(Y131:Y132),"0")</f>
        <v>5.6</v>
      </c>
      <c r="Z134" s="49"/>
      <c r="AA134" s="80"/>
      <c r="AB134" s="80"/>
      <c r="AC134" s="80"/>
    </row>
    <row r="135" spans="1:68" ht="14.25" customHeight="1" x14ac:dyDescent="0.25">
      <c r="A135" s="89" t="s">
        <v>74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66"/>
      <c r="AB135" s="66"/>
      <c r="AC135" s="66"/>
    </row>
    <row r="136" spans="1:68" ht="16.5" customHeight="1" x14ac:dyDescent="0.25">
      <c r="A136" s="24" t="s">
        <v>242</v>
      </c>
      <c r="B136" s="24" t="s">
        <v>243</v>
      </c>
      <c r="C136" s="25">
        <v>4301051477</v>
      </c>
      <c r="D136" s="86">
        <v>4680115882584</v>
      </c>
      <c r="E136" s="87"/>
      <c r="F136" s="75">
        <v>0.33</v>
      </c>
      <c r="G136" s="26">
        <v>8</v>
      </c>
      <c r="H136" s="75">
        <v>2.64</v>
      </c>
      <c r="I136" s="75">
        <v>2.9079999999999999</v>
      </c>
      <c r="J136" s="26">
        <v>182</v>
      </c>
      <c r="K136" s="26" t="s">
        <v>77</v>
      </c>
      <c r="L136" s="26"/>
      <c r="M136" s="35" t="s">
        <v>98</v>
      </c>
      <c r="N136" s="35"/>
      <c r="O136" s="26">
        <v>60</v>
      </c>
      <c r="P136" s="8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84"/>
      <c r="R136" s="84"/>
      <c r="S136" s="84"/>
      <c r="T136" s="85"/>
      <c r="U136" s="47"/>
      <c r="V136" s="47"/>
      <c r="W136" s="48" t="s">
        <v>70</v>
      </c>
      <c r="X136" s="76">
        <v>5.28</v>
      </c>
      <c r="Y136" s="77">
        <f>IFERROR(IF(X136="",0,CEILING((X136/$H136),1)*$H136),"")</f>
        <v>5.28</v>
      </c>
      <c r="Z136" s="52">
        <f>IFERROR(IF(Y136=0,"",ROUNDUP(Y136/H136,0)*0.00651),"")</f>
        <v>1.302E-2</v>
      </c>
      <c r="AA136" s="53"/>
      <c r="AB136" s="54"/>
      <c r="AC136" s="55" t="s">
        <v>244</v>
      </c>
      <c r="AG136" s="78"/>
      <c r="AJ136" s="57"/>
      <c r="AK136" s="57">
        <v>0</v>
      </c>
      <c r="BB136" s="59" t="s">
        <v>1</v>
      </c>
      <c r="BM136" s="78">
        <f>IFERROR(X136*I136/H136,"0")</f>
        <v>5.8159999999999998</v>
      </c>
      <c r="BN136" s="78">
        <f>IFERROR(Y136*I136/H136,"0")</f>
        <v>5.8159999999999998</v>
      </c>
      <c r="BO136" s="78">
        <f>IFERROR(1/J136*(X136/H136),"0")</f>
        <v>1.098901098901099E-2</v>
      </c>
      <c r="BP136" s="78">
        <f>IFERROR(1/J136*(Y136/H136),"0")</f>
        <v>1.098901098901099E-2</v>
      </c>
    </row>
    <row r="137" spans="1:68" ht="16.5" customHeight="1" x14ac:dyDescent="0.25">
      <c r="A137" s="24" t="s">
        <v>242</v>
      </c>
      <c r="B137" s="24" t="s">
        <v>245</v>
      </c>
      <c r="C137" s="25">
        <v>4301051476</v>
      </c>
      <c r="D137" s="86">
        <v>4680115882584</v>
      </c>
      <c r="E137" s="87"/>
      <c r="F137" s="75">
        <v>0.33</v>
      </c>
      <c r="G137" s="26">
        <v>8</v>
      </c>
      <c r="H137" s="75">
        <v>2.64</v>
      </c>
      <c r="I137" s="75">
        <v>2.9079999999999999</v>
      </c>
      <c r="J137" s="26">
        <v>182</v>
      </c>
      <c r="K137" s="26" t="s">
        <v>77</v>
      </c>
      <c r="L137" s="26"/>
      <c r="M137" s="35" t="s">
        <v>98</v>
      </c>
      <c r="N137" s="35"/>
      <c r="O137" s="26">
        <v>60</v>
      </c>
      <c r="P137" s="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84"/>
      <c r="R137" s="84"/>
      <c r="S137" s="84"/>
      <c r="T137" s="85"/>
      <c r="U137" s="47"/>
      <c r="V137" s="47"/>
      <c r="W137" s="48" t="s">
        <v>70</v>
      </c>
      <c r="X137" s="76">
        <v>0</v>
      </c>
      <c r="Y137" s="77">
        <f>IFERROR(IF(X137="",0,CEILING((X137/$H137),1)*$H137),"")</f>
        <v>0</v>
      </c>
      <c r="Z137" s="52" t="str">
        <f>IFERROR(IF(Y137=0,"",ROUNDUP(Y137/H137,0)*0.00651),"")</f>
        <v/>
      </c>
      <c r="AA137" s="53"/>
      <c r="AB137" s="54"/>
      <c r="AC137" s="55" t="s">
        <v>244</v>
      </c>
      <c r="AG137" s="78"/>
      <c r="AJ137" s="57"/>
      <c r="AK137" s="57">
        <v>0</v>
      </c>
      <c r="BB137" s="59" t="s">
        <v>1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99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100"/>
      <c r="P138" s="91" t="s">
        <v>72</v>
      </c>
      <c r="Q138" s="92"/>
      <c r="R138" s="92"/>
      <c r="S138" s="92"/>
      <c r="T138" s="92"/>
      <c r="U138" s="92"/>
      <c r="V138" s="93"/>
      <c r="W138" s="49" t="s">
        <v>73</v>
      </c>
      <c r="X138" s="79">
        <f>IFERROR(X136/H136,"0")+IFERROR(X137/H137,"0")</f>
        <v>2</v>
      </c>
      <c r="Y138" s="79">
        <f>IFERROR(Y136/H136,"0")+IFERROR(Y137/H137,"0")</f>
        <v>2</v>
      </c>
      <c r="Z138" s="79">
        <f>IFERROR(IF(Z136="",0,Z136),"0")+IFERROR(IF(Z137="",0,Z137),"0")</f>
        <v>1.302E-2</v>
      </c>
      <c r="AA138" s="80"/>
      <c r="AB138" s="80"/>
      <c r="AC138" s="80"/>
    </row>
    <row r="139" spans="1:68" x14ac:dyDescent="0.2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100"/>
      <c r="P139" s="91" t="s">
        <v>72</v>
      </c>
      <c r="Q139" s="92"/>
      <c r="R139" s="92"/>
      <c r="S139" s="92"/>
      <c r="T139" s="92"/>
      <c r="U139" s="92"/>
      <c r="V139" s="93"/>
      <c r="W139" s="49" t="s">
        <v>70</v>
      </c>
      <c r="X139" s="79">
        <f>IFERROR(SUM(X136:X137),"0")</f>
        <v>5.28</v>
      </c>
      <c r="Y139" s="79">
        <f>IFERROR(SUM(Y136:Y137),"0")</f>
        <v>5.28</v>
      </c>
      <c r="Z139" s="49"/>
      <c r="AA139" s="80"/>
      <c r="AB139" s="80"/>
      <c r="AC139" s="80"/>
    </row>
    <row r="140" spans="1:68" ht="16.5" customHeight="1" x14ac:dyDescent="0.25">
      <c r="A140" s="94" t="s">
        <v>101</v>
      </c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65"/>
      <c r="AB140" s="65"/>
      <c r="AC140" s="65"/>
    </row>
    <row r="141" spans="1:68" ht="14.25" customHeight="1" x14ac:dyDescent="0.25">
      <c r="A141" s="89" t="s">
        <v>103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66"/>
      <c r="AB141" s="66"/>
      <c r="AC141" s="66"/>
    </row>
    <row r="142" spans="1:68" ht="27" customHeight="1" x14ac:dyDescent="0.25">
      <c r="A142" s="24" t="s">
        <v>246</v>
      </c>
      <c r="B142" s="24" t="s">
        <v>247</v>
      </c>
      <c r="C142" s="25">
        <v>4301011705</v>
      </c>
      <c r="D142" s="86">
        <v>4607091384604</v>
      </c>
      <c r="E142" s="87"/>
      <c r="F142" s="75">
        <v>0.4</v>
      </c>
      <c r="G142" s="26">
        <v>10</v>
      </c>
      <c r="H142" s="75">
        <v>4</v>
      </c>
      <c r="I142" s="75">
        <v>4.21</v>
      </c>
      <c r="J142" s="26">
        <v>132</v>
      </c>
      <c r="K142" s="26" t="s">
        <v>111</v>
      </c>
      <c r="L142" s="26"/>
      <c r="M142" s="35" t="s">
        <v>107</v>
      </c>
      <c r="N142" s="35"/>
      <c r="O142" s="26">
        <v>50</v>
      </c>
      <c r="P142" s="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84"/>
      <c r="R142" s="84"/>
      <c r="S142" s="84"/>
      <c r="T142" s="85"/>
      <c r="U142" s="47"/>
      <c r="V142" s="47"/>
      <c r="W142" s="48" t="s">
        <v>70</v>
      </c>
      <c r="X142" s="76">
        <v>20</v>
      </c>
      <c r="Y142" s="77">
        <f>IFERROR(IF(X142="",0,CEILING((X142/$H142),1)*$H142),"")</f>
        <v>20</v>
      </c>
      <c r="Z142" s="52">
        <f>IFERROR(IF(Y142=0,"",ROUNDUP(Y142/H142,0)*0.00902),"")</f>
        <v>4.5100000000000001E-2</v>
      </c>
      <c r="AA142" s="53"/>
      <c r="AB142" s="54"/>
      <c r="AC142" s="55" t="s">
        <v>248</v>
      </c>
      <c r="AG142" s="78"/>
      <c r="AJ142" s="57"/>
      <c r="AK142" s="57">
        <v>0</v>
      </c>
      <c r="BB142" s="59" t="s">
        <v>1</v>
      </c>
      <c r="BM142" s="78">
        <f>IFERROR(X142*I142/H142,"0")</f>
        <v>21.05</v>
      </c>
      <c r="BN142" s="78">
        <f>IFERROR(Y142*I142/H142,"0")</f>
        <v>21.05</v>
      </c>
      <c r="BO142" s="78">
        <f>IFERROR(1/J142*(X142/H142),"0")</f>
        <v>3.787878787878788E-2</v>
      </c>
      <c r="BP142" s="78">
        <f>IFERROR(1/J142*(Y142/H142),"0")</f>
        <v>3.787878787878788E-2</v>
      </c>
    </row>
    <row r="143" spans="1:68" x14ac:dyDescent="0.2">
      <c r="A143" s="99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100"/>
      <c r="P143" s="91" t="s">
        <v>72</v>
      </c>
      <c r="Q143" s="92"/>
      <c r="R143" s="92"/>
      <c r="S143" s="92"/>
      <c r="T143" s="92"/>
      <c r="U143" s="92"/>
      <c r="V143" s="93"/>
      <c r="W143" s="49" t="s">
        <v>73</v>
      </c>
      <c r="X143" s="79">
        <f>IFERROR(X142/H142,"0")</f>
        <v>5</v>
      </c>
      <c r="Y143" s="79">
        <f>IFERROR(Y142/H142,"0")</f>
        <v>5</v>
      </c>
      <c r="Z143" s="79">
        <f>IFERROR(IF(Z142="",0,Z142),"0")</f>
        <v>4.5100000000000001E-2</v>
      </c>
      <c r="AA143" s="80"/>
      <c r="AB143" s="80"/>
      <c r="AC143" s="80"/>
    </row>
    <row r="144" spans="1:68" x14ac:dyDescent="0.2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100"/>
      <c r="P144" s="91" t="s">
        <v>72</v>
      </c>
      <c r="Q144" s="92"/>
      <c r="R144" s="92"/>
      <c r="S144" s="92"/>
      <c r="T144" s="92"/>
      <c r="U144" s="92"/>
      <c r="V144" s="93"/>
      <c r="W144" s="49" t="s">
        <v>70</v>
      </c>
      <c r="X144" s="79">
        <f>IFERROR(SUM(X142:X142),"0")</f>
        <v>20</v>
      </c>
      <c r="Y144" s="79">
        <f>IFERROR(SUM(Y142:Y142),"0")</f>
        <v>20</v>
      </c>
      <c r="Z144" s="49"/>
      <c r="AA144" s="80"/>
      <c r="AB144" s="80"/>
      <c r="AC144" s="80"/>
    </row>
    <row r="145" spans="1:68" ht="14.25" customHeight="1" x14ac:dyDescent="0.25">
      <c r="A145" s="89" t="s">
        <v>64</v>
      </c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66"/>
      <c r="AB145" s="66"/>
      <c r="AC145" s="66"/>
    </row>
    <row r="146" spans="1:68" ht="16.5" customHeight="1" x14ac:dyDescent="0.25">
      <c r="A146" s="24" t="s">
        <v>249</v>
      </c>
      <c r="B146" s="24" t="s">
        <v>250</v>
      </c>
      <c r="C146" s="25">
        <v>4301030895</v>
      </c>
      <c r="D146" s="86">
        <v>4607091387667</v>
      </c>
      <c r="E146" s="87"/>
      <c r="F146" s="75">
        <v>0.9</v>
      </c>
      <c r="G146" s="26">
        <v>10</v>
      </c>
      <c r="H146" s="75">
        <v>9</v>
      </c>
      <c r="I146" s="75">
        <v>9.5850000000000009</v>
      </c>
      <c r="J146" s="26">
        <v>64</v>
      </c>
      <c r="K146" s="26" t="s">
        <v>106</v>
      </c>
      <c r="L146" s="26"/>
      <c r="M146" s="35" t="s">
        <v>107</v>
      </c>
      <c r="N146" s="35"/>
      <c r="O146" s="26">
        <v>40</v>
      </c>
      <c r="P146" s="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84"/>
      <c r="R146" s="84"/>
      <c r="S146" s="84"/>
      <c r="T146" s="85"/>
      <c r="U146" s="47"/>
      <c r="V146" s="47"/>
      <c r="W146" s="48" t="s">
        <v>70</v>
      </c>
      <c r="X146" s="76">
        <v>36</v>
      </c>
      <c r="Y146" s="77">
        <f>IFERROR(IF(X146="",0,CEILING((X146/$H146),1)*$H146),"")</f>
        <v>36</v>
      </c>
      <c r="Z146" s="52">
        <f>IFERROR(IF(Y146=0,"",ROUNDUP(Y146/H146,0)*0.01898),"")</f>
        <v>7.5920000000000001E-2</v>
      </c>
      <c r="AA146" s="53"/>
      <c r="AB146" s="54"/>
      <c r="AC146" s="55" t="s">
        <v>251</v>
      </c>
      <c r="AG146" s="78"/>
      <c r="AJ146" s="57"/>
      <c r="AK146" s="57">
        <v>0</v>
      </c>
      <c r="BB146" s="59" t="s">
        <v>1</v>
      </c>
      <c r="BM146" s="78">
        <f>IFERROR(X146*I146/H146,"0")</f>
        <v>38.340000000000003</v>
      </c>
      <c r="BN146" s="78">
        <f>IFERROR(Y146*I146/H146,"0")</f>
        <v>38.340000000000003</v>
      </c>
      <c r="BO146" s="78">
        <f>IFERROR(1/J146*(X146/H146),"0")</f>
        <v>6.25E-2</v>
      </c>
      <c r="BP146" s="78">
        <f>IFERROR(1/J146*(Y146/H146),"0")</f>
        <v>6.25E-2</v>
      </c>
    </row>
    <row r="147" spans="1:68" ht="16.5" customHeight="1" x14ac:dyDescent="0.25">
      <c r="A147" s="24" t="s">
        <v>252</v>
      </c>
      <c r="B147" s="24" t="s">
        <v>253</v>
      </c>
      <c r="C147" s="25">
        <v>4301030961</v>
      </c>
      <c r="D147" s="86">
        <v>4607091387636</v>
      </c>
      <c r="E147" s="87"/>
      <c r="F147" s="75">
        <v>0.7</v>
      </c>
      <c r="G147" s="26">
        <v>6</v>
      </c>
      <c r="H147" s="75">
        <v>4.2</v>
      </c>
      <c r="I147" s="75">
        <v>4.47</v>
      </c>
      <c r="J147" s="26">
        <v>182</v>
      </c>
      <c r="K147" s="26" t="s">
        <v>77</v>
      </c>
      <c r="L147" s="26"/>
      <c r="M147" s="35" t="s">
        <v>68</v>
      </c>
      <c r="N147" s="35"/>
      <c r="O147" s="26">
        <v>40</v>
      </c>
      <c r="P147" s="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84"/>
      <c r="R147" s="84"/>
      <c r="S147" s="84"/>
      <c r="T147" s="85"/>
      <c r="U147" s="47"/>
      <c r="V147" s="47"/>
      <c r="W147" s="48" t="s">
        <v>70</v>
      </c>
      <c r="X147" s="76">
        <v>21</v>
      </c>
      <c r="Y147" s="77">
        <f>IFERROR(IF(X147="",0,CEILING((X147/$H147),1)*$H147),"")</f>
        <v>21</v>
      </c>
      <c r="Z147" s="52">
        <f>IFERROR(IF(Y147=0,"",ROUNDUP(Y147/H147,0)*0.00651),"")</f>
        <v>3.2550000000000003E-2</v>
      </c>
      <c r="AA147" s="53"/>
      <c r="AB147" s="54"/>
      <c r="AC147" s="55" t="s">
        <v>254</v>
      </c>
      <c r="AG147" s="78"/>
      <c r="AJ147" s="57"/>
      <c r="AK147" s="57">
        <v>0</v>
      </c>
      <c r="BB147" s="59" t="s">
        <v>1</v>
      </c>
      <c r="BM147" s="78">
        <f>IFERROR(X147*I147/H147,"0")</f>
        <v>22.349999999999998</v>
      </c>
      <c r="BN147" s="78">
        <f>IFERROR(Y147*I147/H147,"0")</f>
        <v>22.349999999999998</v>
      </c>
      <c r="BO147" s="78">
        <f>IFERROR(1/J147*(X147/H147),"0")</f>
        <v>2.7472527472527476E-2</v>
      </c>
      <c r="BP147" s="78">
        <f>IFERROR(1/J147*(Y147/H147),"0")</f>
        <v>2.7472527472527476E-2</v>
      </c>
    </row>
    <row r="148" spans="1:68" ht="27" customHeight="1" x14ac:dyDescent="0.25">
      <c r="A148" s="24" t="s">
        <v>255</v>
      </c>
      <c r="B148" s="24" t="s">
        <v>256</v>
      </c>
      <c r="C148" s="25">
        <v>4301030963</v>
      </c>
      <c r="D148" s="86">
        <v>4607091382426</v>
      </c>
      <c r="E148" s="87"/>
      <c r="F148" s="75">
        <v>0.9</v>
      </c>
      <c r="G148" s="26">
        <v>10</v>
      </c>
      <c r="H148" s="75">
        <v>9</v>
      </c>
      <c r="I148" s="75">
        <v>9.5850000000000009</v>
      </c>
      <c r="J148" s="26">
        <v>64</v>
      </c>
      <c r="K148" s="26" t="s">
        <v>106</v>
      </c>
      <c r="L148" s="26"/>
      <c r="M148" s="35" t="s">
        <v>68</v>
      </c>
      <c r="N148" s="35"/>
      <c r="O148" s="26">
        <v>40</v>
      </c>
      <c r="P148" s="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84"/>
      <c r="R148" s="84"/>
      <c r="S148" s="84"/>
      <c r="T148" s="85"/>
      <c r="U148" s="47"/>
      <c r="V148" s="47"/>
      <c r="W148" s="48" t="s">
        <v>70</v>
      </c>
      <c r="X148" s="76">
        <v>18</v>
      </c>
      <c r="Y148" s="77">
        <f>IFERROR(IF(X148="",0,CEILING((X148/$H148),1)*$H148),"")</f>
        <v>18</v>
      </c>
      <c r="Z148" s="52">
        <f>IFERROR(IF(Y148=0,"",ROUNDUP(Y148/H148,0)*0.01898),"")</f>
        <v>3.7960000000000001E-2</v>
      </c>
      <c r="AA148" s="53"/>
      <c r="AB148" s="54"/>
      <c r="AC148" s="55" t="s">
        <v>257</v>
      </c>
      <c r="AG148" s="78"/>
      <c r="AJ148" s="57"/>
      <c r="AK148" s="57">
        <v>0</v>
      </c>
      <c r="BB148" s="59" t="s">
        <v>1</v>
      </c>
      <c r="BM148" s="78">
        <f>IFERROR(X148*I148/H148,"0")</f>
        <v>19.170000000000002</v>
      </c>
      <c r="BN148" s="78">
        <f>IFERROR(Y148*I148/H148,"0")</f>
        <v>19.170000000000002</v>
      </c>
      <c r="BO148" s="78">
        <f>IFERROR(1/J148*(X148/H148),"0")</f>
        <v>3.125E-2</v>
      </c>
      <c r="BP148" s="78">
        <f>IFERROR(1/J148*(Y148/H148),"0")</f>
        <v>3.125E-2</v>
      </c>
    </row>
    <row r="149" spans="1:68" x14ac:dyDescent="0.2">
      <c r="A149" s="99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100"/>
      <c r="P149" s="91" t="s">
        <v>72</v>
      </c>
      <c r="Q149" s="92"/>
      <c r="R149" s="92"/>
      <c r="S149" s="92"/>
      <c r="T149" s="92"/>
      <c r="U149" s="92"/>
      <c r="V149" s="93"/>
      <c r="W149" s="49" t="s">
        <v>73</v>
      </c>
      <c r="X149" s="79">
        <f>IFERROR(X146/H146,"0")+IFERROR(X147/H147,"0")+IFERROR(X148/H148,"0")</f>
        <v>11</v>
      </c>
      <c r="Y149" s="79">
        <f>IFERROR(Y146/H146,"0")+IFERROR(Y147/H147,"0")+IFERROR(Y148/H148,"0")</f>
        <v>11</v>
      </c>
      <c r="Z149" s="79">
        <f>IFERROR(IF(Z146="",0,Z146),"0")+IFERROR(IF(Z147="",0,Z147),"0")+IFERROR(IF(Z148="",0,Z148),"0")</f>
        <v>0.14643</v>
      </c>
      <c r="AA149" s="80"/>
      <c r="AB149" s="80"/>
      <c r="AC149" s="80"/>
    </row>
    <row r="150" spans="1:68" x14ac:dyDescent="0.2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100"/>
      <c r="P150" s="91" t="s">
        <v>72</v>
      </c>
      <c r="Q150" s="92"/>
      <c r="R150" s="92"/>
      <c r="S150" s="92"/>
      <c r="T150" s="92"/>
      <c r="U150" s="92"/>
      <c r="V150" s="93"/>
      <c r="W150" s="49" t="s">
        <v>70</v>
      </c>
      <c r="X150" s="79">
        <f>IFERROR(SUM(X146:X148),"0")</f>
        <v>75</v>
      </c>
      <c r="Y150" s="79">
        <f>IFERROR(SUM(Y146:Y148),"0")</f>
        <v>75</v>
      </c>
      <c r="Z150" s="49"/>
      <c r="AA150" s="80"/>
      <c r="AB150" s="80"/>
      <c r="AC150" s="80"/>
    </row>
    <row r="151" spans="1:68" ht="27.75" customHeight="1" x14ac:dyDescent="0.2">
      <c r="A151" s="115" t="s">
        <v>258</v>
      </c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51"/>
      <c r="AB151" s="51"/>
      <c r="AC151" s="51"/>
    </row>
    <row r="152" spans="1:68" ht="16.5" customHeight="1" x14ac:dyDescent="0.25">
      <c r="A152" s="94" t="s">
        <v>259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65"/>
      <c r="AB152" s="65"/>
      <c r="AC152" s="65"/>
    </row>
    <row r="153" spans="1:68" ht="14.25" customHeight="1" x14ac:dyDescent="0.25">
      <c r="A153" s="89" t="s">
        <v>139</v>
      </c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66"/>
      <c r="AB153" s="66"/>
      <c r="AC153" s="66"/>
    </row>
    <row r="154" spans="1:68" ht="27" customHeight="1" x14ac:dyDescent="0.25">
      <c r="A154" s="24" t="s">
        <v>260</v>
      </c>
      <c r="B154" s="24" t="s">
        <v>261</v>
      </c>
      <c r="C154" s="25">
        <v>4301020323</v>
      </c>
      <c r="D154" s="86">
        <v>4680115886223</v>
      </c>
      <c r="E154" s="87"/>
      <c r="F154" s="75">
        <v>0.33</v>
      </c>
      <c r="G154" s="26">
        <v>6</v>
      </c>
      <c r="H154" s="75">
        <v>1.98</v>
      </c>
      <c r="I154" s="75">
        <v>2.08</v>
      </c>
      <c r="J154" s="26">
        <v>234</v>
      </c>
      <c r="K154" s="26" t="s">
        <v>67</v>
      </c>
      <c r="L154" s="26"/>
      <c r="M154" s="35" t="s">
        <v>68</v>
      </c>
      <c r="N154" s="35"/>
      <c r="O154" s="26">
        <v>40</v>
      </c>
      <c r="P154" s="8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84"/>
      <c r="R154" s="84"/>
      <c r="S154" s="84"/>
      <c r="T154" s="85"/>
      <c r="U154" s="47"/>
      <c r="V154" s="47"/>
      <c r="W154" s="48" t="s">
        <v>70</v>
      </c>
      <c r="X154" s="76">
        <v>9.9</v>
      </c>
      <c r="Y154" s="77">
        <f>IFERROR(IF(X154="",0,CEILING((X154/$H154),1)*$H154),"")</f>
        <v>9.9</v>
      </c>
      <c r="Z154" s="52">
        <f>IFERROR(IF(Y154=0,"",ROUNDUP(Y154/H154,0)*0.00502),"")</f>
        <v>2.5100000000000001E-2</v>
      </c>
      <c r="AA154" s="53"/>
      <c r="AB154" s="54"/>
      <c r="AC154" s="55" t="s">
        <v>262</v>
      </c>
      <c r="AG154" s="78"/>
      <c r="AJ154" s="57"/>
      <c r="AK154" s="57">
        <v>0</v>
      </c>
      <c r="BB154" s="59" t="s">
        <v>1</v>
      </c>
      <c r="BM154" s="78">
        <f>IFERROR(X154*I154/H154,"0")</f>
        <v>10.400000000000002</v>
      </c>
      <c r="BN154" s="78">
        <f>IFERROR(Y154*I154/H154,"0")</f>
        <v>10.400000000000002</v>
      </c>
      <c r="BO154" s="78">
        <f>IFERROR(1/J154*(X154/H154),"0")</f>
        <v>2.1367521367521368E-2</v>
      </c>
      <c r="BP154" s="78">
        <f>IFERROR(1/J154*(Y154/H154),"0")</f>
        <v>2.1367521367521368E-2</v>
      </c>
    </row>
    <row r="155" spans="1:68" x14ac:dyDescent="0.2">
      <c r="A155" s="99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100"/>
      <c r="P155" s="91" t="s">
        <v>72</v>
      </c>
      <c r="Q155" s="92"/>
      <c r="R155" s="92"/>
      <c r="S155" s="92"/>
      <c r="T155" s="92"/>
      <c r="U155" s="92"/>
      <c r="V155" s="93"/>
      <c r="W155" s="49" t="s">
        <v>73</v>
      </c>
      <c r="X155" s="79">
        <f>IFERROR(X154/H154,"0")</f>
        <v>5</v>
      </c>
      <c r="Y155" s="79">
        <f>IFERROR(Y154/H154,"0")</f>
        <v>5</v>
      </c>
      <c r="Z155" s="79">
        <f>IFERROR(IF(Z154="",0,Z154),"0")</f>
        <v>2.5100000000000001E-2</v>
      </c>
      <c r="AA155" s="80"/>
      <c r="AB155" s="80"/>
      <c r="AC155" s="80"/>
    </row>
    <row r="156" spans="1:68" x14ac:dyDescent="0.2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100"/>
      <c r="P156" s="91" t="s">
        <v>72</v>
      </c>
      <c r="Q156" s="92"/>
      <c r="R156" s="92"/>
      <c r="S156" s="92"/>
      <c r="T156" s="92"/>
      <c r="U156" s="92"/>
      <c r="V156" s="93"/>
      <c r="W156" s="49" t="s">
        <v>70</v>
      </c>
      <c r="X156" s="79">
        <f>IFERROR(SUM(X154:X154),"0")</f>
        <v>9.9</v>
      </c>
      <c r="Y156" s="79">
        <f>IFERROR(SUM(Y154:Y154),"0")</f>
        <v>9.9</v>
      </c>
      <c r="Z156" s="49"/>
      <c r="AA156" s="80"/>
      <c r="AB156" s="80"/>
      <c r="AC156" s="80"/>
    </row>
    <row r="157" spans="1:68" ht="14.25" customHeight="1" x14ac:dyDescent="0.25">
      <c r="A157" s="89" t="s">
        <v>64</v>
      </c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66"/>
      <c r="AB157" s="66"/>
      <c r="AC157" s="66"/>
    </row>
    <row r="158" spans="1:68" ht="27" customHeight="1" x14ac:dyDescent="0.25">
      <c r="A158" s="24" t="s">
        <v>263</v>
      </c>
      <c r="B158" s="24" t="s">
        <v>264</v>
      </c>
      <c r="C158" s="25">
        <v>4301031191</v>
      </c>
      <c r="D158" s="86">
        <v>4680115880993</v>
      </c>
      <c r="E158" s="87"/>
      <c r="F158" s="75">
        <v>0.7</v>
      </c>
      <c r="G158" s="26">
        <v>6</v>
      </c>
      <c r="H158" s="75">
        <v>4.2</v>
      </c>
      <c r="I158" s="75">
        <v>4.47</v>
      </c>
      <c r="J158" s="26">
        <v>132</v>
      </c>
      <c r="K158" s="26" t="s">
        <v>111</v>
      </c>
      <c r="L158" s="26"/>
      <c r="M158" s="35" t="s">
        <v>68</v>
      </c>
      <c r="N158" s="35"/>
      <c r="O158" s="26">
        <v>40</v>
      </c>
      <c r="P158" s="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84"/>
      <c r="R158" s="84"/>
      <c r="S158" s="84"/>
      <c r="T158" s="85"/>
      <c r="U158" s="47"/>
      <c r="V158" s="47"/>
      <c r="W158" s="48" t="s">
        <v>70</v>
      </c>
      <c r="X158" s="76">
        <v>21</v>
      </c>
      <c r="Y158" s="77">
        <f t="shared" ref="Y158:Y166" si="21">IFERROR(IF(X158="",0,CEILING((X158/$H158),1)*$H158),"")</f>
        <v>21</v>
      </c>
      <c r="Z158" s="52">
        <f>IFERROR(IF(Y158=0,"",ROUNDUP(Y158/H158,0)*0.00902),"")</f>
        <v>4.5100000000000001E-2</v>
      </c>
      <c r="AA158" s="53"/>
      <c r="AB158" s="54"/>
      <c r="AC158" s="55" t="s">
        <v>265</v>
      </c>
      <c r="AG158" s="78"/>
      <c r="AJ158" s="57"/>
      <c r="AK158" s="57">
        <v>0</v>
      </c>
      <c r="BB158" s="59" t="s">
        <v>1</v>
      </c>
      <c r="BM158" s="78">
        <f t="shared" ref="BM158:BM166" si="22">IFERROR(X158*I158/H158,"0")</f>
        <v>22.349999999999998</v>
      </c>
      <c r="BN158" s="78">
        <f t="shared" ref="BN158:BN166" si="23">IFERROR(Y158*I158/H158,"0")</f>
        <v>22.349999999999998</v>
      </c>
      <c r="BO158" s="78">
        <f t="shared" ref="BO158:BO166" si="24">IFERROR(1/J158*(X158/H158),"0")</f>
        <v>3.787878787878788E-2</v>
      </c>
      <c r="BP158" s="78">
        <f t="shared" ref="BP158:BP166" si="25">IFERROR(1/J158*(Y158/H158),"0")</f>
        <v>3.787878787878788E-2</v>
      </c>
    </row>
    <row r="159" spans="1:68" ht="27" customHeight="1" x14ac:dyDescent="0.25">
      <c r="A159" s="24" t="s">
        <v>266</v>
      </c>
      <c r="B159" s="24" t="s">
        <v>267</v>
      </c>
      <c r="C159" s="25">
        <v>4301031204</v>
      </c>
      <c r="D159" s="86">
        <v>4680115881761</v>
      </c>
      <c r="E159" s="87"/>
      <c r="F159" s="75">
        <v>0.7</v>
      </c>
      <c r="G159" s="26">
        <v>6</v>
      </c>
      <c r="H159" s="75">
        <v>4.2</v>
      </c>
      <c r="I159" s="75">
        <v>4.47</v>
      </c>
      <c r="J159" s="26">
        <v>132</v>
      </c>
      <c r="K159" s="26" t="s">
        <v>111</v>
      </c>
      <c r="L159" s="26"/>
      <c r="M159" s="35" t="s">
        <v>68</v>
      </c>
      <c r="N159" s="35"/>
      <c r="O159" s="26">
        <v>40</v>
      </c>
      <c r="P159" s="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84"/>
      <c r="R159" s="84"/>
      <c r="S159" s="84"/>
      <c r="T159" s="85"/>
      <c r="U159" s="47"/>
      <c r="V159" s="47"/>
      <c r="W159" s="48" t="s">
        <v>70</v>
      </c>
      <c r="X159" s="76">
        <v>21</v>
      </c>
      <c r="Y159" s="77">
        <f t="shared" si="21"/>
        <v>21</v>
      </c>
      <c r="Z159" s="52">
        <f>IFERROR(IF(Y159=0,"",ROUNDUP(Y159/H159,0)*0.00902),"")</f>
        <v>4.5100000000000001E-2</v>
      </c>
      <c r="AA159" s="53"/>
      <c r="AB159" s="54"/>
      <c r="AC159" s="55" t="s">
        <v>268</v>
      </c>
      <c r="AG159" s="78"/>
      <c r="AJ159" s="57"/>
      <c r="AK159" s="57">
        <v>0</v>
      </c>
      <c r="BB159" s="59" t="s">
        <v>1</v>
      </c>
      <c r="BM159" s="78">
        <f t="shared" si="22"/>
        <v>22.349999999999998</v>
      </c>
      <c r="BN159" s="78">
        <f t="shared" si="23"/>
        <v>22.349999999999998</v>
      </c>
      <c r="BO159" s="78">
        <f t="shared" si="24"/>
        <v>3.787878787878788E-2</v>
      </c>
      <c r="BP159" s="78">
        <f t="shared" si="25"/>
        <v>3.787878787878788E-2</v>
      </c>
    </row>
    <row r="160" spans="1:68" ht="27" customHeight="1" x14ac:dyDescent="0.25">
      <c r="A160" s="24" t="s">
        <v>269</v>
      </c>
      <c r="B160" s="24" t="s">
        <v>270</v>
      </c>
      <c r="C160" s="25">
        <v>4301031201</v>
      </c>
      <c r="D160" s="86">
        <v>4680115881563</v>
      </c>
      <c r="E160" s="87"/>
      <c r="F160" s="75">
        <v>0.7</v>
      </c>
      <c r="G160" s="26">
        <v>6</v>
      </c>
      <c r="H160" s="75">
        <v>4.2</v>
      </c>
      <c r="I160" s="75">
        <v>4.41</v>
      </c>
      <c r="J160" s="26">
        <v>132</v>
      </c>
      <c r="K160" s="26" t="s">
        <v>111</v>
      </c>
      <c r="L160" s="26"/>
      <c r="M160" s="35" t="s">
        <v>68</v>
      </c>
      <c r="N160" s="35"/>
      <c r="O160" s="26">
        <v>40</v>
      </c>
      <c r="P160" s="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84"/>
      <c r="R160" s="84"/>
      <c r="S160" s="84"/>
      <c r="T160" s="85"/>
      <c r="U160" s="47"/>
      <c r="V160" s="47"/>
      <c r="W160" s="48" t="s">
        <v>70</v>
      </c>
      <c r="X160" s="76">
        <v>21</v>
      </c>
      <c r="Y160" s="77">
        <f t="shared" si="21"/>
        <v>21</v>
      </c>
      <c r="Z160" s="52">
        <f>IFERROR(IF(Y160=0,"",ROUNDUP(Y160/H160,0)*0.00902),"")</f>
        <v>4.5100000000000001E-2</v>
      </c>
      <c r="AA160" s="53"/>
      <c r="AB160" s="54"/>
      <c r="AC160" s="55" t="s">
        <v>271</v>
      </c>
      <c r="AG160" s="78"/>
      <c r="AJ160" s="57"/>
      <c r="AK160" s="57">
        <v>0</v>
      </c>
      <c r="BB160" s="59" t="s">
        <v>1</v>
      </c>
      <c r="BM160" s="78">
        <f t="shared" si="22"/>
        <v>22.049999999999997</v>
      </c>
      <c r="BN160" s="78">
        <f t="shared" si="23"/>
        <v>22.049999999999997</v>
      </c>
      <c r="BO160" s="78">
        <f t="shared" si="24"/>
        <v>3.787878787878788E-2</v>
      </c>
      <c r="BP160" s="78">
        <f t="shared" si="25"/>
        <v>3.787878787878788E-2</v>
      </c>
    </row>
    <row r="161" spans="1:68" ht="27" customHeight="1" x14ac:dyDescent="0.25">
      <c r="A161" s="24" t="s">
        <v>272</v>
      </c>
      <c r="B161" s="24" t="s">
        <v>273</v>
      </c>
      <c r="C161" s="25">
        <v>4301031199</v>
      </c>
      <c r="D161" s="86">
        <v>4680115880986</v>
      </c>
      <c r="E161" s="87"/>
      <c r="F161" s="75">
        <v>0.35</v>
      </c>
      <c r="G161" s="26">
        <v>6</v>
      </c>
      <c r="H161" s="75">
        <v>2.1</v>
      </c>
      <c r="I161" s="75">
        <v>2.23</v>
      </c>
      <c r="J161" s="26">
        <v>234</v>
      </c>
      <c r="K161" s="26" t="s">
        <v>67</v>
      </c>
      <c r="L161" s="26"/>
      <c r="M161" s="35" t="s">
        <v>68</v>
      </c>
      <c r="N161" s="35"/>
      <c r="O161" s="26">
        <v>40</v>
      </c>
      <c r="P161" s="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84"/>
      <c r="R161" s="84"/>
      <c r="S161" s="84"/>
      <c r="T161" s="85"/>
      <c r="U161" s="47"/>
      <c r="V161" s="47"/>
      <c r="W161" s="48" t="s">
        <v>70</v>
      </c>
      <c r="X161" s="76">
        <v>10.5</v>
      </c>
      <c r="Y161" s="77">
        <f t="shared" si="21"/>
        <v>10.5</v>
      </c>
      <c r="Z161" s="52">
        <f>IFERROR(IF(Y161=0,"",ROUNDUP(Y161/H161,0)*0.00502),"")</f>
        <v>2.5100000000000001E-2</v>
      </c>
      <c r="AA161" s="53"/>
      <c r="AB161" s="54"/>
      <c r="AC161" s="55" t="s">
        <v>265</v>
      </c>
      <c r="AG161" s="78"/>
      <c r="AJ161" s="57"/>
      <c r="AK161" s="57">
        <v>0</v>
      </c>
      <c r="BB161" s="59" t="s">
        <v>1</v>
      </c>
      <c r="BM161" s="78">
        <f t="shared" si="22"/>
        <v>11.149999999999999</v>
      </c>
      <c r="BN161" s="78">
        <f t="shared" si="23"/>
        <v>11.149999999999999</v>
      </c>
      <c r="BO161" s="78">
        <f t="shared" si="24"/>
        <v>2.1367521367521368E-2</v>
      </c>
      <c r="BP161" s="78">
        <f t="shared" si="25"/>
        <v>2.1367521367521368E-2</v>
      </c>
    </row>
    <row r="162" spans="1:68" ht="27" customHeight="1" x14ac:dyDescent="0.25">
      <c r="A162" s="24" t="s">
        <v>274</v>
      </c>
      <c r="B162" s="24" t="s">
        <v>275</v>
      </c>
      <c r="C162" s="25">
        <v>4301031205</v>
      </c>
      <c r="D162" s="86">
        <v>4680115881785</v>
      </c>
      <c r="E162" s="87"/>
      <c r="F162" s="75">
        <v>0.35</v>
      </c>
      <c r="G162" s="26">
        <v>6</v>
      </c>
      <c r="H162" s="75">
        <v>2.1</v>
      </c>
      <c r="I162" s="75">
        <v>2.23</v>
      </c>
      <c r="J162" s="26">
        <v>234</v>
      </c>
      <c r="K162" s="26" t="s">
        <v>67</v>
      </c>
      <c r="L162" s="26"/>
      <c r="M162" s="35" t="s">
        <v>68</v>
      </c>
      <c r="N162" s="35"/>
      <c r="O162" s="26">
        <v>40</v>
      </c>
      <c r="P162" s="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84"/>
      <c r="R162" s="84"/>
      <c r="S162" s="84"/>
      <c r="T162" s="85"/>
      <c r="U162" s="47"/>
      <c r="V162" s="47"/>
      <c r="W162" s="48" t="s">
        <v>70</v>
      </c>
      <c r="X162" s="76">
        <v>10.5</v>
      </c>
      <c r="Y162" s="77">
        <f t="shared" si="21"/>
        <v>10.5</v>
      </c>
      <c r="Z162" s="52">
        <f>IFERROR(IF(Y162=0,"",ROUNDUP(Y162/H162,0)*0.00502),"")</f>
        <v>2.5100000000000001E-2</v>
      </c>
      <c r="AA162" s="53"/>
      <c r="AB162" s="54"/>
      <c r="AC162" s="55" t="s">
        <v>268</v>
      </c>
      <c r="AG162" s="78"/>
      <c r="AJ162" s="57"/>
      <c r="AK162" s="57">
        <v>0</v>
      </c>
      <c r="BB162" s="59" t="s">
        <v>1</v>
      </c>
      <c r="BM162" s="78">
        <f t="shared" si="22"/>
        <v>11.149999999999999</v>
      </c>
      <c r="BN162" s="78">
        <f t="shared" si="23"/>
        <v>11.149999999999999</v>
      </c>
      <c r="BO162" s="78">
        <f t="shared" si="24"/>
        <v>2.1367521367521368E-2</v>
      </c>
      <c r="BP162" s="78">
        <f t="shared" si="25"/>
        <v>2.1367521367521368E-2</v>
      </c>
    </row>
    <row r="163" spans="1:68" ht="27" customHeight="1" x14ac:dyDescent="0.25">
      <c r="A163" s="24" t="s">
        <v>276</v>
      </c>
      <c r="B163" s="24" t="s">
        <v>277</v>
      </c>
      <c r="C163" s="25">
        <v>4301031399</v>
      </c>
      <c r="D163" s="86">
        <v>4680115886537</v>
      </c>
      <c r="E163" s="87"/>
      <c r="F163" s="75">
        <v>0.3</v>
      </c>
      <c r="G163" s="26">
        <v>6</v>
      </c>
      <c r="H163" s="75">
        <v>1.8</v>
      </c>
      <c r="I163" s="75">
        <v>1.93</v>
      </c>
      <c r="J163" s="26">
        <v>234</v>
      </c>
      <c r="K163" s="26" t="s">
        <v>67</v>
      </c>
      <c r="L163" s="26"/>
      <c r="M163" s="35" t="s">
        <v>68</v>
      </c>
      <c r="N163" s="35"/>
      <c r="O163" s="26">
        <v>40</v>
      </c>
      <c r="P163" s="8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84"/>
      <c r="R163" s="84"/>
      <c r="S163" s="84"/>
      <c r="T163" s="85"/>
      <c r="U163" s="47"/>
      <c r="V163" s="47"/>
      <c r="W163" s="48" t="s">
        <v>70</v>
      </c>
      <c r="X163" s="76">
        <v>9</v>
      </c>
      <c r="Y163" s="77">
        <f t="shared" si="21"/>
        <v>9</v>
      </c>
      <c r="Z163" s="52">
        <f>IFERROR(IF(Y163=0,"",ROUNDUP(Y163/H163,0)*0.00502),"")</f>
        <v>2.5100000000000001E-2</v>
      </c>
      <c r="AA163" s="53"/>
      <c r="AB163" s="54"/>
      <c r="AC163" s="55" t="s">
        <v>278</v>
      </c>
      <c r="AG163" s="78"/>
      <c r="AJ163" s="57"/>
      <c r="AK163" s="57">
        <v>0</v>
      </c>
      <c r="BB163" s="59" t="s">
        <v>1</v>
      </c>
      <c r="BM163" s="78">
        <f t="shared" si="22"/>
        <v>9.65</v>
      </c>
      <c r="BN163" s="78">
        <f t="shared" si="23"/>
        <v>9.65</v>
      </c>
      <c r="BO163" s="78">
        <f t="shared" si="24"/>
        <v>2.1367521367521368E-2</v>
      </c>
      <c r="BP163" s="78">
        <f t="shared" si="25"/>
        <v>2.1367521367521368E-2</v>
      </c>
    </row>
    <row r="164" spans="1:68" ht="37.5" customHeight="1" x14ac:dyDescent="0.25">
      <c r="A164" s="24" t="s">
        <v>279</v>
      </c>
      <c r="B164" s="24" t="s">
        <v>280</v>
      </c>
      <c r="C164" s="25">
        <v>4301031202</v>
      </c>
      <c r="D164" s="86">
        <v>4680115881679</v>
      </c>
      <c r="E164" s="87"/>
      <c r="F164" s="75">
        <v>0.35</v>
      </c>
      <c r="G164" s="26">
        <v>6</v>
      </c>
      <c r="H164" s="75">
        <v>2.1</v>
      </c>
      <c r="I164" s="75">
        <v>2.2000000000000002</v>
      </c>
      <c r="J164" s="26">
        <v>234</v>
      </c>
      <c r="K164" s="26" t="s">
        <v>67</v>
      </c>
      <c r="L164" s="26"/>
      <c r="M164" s="35" t="s">
        <v>68</v>
      </c>
      <c r="N164" s="35"/>
      <c r="O164" s="26">
        <v>40</v>
      </c>
      <c r="P164" s="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84"/>
      <c r="R164" s="84"/>
      <c r="S164" s="84"/>
      <c r="T164" s="85"/>
      <c r="U164" s="47"/>
      <c r="V164" s="47"/>
      <c r="W164" s="48" t="s">
        <v>70</v>
      </c>
      <c r="X164" s="76">
        <v>10.5</v>
      </c>
      <c r="Y164" s="77">
        <f t="shared" si="21"/>
        <v>10.5</v>
      </c>
      <c r="Z164" s="52">
        <f>IFERROR(IF(Y164=0,"",ROUNDUP(Y164/H164,0)*0.00502),"")</f>
        <v>2.5100000000000001E-2</v>
      </c>
      <c r="AA164" s="53"/>
      <c r="AB164" s="54"/>
      <c r="AC164" s="55" t="s">
        <v>271</v>
      </c>
      <c r="AG164" s="78"/>
      <c r="AJ164" s="57"/>
      <c r="AK164" s="57">
        <v>0</v>
      </c>
      <c r="BB164" s="59" t="s">
        <v>1</v>
      </c>
      <c r="BM164" s="78">
        <f t="shared" si="22"/>
        <v>11</v>
      </c>
      <c r="BN164" s="78">
        <f t="shared" si="23"/>
        <v>11</v>
      </c>
      <c r="BO164" s="78">
        <f t="shared" si="24"/>
        <v>2.1367521367521368E-2</v>
      </c>
      <c r="BP164" s="78">
        <f t="shared" si="25"/>
        <v>2.1367521367521368E-2</v>
      </c>
    </row>
    <row r="165" spans="1:68" ht="27" customHeight="1" x14ac:dyDescent="0.25">
      <c r="A165" s="24" t="s">
        <v>281</v>
      </c>
      <c r="B165" s="24" t="s">
        <v>282</v>
      </c>
      <c r="C165" s="25">
        <v>4301031158</v>
      </c>
      <c r="D165" s="86">
        <v>4680115880191</v>
      </c>
      <c r="E165" s="87"/>
      <c r="F165" s="75">
        <v>0.4</v>
      </c>
      <c r="G165" s="26">
        <v>6</v>
      </c>
      <c r="H165" s="75">
        <v>2.4</v>
      </c>
      <c r="I165" s="75">
        <v>2.58</v>
      </c>
      <c r="J165" s="26">
        <v>182</v>
      </c>
      <c r="K165" s="26" t="s">
        <v>77</v>
      </c>
      <c r="L165" s="26"/>
      <c r="M165" s="35" t="s">
        <v>68</v>
      </c>
      <c r="N165" s="35"/>
      <c r="O165" s="26">
        <v>40</v>
      </c>
      <c r="P165" s="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84"/>
      <c r="R165" s="84"/>
      <c r="S165" s="84"/>
      <c r="T165" s="85"/>
      <c r="U165" s="47"/>
      <c r="V165" s="47"/>
      <c r="W165" s="48" t="s">
        <v>70</v>
      </c>
      <c r="X165" s="76">
        <v>10.5</v>
      </c>
      <c r="Y165" s="77">
        <f t="shared" si="21"/>
        <v>12</v>
      </c>
      <c r="Z165" s="52">
        <f>IFERROR(IF(Y165=0,"",ROUNDUP(Y165/H165,0)*0.00651),"")</f>
        <v>3.2550000000000003E-2</v>
      </c>
      <c r="AA165" s="53"/>
      <c r="AB165" s="54"/>
      <c r="AC165" s="55" t="s">
        <v>271</v>
      </c>
      <c r="AG165" s="78"/>
      <c r="AJ165" s="57"/>
      <c r="AK165" s="57">
        <v>0</v>
      </c>
      <c r="BB165" s="59" t="s">
        <v>1</v>
      </c>
      <c r="BM165" s="78">
        <f t="shared" si="22"/>
        <v>11.2875</v>
      </c>
      <c r="BN165" s="78">
        <f t="shared" si="23"/>
        <v>12.9</v>
      </c>
      <c r="BO165" s="78">
        <f t="shared" si="24"/>
        <v>2.403846153846154E-2</v>
      </c>
      <c r="BP165" s="78">
        <f t="shared" si="25"/>
        <v>2.7472527472527476E-2</v>
      </c>
    </row>
    <row r="166" spans="1:68" ht="27" customHeight="1" x14ac:dyDescent="0.25">
      <c r="A166" s="24" t="s">
        <v>283</v>
      </c>
      <c r="B166" s="24" t="s">
        <v>284</v>
      </c>
      <c r="C166" s="25">
        <v>4301031245</v>
      </c>
      <c r="D166" s="86">
        <v>4680115883963</v>
      </c>
      <c r="E166" s="87"/>
      <c r="F166" s="75">
        <v>0.28000000000000003</v>
      </c>
      <c r="G166" s="26">
        <v>6</v>
      </c>
      <c r="H166" s="75">
        <v>1.68</v>
      </c>
      <c r="I166" s="75">
        <v>1.78</v>
      </c>
      <c r="J166" s="26">
        <v>234</v>
      </c>
      <c r="K166" s="26" t="s">
        <v>67</v>
      </c>
      <c r="L166" s="26"/>
      <c r="M166" s="35" t="s">
        <v>68</v>
      </c>
      <c r="N166" s="35"/>
      <c r="O166" s="26">
        <v>40</v>
      </c>
      <c r="P166" s="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84"/>
      <c r="R166" s="84"/>
      <c r="S166" s="84"/>
      <c r="T166" s="85"/>
      <c r="U166" s="47"/>
      <c r="V166" s="47"/>
      <c r="W166" s="48" t="s">
        <v>70</v>
      </c>
      <c r="X166" s="76">
        <v>0</v>
      </c>
      <c r="Y166" s="77">
        <f t="shared" si="21"/>
        <v>0</v>
      </c>
      <c r="Z166" s="52" t="str">
        <f>IFERROR(IF(Y166=0,"",ROUNDUP(Y166/H166,0)*0.00502),"")</f>
        <v/>
      </c>
      <c r="AA166" s="53"/>
      <c r="AB166" s="54"/>
      <c r="AC166" s="55" t="s">
        <v>285</v>
      </c>
      <c r="AG166" s="78"/>
      <c r="AJ166" s="57"/>
      <c r="AK166" s="57">
        <v>0</v>
      </c>
      <c r="BB166" s="59" t="s">
        <v>1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99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100"/>
      <c r="P167" s="91" t="s">
        <v>72</v>
      </c>
      <c r="Q167" s="92"/>
      <c r="R167" s="92"/>
      <c r="S167" s="92"/>
      <c r="T167" s="92"/>
      <c r="U167" s="92"/>
      <c r="V167" s="93"/>
      <c r="W167" s="49" t="s">
        <v>73</v>
      </c>
      <c r="X167" s="79">
        <f>IFERROR(X158/H158,"0")+IFERROR(X159/H159,"0")+IFERROR(X160/H160,"0")+IFERROR(X161/H161,"0")+IFERROR(X162/H162,"0")+IFERROR(X163/H163,"0")+IFERROR(X164/H164,"0")+IFERROR(X165/H165,"0")+IFERROR(X166/H166,"0")</f>
        <v>39.375</v>
      </c>
      <c r="Y167" s="79">
        <f>IFERROR(Y158/H158,"0")+IFERROR(Y159/H159,"0")+IFERROR(Y160/H160,"0")+IFERROR(Y161/H161,"0")+IFERROR(Y162/H162,"0")+IFERROR(Y163/H163,"0")+IFERROR(Y164/H164,"0")+IFERROR(Y165/H165,"0")+IFERROR(Y166/H166,"0")</f>
        <v>40</v>
      </c>
      <c r="Z167" s="7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0.26825000000000004</v>
      </c>
      <c r="AA167" s="80"/>
      <c r="AB167" s="80"/>
      <c r="AC167" s="80"/>
    </row>
    <row r="168" spans="1:68" x14ac:dyDescent="0.2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100"/>
      <c r="P168" s="91" t="s">
        <v>72</v>
      </c>
      <c r="Q168" s="92"/>
      <c r="R168" s="92"/>
      <c r="S168" s="92"/>
      <c r="T168" s="92"/>
      <c r="U168" s="92"/>
      <c r="V168" s="93"/>
      <c r="W168" s="49" t="s">
        <v>70</v>
      </c>
      <c r="X168" s="79">
        <f>IFERROR(SUM(X158:X166),"0")</f>
        <v>114</v>
      </c>
      <c r="Y168" s="79">
        <f>IFERROR(SUM(Y158:Y166),"0")</f>
        <v>115.5</v>
      </c>
      <c r="Z168" s="49"/>
      <c r="AA168" s="80"/>
      <c r="AB168" s="80"/>
      <c r="AC168" s="80"/>
    </row>
    <row r="169" spans="1:68" ht="14.25" customHeight="1" x14ac:dyDescent="0.25">
      <c r="A169" s="89" t="s">
        <v>95</v>
      </c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66"/>
      <c r="AB169" s="66"/>
      <c r="AC169" s="66"/>
    </row>
    <row r="170" spans="1:68" ht="27" customHeight="1" x14ac:dyDescent="0.25">
      <c r="A170" s="24" t="s">
        <v>286</v>
      </c>
      <c r="B170" s="24" t="s">
        <v>287</v>
      </c>
      <c r="C170" s="25">
        <v>4301032053</v>
      </c>
      <c r="D170" s="86">
        <v>4680115886780</v>
      </c>
      <c r="E170" s="87"/>
      <c r="F170" s="75">
        <v>7.0000000000000007E-2</v>
      </c>
      <c r="G170" s="26">
        <v>18</v>
      </c>
      <c r="H170" s="75">
        <v>1.26</v>
      </c>
      <c r="I170" s="75">
        <v>1.45</v>
      </c>
      <c r="J170" s="26">
        <v>216</v>
      </c>
      <c r="K170" s="26" t="s">
        <v>288</v>
      </c>
      <c r="L170" s="26"/>
      <c r="M170" s="35" t="s">
        <v>289</v>
      </c>
      <c r="N170" s="35"/>
      <c r="O170" s="26">
        <v>60</v>
      </c>
      <c r="P170" s="8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84"/>
      <c r="R170" s="84"/>
      <c r="S170" s="84"/>
      <c r="T170" s="85"/>
      <c r="U170" s="47"/>
      <c r="V170" s="47"/>
      <c r="W170" s="48" t="s">
        <v>70</v>
      </c>
      <c r="X170" s="76">
        <v>1.26</v>
      </c>
      <c r="Y170" s="77">
        <f>IFERROR(IF(X170="",0,CEILING((X170/$H170),1)*$H170),"")</f>
        <v>1.26</v>
      </c>
      <c r="Z170" s="52">
        <f>IFERROR(IF(Y170=0,"",ROUNDUP(Y170/H170,0)*0.0059),"")</f>
        <v>5.8999999999999999E-3</v>
      </c>
      <c r="AA170" s="53"/>
      <c r="AB170" s="54"/>
      <c r="AC170" s="55" t="s">
        <v>290</v>
      </c>
      <c r="AG170" s="78"/>
      <c r="AJ170" s="57"/>
      <c r="AK170" s="57">
        <v>0</v>
      </c>
      <c r="BB170" s="59" t="s">
        <v>1</v>
      </c>
      <c r="BM170" s="78">
        <f>IFERROR(X170*I170/H170,"0")</f>
        <v>1.45</v>
      </c>
      <c r="BN170" s="78">
        <f>IFERROR(Y170*I170/H170,"0")</f>
        <v>1.45</v>
      </c>
      <c r="BO170" s="78">
        <f>IFERROR(1/J170*(X170/H170),"0")</f>
        <v>4.6296296296296294E-3</v>
      </c>
      <c r="BP170" s="78">
        <f>IFERROR(1/J170*(Y170/H170),"0")</f>
        <v>4.6296296296296294E-3</v>
      </c>
    </row>
    <row r="171" spans="1:68" ht="27" customHeight="1" x14ac:dyDescent="0.25">
      <c r="A171" s="24" t="s">
        <v>291</v>
      </c>
      <c r="B171" s="24" t="s">
        <v>292</v>
      </c>
      <c r="C171" s="25">
        <v>4301032051</v>
      </c>
      <c r="D171" s="86">
        <v>4680115886742</v>
      </c>
      <c r="E171" s="87"/>
      <c r="F171" s="75">
        <v>7.0000000000000007E-2</v>
      </c>
      <c r="G171" s="26">
        <v>18</v>
      </c>
      <c r="H171" s="75">
        <v>1.26</v>
      </c>
      <c r="I171" s="75">
        <v>1.45</v>
      </c>
      <c r="J171" s="26">
        <v>216</v>
      </c>
      <c r="K171" s="26" t="s">
        <v>288</v>
      </c>
      <c r="L171" s="26"/>
      <c r="M171" s="35" t="s">
        <v>289</v>
      </c>
      <c r="N171" s="35"/>
      <c r="O171" s="26">
        <v>90</v>
      </c>
      <c r="P171" s="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84"/>
      <c r="R171" s="84"/>
      <c r="S171" s="84"/>
      <c r="T171" s="85"/>
      <c r="U171" s="47"/>
      <c r="V171" s="47"/>
      <c r="W171" s="48" t="s">
        <v>70</v>
      </c>
      <c r="X171" s="76">
        <v>1.26</v>
      </c>
      <c r="Y171" s="77">
        <f>IFERROR(IF(X171="",0,CEILING((X171/$H171),1)*$H171),"")</f>
        <v>1.26</v>
      </c>
      <c r="Z171" s="52">
        <f>IFERROR(IF(Y171=0,"",ROUNDUP(Y171/H171,0)*0.0059),"")</f>
        <v>5.8999999999999999E-3</v>
      </c>
      <c r="AA171" s="53"/>
      <c r="AB171" s="54"/>
      <c r="AC171" s="55" t="s">
        <v>293</v>
      </c>
      <c r="AG171" s="78"/>
      <c r="AJ171" s="57"/>
      <c r="AK171" s="57">
        <v>0</v>
      </c>
      <c r="BB171" s="59" t="s">
        <v>1</v>
      </c>
      <c r="BM171" s="78">
        <f>IFERROR(X171*I171/H171,"0")</f>
        <v>1.45</v>
      </c>
      <c r="BN171" s="78">
        <f>IFERROR(Y171*I171/H171,"0")</f>
        <v>1.45</v>
      </c>
      <c r="BO171" s="78">
        <f>IFERROR(1/J171*(X171/H171),"0")</f>
        <v>4.6296296296296294E-3</v>
      </c>
      <c r="BP171" s="78">
        <f>IFERROR(1/J171*(Y171/H171),"0")</f>
        <v>4.6296296296296294E-3</v>
      </c>
    </row>
    <row r="172" spans="1:68" ht="27" customHeight="1" x14ac:dyDescent="0.25">
      <c r="A172" s="24" t="s">
        <v>294</v>
      </c>
      <c r="B172" s="24" t="s">
        <v>295</v>
      </c>
      <c r="C172" s="25">
        <v>4301032052</v>
      </c>
      <c r="D172" s="86">
        <v>4680115886766</v>
      </c>
      <c r="E172" s="87"/>
      <c r="F172" s="75">
        <v>7.0000000000000007E-2</v>
      </c>
      <c r="G172" s="26">
        <v>18</v>
      </c>
      <c r="H172" s="75">
        <v>1.26</v>
      </c>
      <c r="I172" s="75">
        <v>1.45</v>
      </c>
      <c r="J172" s="26">
        <v>216</v>
      </c>
      <c r="K172" s="26" t="s">
        <v>288</v>
      </c>
      <c r="L172" s="26"/>
      <c r="M172" s="35" t="s">
        <v>289</v>
      </c>
      <c r="N172" s="35"/>
      <c r="O172" s="26">
        <v>90</v>
      </c>
      <c r="P172" s="8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84"/>
      <c r="R172" s="84"/>
      <c r="S172" s="84"/>
      <c r="T172" s="85"/>
      <c r="U172" s="47"/>
      <c r="V172" s="47"/>
      <c r="W172" s="48" t="s">
        <v>70</v>
      </c>
      <c r="X172" s="76">
        <v>1.26</v>
      </c>
      <c r="Y172" s="77">
        <f>IFERROR(IF(X172="",0,CEILING((X172/$H172),1)*$H172),"")</f>
        <v>1.26</v>
      </c>
      <c r="Z172" s="52">
        <f>IFERROR(IF(Y172=0,"",ROUNDUP(Y172/H172,0)*0.0059),"")</f>
        <v>5.8999999999999999E-3</v>
      </c>
      <c r="AA172" s="53"/>
      <c r="AB172" s="54"/>
      <c r="AC172" s="55" t="s">
        <v>293</v>
      </c>
      <c r="AG172" s="78"/>
      <c r="AJ172" s="57"/>
      <c r="AK172" s="57">
        <v>0</v>
      </c>
      <c r="BB172" s="59" t="s">
        <v>1</v>
      </c>
      <c r="BM172" s="78">
        <f>IFERROR(X172*I172/H172,"0")</f>
        <v>1.45</v>
      </c>
      <c r="BN172" s="78">
        <f>IFERROR(Y172*I172/H172,"0")</f>
        <v>1.45</v>
      </c>
      <c r="BO172" s="78">
        <f>IFERROR(1/J172*(X172/H172),"0")</f>
        <v>4.6296296296296294E-3</v>
      </c>
      <c r="BP172" s="78">
        <f>IFERROR(1/J172*(Y172/H172),"0")</f>
        <v>4.6296296296296294E-3</v>
      </c>
    </row>
    <row r="173" spans="1:68" x14ac:dyDescent="0.2">
      <c r="A173" s="99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100"/>
      <c r="P173" s="91" t="s">
        <v>72</v>
      </c>
      <c r="Q173" s="92"/>
      <c r="R173" s="92"/>
      <c r="S173" s="92"/>
      <c r="T173" s="92"/>
      <c r="U173" s="92"/>
      <c r="V173" s="93"/>
      <c r="W173" s="49" t="s">
        <v>73</v>
      </c>
      <c r="X173" s="79">
        <f>IFERROR(X170/H170,"0")+IFERROR(X171/H171,"0")+IFERROR(X172/H172,"0")</f>
        <v>3</v>
      </c>
      <c r="Y173" s="79">
        <f>IFERROR(Y170/H170,"0")+IFERROR(Y171/H171,"0")+IFERROR(Y172/H172,"0")</f>
        <v>3</v>
      </c>
      <c r="Z173" s="79">
        <f>IFERROR(IF(Z170="",0,Z170),"0")+IFERROR(IF(Z171="",0,Z171),"0")+IFERROR(IF(Z172="",0,Z172),"0")</f>
        <v>1.77E-2</v>
      </c>
      <c r="AA173" s="80"/>
      <c r="AB173" s="80"/>
      <c r="AC173" s="80"/>
    </row>
    <row r="174" spans="1:68" x14ac:dyDescent="0.2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100"/>
      <c r="P174" s="91" t="s">
        <v>72</v>
      </c>
      <c r="Q174" s="92"/>
      <c r="R174" s="92"/>
      <c r="S174" s="92"/>
      <c r="T174" s="92"/>
      <c r="U174" s="92"/>
      <c r="V174" s="93"/>
      <c r="W174" s="49" t="s">
        <v>70</v>
      </c>
      <c r="X174" s="79">
        <f>IFERROR(SUM(X170:X172),"0")</f>
        <v>3.7800000000000002</v>
      </c>
      <c r="Y174" s="79">
        <f>IFERROR(SUM(Y170:Y172),"0")</f>
        <v>3.7800000000000002</v>
      </c>
      <c r="Z174" s="49"/>
      <c r="AA174" s="80"/>
      <c r="AB174" s="80"/>
      <c r="AC174" s="80"/>
    </row>
    <row r="175" spans="1:68" ht="14.25" customHeight="1" x14ac:dyDescent="0.25">
      <c r="A175" s="89" t="s">
        <v>296</v>
      </c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66"/>
      <c r="AB175" s="66"/>
      <c r="AC175" s="66"/>
    </row>
    <row r="176" spans="1:68" ht="27" customHeight="1" x14ac:dyDescent="0.25">
      <c r="A176" s="24" t="s">
        <v>297</v>
      </c>
      <c r="B176" s="24" t="s">
        <v>298</v>
      </c>
      <c r="C176" s="25">
        <v>4301170013</v>
      </c>
      <c r="D176" s="86">
        <v>4680115886797</v>
      </c>
      <c r="E176" s="87"/>
      <c r="F176" s="75">
        <v>7.0000000000000007E-2</v>
      </c>
      <c r="G176" s="26">
        <v>18</v>
      </c>
      <c r="H176" s="75">
        <v>1.26</v>
      </c>
      <c r="I176" s="75">
        <v>1.45</v>
      </c>
      <c r="J176" s="26">
        <v>216</v>
      </c>
      <c r="K176" s="26" t="s">
        <v>288</v>
      </c>
      <c r="L176" s="26"/>
      <c r="M176" s="35" t="s">
        <v>289</v>
      </c>
      <c r="N176" s="35"/>
      <c r="O176" s="26">
        <v>90</v>
      </c>
      <c r="P176" s="8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84"/>
      <c r="R176" s="84"/>
      <c r="S176" s="84"/>
      <c r="T176" s="85"/>
      <c r="U176" s="47"/>
      <c r="V176" s="47"/>
      <c r="W176" s="48" t="s">
        <v>70</v>
      </c>
      <c r="X176" s="76">
        <v>0</v>
      </c>
      <c r="Y176" s="77">
        <f>IFERROR(IF(X176="",0,CEILING((X176/$H176),1)*$H176),"")</f>
        <v>0</v>
      </c>
      <c r="Z176" s="52" t="str">
        <f>IFERROR(IF(Y176=0,"",ROUNDUP(Y176/H176,0)*0.0059),"")</f>
        <v/>
      </c>
      <c r="AA176" s="53"/>
      <c r="AB176" s="54"/>
      <c r="AC176" s="55" t="s">
        <v>293</v>
      </c>
      <c r="AG176" s="78"/>
      <c r="AJ176" s="57"/>
      <c r="AK176" s="57">
        <v>0</v>
      </c>
      <c r="BB176" s="59" t="s">
        <v>1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99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100"/>
      <c r="P177" s="91" t="s">
        <v>72</v>
      </c>
      <c r="Q177" s="92"/>
      <c r="R177" s="92"/>
      <c r="S177" s="92"/>
      <c r="T177" s="92"/>
      <c r="U177" s="92"/>
      <c r="V177" s="93"/>
      <c r="W177" s="49" t="s">
        <v>73</v>
      </c>
      <c r="X177" s="79">
        <f>IFERROR(X176/H176,"0")</f>
        <v>0</v>
      </c>
      <c r="Y177" s="79">
        <f>IFERROR(Y176/H176,"0")</f>
        <v>0</v>
      </c>
      <c r="Z177" s="79">
        <f>IFERROR(IF(Z176="",0,Z176),"0")</f>
        <v>0</v>
      </c>
      <c r="AA177" s="80"/>
      <c r="AB177" s="80"/>
      <c r="AC177" s="80"/>
    </row>
    <row r="178" spans="1:68" x14ac:dyDescent="0.2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100"/>
      <c r="P178" s="91" t="s">
        <v>72</v>
      </c>
      <c r="Q178" s="92"/>
      <c r="R178" s="92"/>
      <c r="S178" s="92"/>
      <c r="T178" s="92"/>
      <c r="U178" s="92"/>
      <c r="V178" s="93"/>
      <c r="W178" s="49" t="s">
        <v>70</v>
      </c>
      <c r="X178" s="79">
        <f>IFERROR(SUM(X176:X176),"0")</f>
        <v>0</v>
      </c>
      <c r="Y178" s="79">
        <f>IFERROR(SUM(Y176:Y176),"0")</f>
        <v>0</v>
      </c>
      <c r="Z178" s="49"/>
      <c r="AA178" s="80"/>
      <c r="AB178" s="80"/>
      <c r="AC178" s="80"/>
    </row>
    <row r="179" spans="1:68" ht="16.5" customHeight="1" x14ac:dyDescent="0.25">
      <c r="A179" s="94" t="s">
        <v>299</v>
      </c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65"/>
      <c r="AB179" s="65"/>
      <c r="AC179" s="65"/>
    </row>
    <row r="180" spans="1:68" ht="14.25" customHeight="1" x14ac:dyDescent="0.25">
      <c r="A180" s="89" t="s">
        <v>103</v>
      </c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66"/>
      <c r="AB180" s="66"/>
      <c r="AC180" s="66"/>
    </row>
    <row r="181" spans="1:68" ht="16.5" customHeight="1" x14ac:dyDescent="0.25">
      <c r="A181" s="24" t="s">
        <v>300</v>
      </c>
      <c r="B181" s="24" t="s">
        <v>301</v>
      </c>
      <c r="C181" s="25">
        <v>4301011450</v>
      </c>
      <c r="D181" s="86">
        <v>4680115881402</v>
      </c>
      <c r="E181" s="87"/>
      <c r="F181" s="75">
        <v>1.35</v>
      </c>
      <c r="G181" s="26">
        <v>8</v>
      </c>
      <c r="H181" s="75">
        <v>10.8</v>
      </c>
      <c r="I181" s="75">
        <v>11.234999999999999</v>
      </c>
      <c r="J181" s="26">
        <v>64</v>
      </c>
      <c r="K181" s="26" t="s">
        <v>106</v>
      </c>
      <c r="L181" s="26"/>
      <c r="M181" s="35" t="s">
        <v>107</v>
      </c>
      <c r="N181" s="35"/>
      <c r="O181" s="26">
        <v>55</v>
      </c>
      <c r="P181" s="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84"/>
      <c r="R181" s="84"/>
      <c r="S181" s="84"/>
      <c r="T181" s="85"/>
      <c r="U181" s="47"/>
      <c r="V181" s="47"/>
      <c r="W181" s="48" t="s">
        <v>70</v>
      </c>
      <c r="X181" s="76">
        <v>0</v>
      </c>
      <c r="Y181" s="77">
        <f>IFERROR(IF(X181="",0,CEILING((X181/$H181),1)*$H181),"")</f>
        <v>0</v>
      </c>
      <c r="Z181" s="52" t="str">
        <f>IFERROR(IF(Y181=0,"",ROUNDUP(Y181/H181,0)*0.01898),"")</f>
        <v/>
      </c>
      <c r="AA181" s="53"/>
      <c r="AB181" s="54"/>
      <c r="AC181" s="55" t="s">
        <v>302</v>
      </c>
      <c r="AG181" s="78"/>
      <c r="AJ181" s="57"/>
      <c r="AK181" s="57">
        <v>0</v>
      </c>
      <c r="BB181" s="59" t="s">
        <v>1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24" t="s">
        <v>303</v>
      </c>
      <c r="B182" s="24" t="s">
        <v>304</v>
      </c>
      <c r="C182" s="25">
        <v>4301011768</v>
      </c>
      <c r="D182" s="86">
        <v>4680115881396</v>
      </c>
      <c r="E182" s="87"/>
      <c r="F182" s="75">
        <v>0.45</v>
      </c>
      <c r="G182" s="26">
        <v>6</v>
      </c>
      <c r="H182" s="75">
        <v>2.7</v>
      </c>
      <c r="I182" s="75">
        <v>2.88</v>
      </c>
      <c r="J182" s="26">
        <v>182</v>
      </c>
      <c r="K182" s="26" t="s">
        <v>77</v>
      </c>
      <c r="L182" s="26"/>
      <c r="M182" s="35" t="s">
        <v>107</v>
      </c>
      <c r="N182" s="35"/>
      <c r="O182" s="26">
        <v>55</v>
      </c>
      <c r="P182" s="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84"/>
      <c r="R182" s="84"/>
      <c r="S182" s="84"/>
      <c r="T182" s="85"/>
      <c r="U182" s="47"/>
      <c r="V182" s="47"/>
      <c r="W182" s="48" t="s">
        <v>70</v>
      </c>
      <c r="X182" s="76">
        <v>0</v>
      </c>
      <c r="Y182" s="77">
        <f>IFERROR(IF(X182="",0,CEILING((X182/$H182),1)*$H182),"")</f>
        <v>0</v>
      </c>
      <c r="Z182" s="52" t="str">
        <f>IFERROR(IF(Y182=0,"",ROUNDUP(Y182/H182,0)*0.00651),"")</f>
        <v/>
      </c>
      <c r="AA182" s="53"/>
      <c r="AB182" s="54"/>
      <c r="AC182" s="55" t="s">
        <v>302</v>
      </c>
      <c r="AG182" s="78"/>
      <c r="AJ182" s="57"/>
      <c r="AK182" s="57">
        <v>0</v>
      </c>
      <c r="BB182" s="59" t="s">
        <v>1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99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100"/>
      <c r="P183" s="91" t="s">
        <v>72</v>
      </c>
      <c r="Q183" s="92"/>
      <c r="R183" s="92"/>
      <c r="S183" s="92"/>
      <c r="T183" s="92"/>
      <c r="U183" s="92"/>
      <c r="V183" s="93"/>
      <c r="W183" s="49" t="s">
        <v>73</v>
      </c>
      <c r="X183" s="79">
        <f>IFERROR(X181/H181,"0")+IFERROR(X182/H182,"0")</f>
        <v>0</v>
      </c>
      <c r="Y183" s="79">
        <f>IFERROR(Y181/H181,"0")+IFERROR(Y182/H182,"0")</f>
        <v>0</v>
      </c>
      <c r="Z183" s="79">
        <f>IFERROR(IF(Z181="",0,Z181),"0")+IFERROR(IF(Z182="",0,Z182),"0")</f>
        <v>0</v>
      </c>
      <c r="AA183" s="80"/>
      <c r="AB183" s="80"/>
      <c r="AC183" s="80"/>
    </row>
    <row r="184" spans="1:68" x14ac:dyDescent="0.2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100"/>
      <c r="P184" s="91" t="s">
        <v>72</v>
      </c>
      <c r="Q184" s="92"/>
      <c r="R184" s="92"/>
      <c r="S184" s="92"/>
      <c r="T184" s="92"/>
      <c r="U184" s="92"/>
      <c r="V184" s="93"/>
      <c r="W184" s="49" t="s">
        <v>70</v>
      </c>
      <c r="X184" s="79">
        <f>IFERROR(SUM(X181:X182),"0")</f>
        <v>0</v>
      </c>
      <c r="Y184" s="79">
        <f>IFERROR(SUM(Y181:Y182),"0")</f>
        <v>0</v>
      </c>
      <c r="Z184" s="49"/>
      <c r="AA184" s="80"/>
      <c r="AB184" s="80"/>
      <c r="AC184" s="80"/>
    </row>
    <row r="185" spans="1:68" ht="14.25" customHeight="1" x14ac:dyDescent="0.25">
      <c r="A185" s="89" t="s">
        <v>139</v>
      </c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66"/>
      <c r="AB185" s="66"/>
      <c r="AC185" s="66"/>
    </row>
    <row r="186" spans="1:68" ht="16.5" customHeight="1" x14ac:dyDescent="0.25">
      <c r="A186" s="24" t="s">
        <v>305</v>
      </c>
      <c r="B186" s="24" t="s">
        <v>306</v>
      </c>
      <c r="C186" s="25">
        <v>4301020262</v>
      </c>
      <c r="D186" s="86">
        <v>4680115882935</v>
      </c>
      <c r="E186" s="87"/>
      <c r="F186" s="75">
        <v>1.35</v>
      </c>
      <c r="G186" s="26">
        <v>8</v>
      </c>
      <c r="H186" s="75">
        <v>10.8</v>
      </c>
      <c r="I186" s="75">
        <v>11.234999999999999</v>
      </c>
      <c r="J186" s="26">
        <v>64</v>
      </c>
      <c r="K186" s="26" t="s">
        <v>106</v>
      </c>
      <c r="L186" s="26"/>
      <c r="M186" s="35" t="s">
        <v>78</v>
      </c>
      <c r="N186" s="35"/>
      <c r="O186" s="26">
        <v>50</v>
      </c>
      <c r="P186" s="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84"/>
      <c r="R186" s="84"/>
      <c r="S186" s="84"/>
      <c r="T186" s="85"/>
      <c r="U186" s="47"/>
      <c r="V186" s="47"/>
      <c r="W186" s="48" t="s">
        <v>70</v>
      </c>
      <c r="X186" s="76">
        <v>32.4</v>
      </c>
      <c r="Y186" s="77">
        <f>IFERROR(IF(X186="",0,CEILING((X186/$H186),1)*$H186),"")</f>
        <v>32.400000000000006</v>
      </c>
      <c r="Z186" s="52">
        <f>IFERROR(IF(Y186=0,"",ROUNDUP(Y186/H186,0)*0.01898),"")</f>
        <v>5.6940000000000004E-2</v>
      </c>
      <c r="AA186" s="53"/>
      <c r="AB186" s="54"/>
      <c r="AC186" s="55" t="s">
        <v>307</v>
      </c>
      <c r="AG186" s="78"/>
      <c r="AJ186" s="57"/>
      <c r="AK186" s="57">
        <v>0</v>
      </c>
      <c r="BB186" s="59" t="s">
        <v>1</v>
      </c>
      <c r="BM186" s="78">
        <f>IFERROR(X186*I186/H186,"0")</f>
        <v>33.704999999999991</v>
      </c>
      <c r="BN186" s="78">
        <f>IFERROR(Y186*I186/H186,"0")</f>
        <v>33.705000000000005</v>
      </c>
      <c r="BO186" s="78">
        <f>IFERROR(1/J186*(X186/H186),"0")</f>
        <v>4.6874999999999993E-2</v>
      </c>
      <c r="BP186" s="78">
        <f>IFERROR(1/J186*(Y186/H186),"0")</f>
        <v>4.6875000000000007E-2</v>
      </c>
    </row>
    <row r="187" spans="1:68" ht="16.5" customHeight="1" x14ac:dyDescent="0.25">
      <c r="A187" s="24" t="s">
        <v>308</v>
      </c>
      <c r="B187" s="24" t="s">
        <v>309</v>
      </c>
      <c r="C187" s="25">
        <v>4301020220</v>
      </c>
      <c r="D187" s="86">
        <v>4680115880764</v>
      </c>
      <c r="E187" s="87"/>
      <c r="F187" s="75">
        <v>0.35</v>
      </c>
      <c r="G187" s="26">
        <v>6</v>
      </c>
      <c r="H187" s="75">
        <v>2.1</v>
      </c>
      <c r="I187" s="75">
        <v>2.2799999999999998</v>
      </c>
      <c r="J187" s="26">
        <v>182</v>
      </c>
      <c r="K187" s="26" t="s">
        <v>77</v>
      </c>
      <c r="L187" s="26"/>
      <c r="M187" s="35" t="s">
        <v>107</v>
      </c>
      <c r="N187" s="35"/>
      <c r="O187" s="26">
        <v>50</v>
      </c>
      <c r="P187" s="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84"/>
      <c r="R187" s="84"/>
      <c r="S187" s="84"/>
      <c r="T187" s="85"/>
      <c r="U187" s="47"/>
      <c r="V187" s="47"/>
      <c r="W187" s="48" t="s">
        <v>70</v>
      </c>
      <c r="X187" s="76">
        <v>0</v>
      </c>
      <c r="Y187" s="77">
        <f>IFERROR(IF(X187="",0,CEILING((X187/$H187),1)*$H187),"")</f>
        <v>0</v>
      </c>
      <c r="Z187" s="52" t="str">
        <f>IFERROR(IF(Y187=0,"",ROUNDUP(Y187/H187,0)*0.00651),"")</f>
        <v/>
      </c>
      <c r="AA187" s="53"/>
      <c r="AB187" s="54"/>
      <c r="AC187" s="55" t="s">
        <v>307</v>
      </c>
      <c r="AG187" s="78"/>
      <c r="AJ187" s="57"/>
      <c r="AK187" s="57">
        <v>0</v>
      </c>
      <c r="BB187" s="59" t="s">
        <v>1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99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100"/>
      <c r="P188" s="91" t="s">
        <v>72</v>
      </c>
      <c r="Q188" s="92"/>
      <c r="R188" s="92"/>
      <c r="S188" s="92"/>
      <c r="T188" s="92"/>
      <c r="U188" s="92"/>
      <c r="V188" s="93"/>
      <c r="W188" s="49" t="s">
        <v>73</v>
      </c>
      <c r="X188" s="79">
        <f>IFERROR(X186/H186,"0")+IFERROR(X187/H187,"0")</f>
        <v>2.9999999999999996</v>
      </c>
      <c r="Y188" s="79">
        <f>IFERROR(Y186/H186,"0")+IFERROR(Y187/H187,"0")</f>
        <v>3.0000000000000004</v>
      </c>
      <c r="Z188" s="79">
        <f>IFERROR(IF(Z186="",0,Z186),"0")+IFERROR(IF(Z187="",0,Z187),"0")</f>
        <v>5.6940000000000004E-2</v>
      </c>
      <c r="AA188" s="80"/>
      <c r="AB188" s="80"/>
      <c r="AC188" s="80"/>
    </row>
    <row r="189" spans="1:68" x14ac:dyDescent="0.2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100"/>
      <c r="P189" s="91" t="s">
        <v>72</v>
      </c>
      <c r="Q189" s="92"/>
      <c r="R189" s="92"/>
      <c r="S189" s="92"/>
      <c r="T189" s="92"/>
      <c r="U189" s="92"/>
      <c r="V189" s="93"/>
      <c r="W189" s="49" t="s">
        <v>70</v>
      </c>
      <c r="X189" s="79">
        <f>IFERROR(SUM(X186:X187),"0")</f>
        <v>32.4</v>
      </c>
      <c r="Y189" s="79">
        <f>IFERROR(SUM(Y186:Y187),"0")</f>
        <v>32.400000000000006</v>
      </c>
      <c r="Z189" s="49"/>
      <c r="AA189" s="80"/>
      <c r="AB189" s="80"/>
      <c r="AC189" s="80"/>
    </row>
    <row r="190" spans="1:68" ht="14.25" customHeight="1" x14ac:dyDescent="0.25">
      <c r="A190" s="89" t="s">
        <v>64</v>
      </c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66"/>
      <c r="AB190" s="66"/>
      <c r="AC190" s="66"/>
    </row>
    <row r="191" spans="1:68" ht="27" customHeight="1" x14ac:dyDescent="0.25">
      <c r="A191" s="24" t="s">
        <v>310</v>
      </c>
      <c r="B191" s="24" t="s">
        <v>311</v>
      </c>
      <c r="C191" s="25">
        <v>4301031224</v>
      </c>
      <c r="D191" s="86">
        <v>4680115882683</v>
      </c>
      <c r="E191" s="87"/>
      <c r="F191" s="75">
        <v>0.9</v>
      </c>
      <c r="G191" s="26">
        <v>6</v>
      </c>
      <c r="H191" s="75">
        <v>5.4</v>
      </c>
      <c r="I191" s="75">
        <v>5.61</v>
      </c>
      <c r="J191" s="26">
        <v>132</v>
      </c>
      <c r="K191" s="26" t="s">
        <v>111</v>
      </c>
      <c r="L191" s="26"/>
      <c r="M191" s="35" t="s">
        <v>68</v>
      </c>
      <c r="N191" s="35"/>
      <c r="O191" s="26">
        <v>40</v>
      </c>
      <c r="P191" s="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84"/>
      <c r="R191" s="84"/>
      <c r="S191" s="84"/>
      <c r="T191" s="85"/>
      <c r="U191" s="47"/>
      <c r="V191" s="47"/>
      <c r="W191" s="48" t="s">
        <v>70</v>
      </c>
      <c r="X191" s="76">
        <v>27</v>
      </c>
      <c r="Y191" s="77">
        <f t="shared" ref="Y191:Y198" si="26">IFERROR(IF(X191="",0,CEILING((X191/$H191),1)*$H191),"")</f>
        <v>27</v>
      </c>
      <c r="Z191" s="52">
        <f>IFERROR(IF(Y191=0,"",ROUNDUP(Y191/H191,0)*0.00902),"")</f>
        <v>4.5100000000000001E-2</v>
      </c>
      <c r="AA191" s="53"/>
      <c r="AB191" s="54"/>
      <c r="AC191" s="55" t="s">
        <v>312</v>
      </c>
      <c r="AG191" s="78"/>
      <c r="AJ191" s="57"/>
      <c r="AK191" s="57">
        <v>0</v>
      </c>
      <c r="BB191" s="59" t="s">
        <v>1</v>
      </c>
      <c r="BM191" s="78">
        <f t="shared" ref="BM191:BM198" si="27">IFERROR(X191*I191/H191,"0")</f>
        <v>28.049999999999997</v>
      </c>
      <c r="BN191" s="78">
        <f t="shared" ref="BN191:BN198" si="28">IFERROR(Y191*I191/H191,"0")</f>
        <v>28.049999999999997</v>
      </c>
      <c r="BO191" s="78">
        <f t="shared" ref="BO191:BO198" si="29">IFERROR(1/J191*(X191/H191),"0")</f>
        <v>3.787878787878788E-2</v>
      </c>
      <c r="BP191" s="78">
        <f t="shared" ref="BP191:BP198" si="30">IFERROR(1/J191*(Y191/H191),"0")</f>
        <v>3.787878787878788E-2</v>
      </c>
    </row>
    <row r="192" spans="1:68" ht="27" customHeight="1" x14ac:dyDescent="0.25">
      <c r="A192" s="24" t="s">
        <v>313</v>
      </c>
      <c r="B192" s="24" t="s">
        <v>314</v>
      </c>
      <c r="C192" s="25">
        <v>4301031230</v>
      </c>
      <c r="D192" s="86">
        <v>4680115882690</v>
      </c>
      <c r="E192" s="87"/>
      <c r="F192" s="75">
        <v>0.9</v>
      </c>
      <c r="G192" s="26">
        <v>6</v>
      </c>
      <c r="H192" s="75">
        <v>5.4</v>
      </c>
      <c r="I192" s="75">
        <v>5.61</v>
      </c>
      <c r="J192" s="26">
        <v>132</v>
      </c>
      <c r="K192" s="26" t="s">
        <v>111</v>
      </c>
      <c r="L192" s="26"/>
      <c r="M192" s="35" t="s">
        <v>68</v>
      </c>
      <c r="N192" s="35"/>
      <c r="O192" s="26">
        <v>40</v>
      </c>
      <c r="P192" s="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84"/>
      <c r="R192" s="84"/>
      <c r="S192" s="84"/>
      <c r="T192" s="85"/>
      <c r="U192" s="47"/>
      <c r="V192" s="47"/>
      <c r="W192" s="48" t="s">
        <v>70</v>
      </c>
      <c r="X192" s="76">
        <v>27</v>
      </c>
      <c r="Y192" s="77">
        <f t="shared" si="26"/>
        <v>27</v>
      </c>
      <c r="Z192" s="52">
        <f>IFERROR(IF(Y192=0,"",ROUNDUP(Y192/H192,0)*0.00902),"")</f>
        <v>4.5100000000000001E-2</v>
      </c>
      <c r="AA192" s="53"/>
      <c r="AB192" s="54"/>
      <c r="AC192" s="55" t="s">
        <v>315</v>
      </c>
      <c r="AG192" s="78"/>
      <c r="AJ192" s="57"/>
      <c r="AK192" s="57">
        <v>0</v>
      </c>
      <c r="BB192" s="59" t="s">
        <v>1</v>
      </c>
      <c r="BM192" s="78">
        <f t="shared" si="27"/>
        <v>28.049999999999997</v>
      </c>
      <c r="BN192" s="78">
        <f t="shared" si="28"/>
        <v>28.049999999999997</v>
      </c>
      <c r="BO192" s="78">
        <f t="shared" si="29"/>
        <v>3.787878787878788E-2</v>
      </c>
      <c r="BP192" s="78">
        <f t="shared" si="30"/>
        <v>3.787878787878788E-2</v>
      </c>
    </row>
    <row r="193" spans="1:68" ht="27" customHeight="1" x14ac:dyDescent="0.25">
      <c r="A193" s="24" t="s">
        <v>316</v>
      </c>
      <c r="B193" s="24" t="s">
        <v>317</v>
      </c>
      <c r="C193" s="25">
        <v>4301031220</v>
      </c>
      <c r="D193" s="86">
        <v>4680115882669</v>
      </c>
      <c r="E193" s="87"/>
      <c r="F193" s="75">
        <v>0.9</v>
      </c>
      <c r="G193" s="26">
        <v>6</v>
      </c>
      <c r="H193" s="75">
        <v>5.4</v>
      </c>
      <c r="I193" s="75">
        <v>5.61</v>
      </c>
      <c r="J193" s="26">
        <v>132</v>
      </c>
      <c r="K193" s="26" t="s">
        <v>111</v>
      </c>
      <c r="L193" s="26"/>
      <c r="M193" s="35" t="s">
        <v>68</v>
      </c>
      <c r="N193" s="35"/>
      <c r="O193" s="26">
        <v>40</v>
      </c>
      <c r="P193" s="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84"/>
      <c r="R193" s="84"/>
      <c r="S193" s="84"/>
      <c r="T193" s="85"/>
      <c r="U193" s="47"/>
      <c r="V193" s="47"/>
      <c r="W193" s="48" t="s">
        <v>70</v>
      </c>
      <c r="X193" s="76">
        <v>27</v>
      </c>
      <c r="Y193" s="77">
        <f t="shared" si="26"/>
        <v>27</v>
      </c>
      <c r="Z193" s="52">
        <f>IFERROR(IF(Y193=0,"",ROUNDUP(Y193/H193,0)*0.00902),"")</f>
        <v>4.5100000000000001E-2</v>
      </c>
      <c r="AA193" s="53"/>
      <c r="AB193" s="54"/>
      <c r="AC193" s="55" t="s">
        <v>318</v>
      </c>
      <c r="AG193" s="78"/>
      <c r="AJ193" s="57"/>
      <c r="AK193" s="57">
        <v>0</v>
      </c>
      <c r="BB193" s="59" t="s">
        <v>1</v>
      </c>
      <c r="BM193" s="78">
        <f t="shared" si="27"/>
        <v>28.049999999999997</v>
      </c>
      <c r="BN193" s="78">
        <f t="shared" si="28"/>
        <v>28.049999999999997</v>
      </c>
      <c r="BO193" s="78">
        <f t="shared" si="29"/>
        <v>3.787878787878788E-2</v>
      </c>
      <c r="BP193" s="78">
        <f t="shared" si="30"/>
        <v>3.787878787878788E-2</v>
      </c>
    </row>
    <row r="194" spans="1:68" ht="27" customHeight="1" x14ac:dyDescent="0.25">
      <c r="A194" s="24" t="s">
        <v>319</v>
      </c>
      <c r="B194" s="24" t="s">
        <v>320</v>
      </c>
      <c r="C194" s="25">
        <v>4301031221</v>
      </c>
      <c r="D194" s="86">
        <v>4680115882676</v>
      </c>
      <c r="E194" s="87"/>
      <c r="F194" s="75">
        <v>0.9</v>
      </c>
      <c r="G194" s="26">
        <v>6</v>
      </c>
      <c r="H194" s="75">
        <v>5.4</v>
      </c>
      <c r="I194" s="75">
        <v>5.61</v>
      </c>
      <c r="J194" s="26">
        <v>132</v>
      </c>
      <c r="K194" s="26" t="s">
        <v>111</v>
      </c>
      <c r="L194" s="26"/>
      <c r="M194" s="35" t="s">
        <v>68</v>
      </c>
      <c r="N194" s="35"/>
      <c r="O194" s="26">
        <v>40</v>
      </c>
      <c r="P194" s="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84"/>
      <c r="R194" s="84"/>
      <c r="S194" s="84"/>
      <c r="T194" s="85"/>
      <c r="U194" s="47"/>
      <c r="V194" s="47"/>
      <c r="W194" s="48" t="s">
        <v>70</v>
      </c>
      <c r="X194" s="76">
        <v>27</v>
      </c>
      <c r="Y194" s="77">
        <f t="shared" si="26"/>
        <v>27</v>
      </c>
      <c r="Z194" s="52">
        <f>IFERROR(IF(Y194=0,"",ROUNDUP(Y194/H194,0)*0.00902),"")</f>
        <v>4.5100000000000001E-2</v>
      </c>
      <c r="AA194" s="53"/>
      <c r="AB194" s="54"/>
      <c r="AC194" s="55" t="s">
        <v>321</v>
      </c>
      <c r="AG194" s="78"/>
      <c r="AJ194" s="57"/>
      <c r="AK194" s="57">
        <v>0</v>
      </c>
      <c r="BB194" s="59" t="s">
        <v>1</v>
      </c>
      <c r="BM194" s="78">
        <f t="shared" si="27"/>
        <v>28.049999999999997</v>
      </c>
      <c r="BN194" s="78">
        <f t="shared" si="28"/>
        <v>28.049999999999997</v>
      </c>
      <c r="BO194" s="78">
        <f t="shared" si="29"/>
        <v>3.787878787878788E-2</v>
      </c>
      <c r="BP194" s="78">
        <f t="shared" si="30"/>
        <v>3.787878787878788E-2</v>
      </c>
    </row>
    <row r="195" spans="1:68" ht="27" customHeight="1" x14ac:dyDescent="0.25">
      <c r="A195" s="24" t="s">
        <v>322</v>
      </c>
      <c r="B195" s="24" t="s">
        <v>323</v>
      </c>
      <c r="C195" s="25">
        <v>4301031223</v>
      </c>
      <c r="D195" s="86">
        <v>4680115884014</v>
      </c>
      <c r="E195" s="87"/>
      <c r="F195" s="75">
        <v>0.3</v>
      </c>
      <c r="G195" s="26">
        <v>6</v>
      </c>
      <c r="H195" s="75">
        <v>1.8</v>
      </c>
      <c r="I195" s="75">
        <v>1.93</v>
      </c>
      <c r="J195" s="26">
        <v>234</v>
      </c>
      <c r="K195" s="26" t="s">
        <v>67</v>
      </c>
      <c r="L195" s="26"/>
      <c r="M195" s="35" t="s">
        <v>68</v>
      </c>
      <c r="N195" s="35"/>
      <c r="O195" s="26">
        <v>40</v>
      </c>
      <c r="P195" s="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84"/>
      <c r="R195" s="84"/>
      <c r="S195" s="84"/>
      <c r="T195" s="85"/>
      <c r="U195" s="47"/>
      <c r="V195" s="47"/>
      <c r="W195" s="48" t="s">
        <v>70</v>
      </c>
      <c r="X195" s="76">
        <v>9</v>
      </c>
      <c r="Y195" s="77">
        <f t="shared" si="26"/>
        <v>9</v>
      </c>
      <c r="Z195" s="52">
        <f>IFERROR(IF(Y195=0,"",ROUNDUP(Y195/H195,0)*0.00502),"")</f>
        <v>2.5100000000000001E-2</v>
      </c>
      <c r="AA195" s="53"/>
      <c r="AB195" s="54"/>
      <c r="AC195" s="55" t="s">
        <v>312</v>
      </c>
      <c r="AG195" s="78"/>
      <c r="AJ195" s="57"/>
      <c r="AK195" s="57">
        <v>0</v>
      </c>
      <c r="BB195" s="59" t="s">
        <v>1</v>
      </c>
      <c r="BM195" s="78">
        <f t="shared" si="27"/>
        <v>9.65</v>
      </c>
      <c r="BN195" s="78">
        <f t="shared" si="28"/>
        <v>9.65</v>
      </c>
      <c r="BO195" s="78">
        <f t="shared" si="29"/>
        <v>2.1367521367521368E-2</v>
      </c>
      <c r="BP195" s="78">
        <f t="shared" si="30"/>
        <v>2.1367521367521368E-2</v>
      </c>
    </row>
    <row r="196" spans="1:68" ht="27" customHeight="1" x14ac:dyDescent="0.25">
      <c r="A196" s="24" t="s">
        <v>324</v>
      </c>
      <c r="B196" s="24" t="s">
        <v>325</v>
      </c>
      <c r="C196" s="25">
        <v>4301031222</v>
      </c>
      <c r="D196" s="86">
        <v>4680115884007</v>
      </c>
      <c r="E196" s="87"/>
      <c r="F196" s="75">
        <v>0.3</v>
      </c>
      <c r="G196" s="26">
        <v>6</v>
      </c>
      <c r="H196" s="75">
        <v>1.8</v>
      </c>
      <c r="I196" s="75">
        <v>1.9</v>
      </c>
      <c r="J196" s="26">
        <v>234</v>
      </c>
      <c r="K196" s="26" t="s">
        <v>67</v>
      </c>
      <c r="L196" s="26"/>
      <c r="M196" s="35" t="s">
        <v>68</v>
      </c>
      <c r="N196" s="35"/>
      <c r="O196" s="26">
        <v>40</v>
      </c>
      <c r="P196" s="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84"/>
      <c r="R196" s="84"/>
      <c r="S196" s="84"/>
      <c r="T196" s="85"/>
      <c r="U196" s="47"/>
      <c r="V196" s="47"/>
      <c r="W196" s="48" t="s">
        <v>70</v>
      </c>
      <c r="X196" s="76">
        <v>9</v>
      </c>
      <c r="Y196" s="77">
        <f t="shared" si="26"/>
        <v>9</v>
      </c>
      <c r="Z196" s="52">
        <f>IFERROR(IF(Y196=0,"",ROUNDUP(Y196/H196,0)*0.00502),"")</f>
        <v>2.5100000000000001E-2</v>
      </c>
      <c r="AA196" s="53"/>
      <c r="AB196" s="54"/>
      <c r="AC196" s="55" t="s">
        <v>315</v>
      </c>
      <c r="AG196" s="78"/>
      <c r="AJ196" s="57"/>
      <c r="AK196" s="57">
        <v>0</v>
      </c>
      <c r="BB196" s="59" t="s">
        <v>1</v>
      </c>
      <c r="BM196" s="78">
        <f t="shared" si="27"/>
        <v>9.4999999999999982</v>
      </c>
      <c r="BN196" s="78">
        <f t="shared" si="28"/>
        <v>9.4999999999999982</v>
      </c>
      <c r="BO196" s="78">
        <f t="shared" si="29"/>
        <v>2.1367521367521368E-2</v>
      </c>
      <c r="BP196" s="78">
        <f t="shared" si="30"/>
        <v>2.1367521367521368E-2</v>
      </c>
    </row>
    <row r="197" spans="1:68" ht="27" customHeight="1" x14ac:dyDescent="0.25">
      <c r="A197" s="24" t="s">
        <v>326</v>
      </c>
      <c r="B197" s="24" t="s">
        <v>327</v>
      </c>
      <c r="C197" s="25">
        <v>4301031229</v>
      </c>
      <c r="D197" s="86">
        <v>4680115884038</v>
      </c>
      <c r="E197" s="87"/>
      <c r="F197" s="75">
        <v>0.3</v>
      </c>
      <c r="G197" s="26">
        <v>6</v>
      </c>
      <c r="H197" s="75">
        <v>1.8</v>
      </c>
      <c r="I197" s="75">
        <v>1.9</v>
      </c>
      <c r="J197" s="26">
        <v>234</v>
      </c>
      <c r="K197" s="26" t="s">
        <v>67</v>
      </c>
      <c r="L197" s="26"/>
      <c r="M197" s="35" t="s">
        <v>68</v>
      </c>
      <c r="N197" s="35"/>
      <c r="O197" s="26">
        <v>40</v>
      </c>
      <c r="P197" s="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84"/>
      <c r="R197" s="84"/>
      <c r="S197" s="84"/>
      <c r="T197" s="85"/>
      <c r="U197" s="47"/>
      <c r="V197" s="47"/>
      <c r="W197" s="48" t="s">
        <v>70</v>
      </c>
      <c r="X197" s="76">
        <v>9</v>
      </c>
      <c r="Y197" s="77">
        <f t="shared" si="26"/>
        <v>9</v>
      </c>
      <c r="Z197" s="52">
        <f>IFERROR(IF(Y197=0,"",ROUNDUP(Y197/H197,0)*0.00502),"")</f>
        <v>2.5100000000000001E-2</v>
      </c>
      <c r="AA197" s="53"/>
      <c r="AB197" s="54"/>
      <c r="AC197" s="55" t="s">
        <v>318</v>
      </c>
      <c r="AG197" s="78"/>
      <c r="AJ197" s="57"/>
      <c r="AK197" s="57">
        <v>0</v>
      </c>
      <c r="BB197" s="59" t="s">
        <v>1</v>
      </c>
      <c r="BM197" s="78">
        <f t="shared" si="27"/>
        <v>9.4999999999999982</v>
      </c>
      <c r="BN197" s="78">
        <f t="shared" si="28"/>
        <v>9.4999999999999982</v>
      </c>
      <c r="BO197" s="78">
        <f t="shared" si="29"/>
        <v>2.1367521367521368E-2</v>
      </c>
      <c r="BP197" s="78">
        <f t="shared" si="30"/>
        <v>2.1367521367521368E-2</v>
      </c>
    </row>
    <row r="198" spans="1:68" ht="27" customHeight="1" x14ac:dyDescent="0.25">
      <c r="A198" s="24" t="s">
        <v>328</v>
      </c>
      <c r="B198" s="24" t="s">
        <v>329</v>
      </c>
      <c r="C198" s="25">
        <v>4301031225</v>
      </c>
      <c r="D198" s="86">
        <v>4680115884021</v>
      </c>
      <c r="E198" s="87"/>
      <c r="F198" s="75">
        <v>0.3</v>
      </c>
      <c r="G198" s="26">
        <v>6</v>
      </c>
      <c r="H198" s="75">
        <v>1.8</v>
      </c>
      <c r="I198" s="75">
        <v>1.9</v>
      </c>
      <c r="J198" s="26">
        <v>234</v>
      </c>
      <c r="K198" s="26" t="s">
        <v>67</v>
      </c>
      <c r="L198" s="26"/>
      <c r="M198" s="35" t="s">
        <v>68</v>
      </c>
      <c r="N198" s="35"/>
      <c r="O198" s="26">
        <v>40</v>
      </c>
      <c r="P198" s="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84"/>
      <c r="R198" s="84"/>
      <c r="S198" s="84"/>
      <c r="T198" s="85"/>
      <c r="U198" s="47"/>
      <c r="V198" s="47"/>
      <c r="W198" s="48" t="s">
        <v>70</v>
      </c>
      <c r="X198" s="76">
        <v>9</v>
      </c>
      <c r="Y198" s="77">
        <f t="shared" si="26"/>
        <v>9</v>
      </c>
      <c r="Z198" s="52">
        <f>IFERROR(IF(Y198=0,"",ROUNDUP(Y198/H198,0)*0.00502),"")</f>
        <v>2.5100000000000001E-2</v>
      </c>
      <c r="AA198" s="53"/>
      <c r="AB198" s="54"/>
      <c r="AC198" s="55" t="s">
        <v>321</v>
      </c>
      <c r="AG198" s="78"/>
      <c r="AJ198" s="57"/>
      <c r="AK198" s="57">
        <v>0</v>
      </c>
      <c r="BB198" s="59" t="s">
        <v>1</v>
      </c>
      <c r="BM198" s="78">
        <f t="shared" si="27"/>
        <v>9.4999999999999982</v>
      </c>
      <c r="BN198" s="78">
        <f t="shared" si="28"/>
        <v>9.4999999999999982</v>
      </c>
      <c r="BO198" s="78">
        <f t="shared" si="29"/>
        <v>2.1367521367521368E-2</v>
      </c>
      <c r="BP198" s="78">
        <f t="shared" si="30"/>
        <v>2.1367521367521368E-2</v>
      </c>
    </row>
    <row r="199" spans="1:68" x14ac:dyDescent="0.2">
      <c r="A199" s="99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100"/>
      <c r="P199" s="91" t="s">
        <v>72</v>
      </c>
      <c r="Q199" s="92"/>
      <c r="R199" s="92"/>
      <c r="S199" s="92"/>
      <c r="T199" s="92"/>
      <c r="U199" s="92"/>
      <c r="V199" s="93"/>
      <c r="W199" s="49" t="s">
        <v>73</v>
      </c>
      <c r="X199" s="79">
        <f>IFERROR(X191/H191,"0")+IFERROR(X192/H192,"0")+IFERROR(X193/H193,"0")+IFERROR(X194/H194,"0")+IFERROR(X195/H195,"0")+IFERROR(X196/H196,"0")+IFERROR(X197/H197,"0")+IFERROR(X198/H198,"0")</f>
        <v>40</v>
      </c>
      <c r="Y199" s="79">
        <f>IFERROR(Y191/H191,"0")+IFERROR(Y192/H192,"0")+IFERROR(Y193/H193,"0")+IFERROR(Y194/H194,"0")+IFERROR(Y195/H195,"0")+IFERROR(Y196/H196,"0")+IFERROR(Y197/H197,"0")+IFERROR(Y198/H198,"0")</f>
        <v>40</v>
      </c>
      <c r="Z199" s="7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0.28080000000000005</v>
      </c>
      <c r="AA199" s="80"/>
      <c r="AB199" s="80"/>
      <c r="AC199" s="80"/>
    </row>
    <row r="200" spans="1:68" x14ac:dyDescent="0.2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100"/>
      <c r="P200" s="91" t="s">
        <v>72</v>
      </c>
      <c r="Q200" s="92"/>
      <c r="R200" s="92"/>
      <c r="S200" s="92"/>
      <c r="T200" s="92"/>
      <c r="U200" s="92"/>
      <c r="V200" s="93"/>
      <c r="W200" s="49" t="s">
        <v>70</v>
      </c>
      <c r="X200" s="79">
        <f>IFERROR(SUM(X191:X198),"0")</f>
        <v>144</v>
      </c>
      <c r="Y200" s="79">
        <f>IFERROR(SUM(Y191:Y198),"0")</f>
        <v>144</v>
      </c>
      <c r="Z200" s="49"/>
      <c r="AA200" s="80"/>
      <c r="AB200" s="80"/>
      <c r="AC200" s="80"/>
    </row>
    <row r="201" spans="1:68" ht="14.25" customHeight="1" x14ac:dyDescent="0.25">
      <c r="A201" s="89" t="s">
        <v>74</v>
      </c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66"/>
      <c r="AB201" s="66"/>
      <c r="AC201" s="66"/>
    </row>
    <row r="202" spans="1:68" ht="27" customHeight="1" x14ac:dyDescent="0.25">
      <c r="A202" s="24" t="s">
        <v>330</v>
      </c>
      <c r="B202" s="24" t="s">
        <v>331</v>
      </c>
      <c r="C202" s="25">
        <v>4301051408</v>
      </c>
      <c r="D202" s="86">
        <v>4680115881594</v>
      </c>
      <c r="E202" s="87"/>
      <c r="F202" s="75">
        <v>1.35</v>
      </c>
      <c r="G202" s="26">
        <v>6</v>
      </c>
      <c r="H202" s="75">
        <v>8.1</v>
      </c>
      <c r="I202" s="75">
        <v>8.6189999999999998</v>
      </c>
      <c r="J202" s="26">
        <v>64</v>
      </c>
      <c r="K202" s="26" t="s">
        <v>106</v>
      </c>
      <c r="L202" s="26"/>
      <c r="M202" s="35" t="s">
        <v>78</v>
      </c>
      <c r="N202" s="35"/>
      <c r="O202" s="26">
        <v>40</v>
      </c>
      <c r="P202" s="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84"/>
      <c r="R202" s="84"/>
      <c r="S202" s="84"/>
      <c r="T202" s="85"/>
      <c r="U202" s="47"/>
      <c r="V202" s="47"/>
      <c r="W202" s="48" t="s">
        <v>70</v>
      </c>
      <c r="X202" s="76">
        <v>24.3</v>
      </c>
      <c r="Y202" s="77">
        <f t="shared" ref="Y202:Y210" si="31">IFERROR(IF(X202="",0,CEILING((X202/$H202),1)*$H202),"")</f>
        <v>24.299999999999997</v>
      </c>
      <c r="Z202" s="52">
        <f>IFERROR(IF(Y202=0,"",ROUNDUP(Y202/H202,0)*0.01898),"")</f>
        <v>5.6940000000000004E-2</v>
      </c>
      <c r="AA202" s="53"/>
      <c r="AB202" s="54"/>
      <c r="AC202" s="55" t="s">
        <v>332</v>
      </c>
      <c r="AG202" s="78"/>
      <c r="AJ202" s="57"/>
      <c r="AK202" s="57">
        <v>0</v>
      </c>
      <c r="BB202" s="59" t="s">
        <v>1</v>
      </c>
      <c r="BM202" s="78">
        <f t="shared" ref="BM202:BM210" si="32">IFERROR(X202*I202/H202,"0")</f>
        <v>25.856999999999999</v>
      </c>
      <c r="BN202" s="78">
        <f t="shared" ref="BN202:BN210" si="33">IFERROR(Y202*I202/H202,"0")</f>
        <v>25.856999999999996</v>
      </c>
      <c r="BO202" s="78">
        <f t="shared" ref="BO202:BO210" si="34">IFERROR(1/J202*(X202/H202),"0")</f>
        <v>4.6875E-2</v>
      </c>
      <c r="BP202" s="78">
        <f t="shared" ref="BP202:BP210" si="35">IFERROR(1/J202*(Y202/H202),"0")</f>
        <v>4.6875E-2</v>
      </c>
    </row>
    <row r="203" spans="1:68" ht="27" customHeight="1" x14ac:dyDescent="0.25">
      <c r="A203" s="24" t="s">
        <v>333</v>
      </c>
      <c r="B203" s="24" t="s">
        <v>334</v>
      </c>
      <c r="C203" s="25">
        <v>4301051411</v>
      </c>
      <c r="D203" s="86">
        <v>4680115881617</v>
      </c>
      <c r="E203" s="87"/>
      <c r="F203" s="75">
        <v>1.35</v>
      </c>
      <c r="G203" s="26">
        <v>6</v>
      </c>
      <c r="H203" s="75">
        <v>8.1</v>
      </c>
      <c r="I203" s="75">
        <v>8.6010000000000009</v>
      </c>
      <c r="J203" s="26">
        <v>64</v>
      </c>
      <c r="K203" s="26" t="s">
        <v>106</v>
      </c>
      <c r="L203" s="26"/>
      <c r="M203" s="35" t="s">
        <v>78</v>
      </c>
      <c r="N203" s="35"/>
      <c r="O203" s="26">
        <v>40</v>
      </c>
      <c r="P203" s="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84"/>
      <c r="R203" s="84"/>
      <c r="S203" s="84"/>
      <c r="T203" s="85"/>
      <c r="U203" s="47"/>
      <c r="V203" s="47"/>
      <c r="W203" s="48" t="s">
        <v>70</v>
      </c>
      <c r="X203" s="76">
        <v>24.3</v>
      </c>
      <c r="Y203" s="77">
        <f t="shared" si="31"/>
        <v>24.299999999999997</v>
      </c>
      <c r="Z203" s="52">
        <f>IFERROR(IF(Y203=0,"",ROUNDUP(Y203/H203,0)*0.01898),"")</f>
        <v>5.6940000000000004E-2</v>
      </c>
      <c r="AA203" s="53"/>
      <c r="AB203" s="54"/>
      <c r="AC203" s="55" t="s">
        <v>335</v>
      </c>
      <c r="AG203" s="78"/>
      <c r="AJ203" s="57"/>
      <c r="AK203" s="57">
        <v>0</v>
      </c>
      <c r="BB203" s="59" t="s">
        <v>1</v>
      </c>
      <c r="BM203" s="78">
        <f t="shared" si="32"/>
        <v>25.803000000000004</v>
      </c>
      <c r="BN203" s="78">
        <f t="shared" si="33"/>
        <v>25.803000000000001</v>
      </c>
      <c r="BO203" s="78">
        <f t="shared" si="34"/>
        <v>4.6875E-2</v>
      </c>
      <c r="BP203" s="78">
        <f t="shared" si="35"/>
        <v>4.6875E-2</v>
      </c>
    </row>
    <row r="204" spans="1:68" ht="16.5" customHeight="1" x14ac:dyDescent="0.25">
      <c r="A204" s="24" t="s">
        <v>336</v>
      </c>
      <c r="B204" s="24" t="s">
        <v>337</v>
      </c>
      <c r="C204" s="25">
        <v>4301051656</v>
      </c>
      <c r="D204" s="86">
        <v>4680115880573</v>
      </c>
      <c r="E204" s="87"/>
      <c r="F204" s="75">
        <v>1.45</v>
      </c>
      <c r="G204" s="26">
        <v>6</v>
      </c>
      <c r="H204" s="75">
        <v>8.6999999999999993</v>
      </c>
      <c r="I204" s="75">
        <v>9.2189999999999994</v>
      </c>
      <c r="J204" s="26">
        <v>64</v>
      </c>
      <c r="K204" s="26" t="s">
        <v>106</v>
      </c>
      <c r="L204" s="26"/>
      <c r="M204" s="35" t="s">
        <v>78</v>
      </c>
      <c r="N204" s="35"/>
      <c r="O204" s="26">
        <v>45</v>
      </c>
      <c r="P204" s="8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84"/>
      <c r="R204" s="84"/>
      <c r="S204" s="84"/>
      <c r="T204" s="85"/>
      <c r="U204" s="47"/>
      <c r="V204" s="47"/>
      <c r="W204" s="48" t="s">
        <v>70</v>
      </c>
      <c r="X204" s="76">
        <v>24.3</v>
      </c>
      <c r="Y204" s="77">
        <f t="shared" si="31"/>
        <v>26.099999999999998</v>
      </c>
      <c r="Z204" s="52">
        <f>IFERROR(IF(Y204=0,"",ROUNDUP(Y204/H204,0)*0.01898),"")</f>
        <v>5.6940000000000004E-2</v>
      </c>
      <c r="AA204" s="53"/>
      <c r="AB204" s="54"/>
      <c r="AC204" s="55" t="s">
        <v>338</v>
      </c>
      <c r="AG204" s="78"/>
      <c r="AJ204" s="57"/>
      <c r="AK204" s="57">
        <v>0</v>
      </c>
      <c r="BB204" s="59" t="s">
        <v>1</v>
      </c>
      <c r="BM204" s="78">
        <f t="shared" si="32"/>
        <v>25.749620689655174</v>
      </c>
      <c r="BN204" s="78">
        <f t="shared" si="33"/>
        <v>27.656999999999996</v>
      </c>
      <c r="BO204" s="78">
        <f t="shared" si="34"/>
        <v>4.3642241379310352E-2</v>
      </c>
      <c r="BP204" s="78">
        <f t="shared" si="35"/>
        <v>4.6875E-2</v>
      </c>
    </row>
    <row r="205" spans="1:68" ht="27" customHeight="1" x14ac:dyDescent="0.25">
      <c r="A205" s="24" t="s">
        <v>339</v>
      </c>
      <c r="B205" s="24" t="s">
        <v>340</v>
      </c>
      <c r="C205" s="25">
        <v>4301051407</v>
      </c>
      <c r="D205" s="86">
        <v>4680115882195</v>
      </c>
      <c r="E205" s="87"/>
      <c r="F205" s="75">
        <v>0.4</v>
      </c>
      <c r="G205" s="26">
        <v>6</v>
      </c>
      <c r="H205" s="75">
        <v>2.4</v>
      </c>
      <c r="I205" s="75">
        <v>2.67</v>
      </c>
      <c r="J205" s="26">
        <v>182</v>
      </c>
      <c r="K205" s="26" t="s">
        <v>77</v>
      </c>
      <c r="L205" s="26"/>
      <c r="M205" s="35" t="s">
        <v>78</v>
      </c>
      <c r="N205" s="35"/>
      <c r="O205" s="26">
        <v>40</v>
      </c>
      <c r="P205" s="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84"/>
      <c r="R205" s="84"/>
      <c r="S205" s="84"/>
      <c r="T205" s="85"/>
      <c r="U205" s="47"/>
      <c r="V205" s="47"/>
      <c r="W205" s="48" t="s">
        <v>70</v>
      </c>
      <c r="X205" s="76">
        <v>4.8</v>
      </c>
      <c r="Y205" s="77">
        <f t="shared" si="31"/>
        <v>4.8</v>
      </c>
      <c r="Z205" s="52">
        <f t="shared" ref="Z205:Z210" si="36">IFERROR(IF(Y205=0,"",ROUNDUP(Y205/H205,0)*0.00651),"")</f>
        <v>1.302E-2</v>
      </c>
      <c r="AA205" s="53"/>
      <c r="AB205" s="54"/>
      <c r="AC205" s="55" t="s">
        <v>332</v>
      </c>
      <c r="AG205" s="78"/>
      <c r="AJ205" s="57"/>
      <c r="AK205" s="57">
        <v>0</v>
      </c>
      <c r="BB205" s="59" t="s">
        <v>1</v>
      </c>
      <c r="BM205" s="78">
        <f t="shared" si="32"/>
        <v>5.34</v>
      </c>
      <c r="BN205" s="78">
        <f t="shared" si="33"/>
        <v>5.34</v>
      </c>
      <c r="BO205" s="78">
        <f t="shared" si="34"/>
        <v>1.098901098901099E-2</v>
      </c>
      <c r="BP205" s="78">
        <f t="shared" si="35"/>
        <v>1.098901098901099E-2</v>
      </c>
    </row>
    <row r="206" spans="1:68" ht="27" customHeight="1" x14ac:dyDescent="0.25">
      <c r="A206" s="24" t="s">
        <v>341</v>
      </c>
      <c r="B206" s="24" t="s">
        <v>342</v>
      </c>
      <c r="C206" s="25">
        <v>4301051752</v>
      </c>
      <c r="D206" s="86">
        <v>4680115882607</v>
      </c>
      <c r="E206" s="87"/>
      <c r="F206" s="75">
        <v>0.3</v>
      </c>
      <c r="G206" s="26">
        <v>6</v>
      </c>
      <c r="H206" s="75">
        <v>1.8</v>
      </c>
      <c r="I206" s="75">
        <v>2.052</v>
      </c>
      <c r="J206" s="26">
        <v>182</v>
      </c>
      <c r="K206" s="26" t="s">
        <v>77</v>
      </c>
      <c r="L206" s="26"/>
      <c r="M206" s="35" t="s">
        <v>93</v>
      </c>
      <c r="N206" s="35"/>
      <c r="O206" s="26">
        <v>45</v>
      </c>
      <c r="P206" s="8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84"/>
      <c r="R206" s="84"/>
      <c r="S206" s="84"/>
      <c r="T206" s="85"/>
      <c r="U206" s="47"/>
      <c r="V206" s="47"/>
      <c r="W206" s="48" t="s">
        <v>70</v>
      </c>
      <c r="X206" s="76">
        <v>0</v>
      </c>
      <c r="Y206" s="77">
        <f t="shared" si="31"/>
        <v>0</v>
      </c>
      <c r="Z206" s="52" t="str">
        <f t="shared" si="36"/>
        <v/>
      </c>
      <c r="AA206" s="53"/>
      <c r="AB206" s="54"/>
      <c r="AC206" s="55" t="s">
        <v>343</v>
      </c>
      <c r="AG206" s="78"/>
      <c r="AJ206" s="57"/>
      <c r="AK206" s="57">
        <v>0</v>
      </c>
      <c r="BB206" s="59" t="s">
        <v>1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24" t="s">
        <v>344</v>
      </c>
      <c r="B207" s="24" t="s">
        <v>345</v>
      </c>
      <c r="C207" s="25">
        <v>4301051666</v>
      </c>
      <c r="D207" s="86">
        <v>4680115880092</v>
      </c>
      <c r="E207" s="87"/>
      <c r="F207" s="75">
        <v>0.4</v>
      </c>
      <c r="G207" s="26">
        <v>6</v>
      </c>
      <c r="H207" s="75">
        <v>2.4</v>
      </c>
      <c r="I207" s="75">
        <v>2.6520000000000001</v>
      </c>
      <c r="J207" s="26">
        <v>182</v>
      </c>
      <c r="K207" s="26" t="s">
        <v>77</v>
      </c>
      <c r="L207" s="26"/>
      <c r="M207" s="35" t="s">
        <v>78</v>
      </c>
      <c r="N207" s="35"/>
      <c r="O207" s="26">
        <v>45</v>
      </c>
      <c r="P207" s="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84"/>
      <c r="R207" s="84"/>
      <c r="S207" s="84"/>
      <c r="T207" s="85"/>
      <c r="U207" s="47"/>
      <c r="V207" s="47"/>
      <c r="W207" s="48" t="s">
        <v>70</v>
      </c>
      <c r="X207" s="76">
        <v>4.8</v>
      </c>
      <c r="Y207" s="77">
        <f t="shared" si="31"/>
        <v>4.8</v>
      </c>
      <c r="Z207" s="52">
        <f t="shared" si="36"/>
        <v>1.302E-2</v>
      </c>
      <c r="AA207" s="53"/>
      <c r="AB207" s="54"/>
      <c r="AC207" s="55" t="s">
        <v>338</v>
      </c>
      <c r="AG207" s="78"/>
      <c r="AJ207" s="57"/>
      <c r="AK207" s="57">
        <v>0</v>
      </c>
      <c r="BB207" s="59" t="s">
        <v>1</v>
      </c>
      <c r="BM207" s="78">
        <f t="shared" si="32"/>
        <v>5.3040000000000003</v>
      </c>
      <c r="BN207" s="78">
        <f t="shared" si="33"/>
        <v>5.3040000000000003</v>
      </c>
      <c r="BO207" s="78">
        <f t="shared" si="34"/>
        <v>1.098901098901099E-2</v>
      </c>
      <c r="BP207" s="78">
        <f t="shared" si="35"/>
        <v>1.098901098901099E-2</v>
      </c>
    </row>
    <row r="208" spans="1:68" ht="27" customHeight="1" x14ac:dyDescent="0.25">
      <c r="A208" s="24" t="s">
        <v>346</v>
      </c>
      <c r="B208" s="24" t="s">
        <v>347</v>
      </c>
      <c r="C208" s="25">
        <v>4301051668</v>
      </c>
      <c r="D208" s="86">
        <v>4680115880221</v>
      </c>
      <c r="E208" s="87"/>
      <c r="F208" s="75">
        <v>0.4</v>
      </c>
      <c r="G208" s="26">
        <v>6</v>
      </c>
      <c r="H208" s="75">
        <v>2.4</v>
      </c>
      <c r="I208" s="75">
        <v>2.6520000000000001</v>
      </c>
      <c r="J208" s="26">
        <v>182</v>
      </c>
      <c r="K208" s="26" t="s">
        <v>77</v>
      </c>
      <c r="L208" s="26"/>
      <c r="M208" s="35" t="s">
        <v>78</v>
      </c>
      <c r="N208" s="35"/>
      <c r="O208" s="26">
        <v>45</v>
      </c>
      <c r="P208" s="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84"/>
      <c r="R208" s="84"/>
      <c r="S208" s="84"/>
      <c r="T208" s="85"/>
      <c r="U208" s="47"/>
      <c r="V208" s="47"/>
      <c r="W208" s="48" t="s">
        <v>70</v>
      </c>
      <c r="X208" s="76">
        <v>4.8</v>
      </c>
      <c r="Y208" s="77">
        <f t="shared" si="31"/>
        <v>4.8</v>
      </c>
      <c r="Z208" s="52">
        <f t="shared" si="36"/>
        <v>1.302E-2</v>
      </c>
      <c r="AA208" s="53"/>
      <c r="AB208" s="54"/>
      <c r="AC208" s="55" t="s">
        <v>338</v>
      </c>
      <c r="AG208" s="78"/>
      <c r="AJ208" s="57"/>
      <c r="AK208" s="57">
        <v>0</v>
      </c>
      <c r="BB208" s="59" t="s">
        <v>1</v>
      </c>
      <c r="BM208" s="78">
        <f t="shared" si="32"/>
        <v>5.3040000000000003</v>
      </c>
      <c r="BN208" s="78">
        <f t="shared" si="33"/>
        <v>5.3040000000000003</v>
      </c>
      <c r="BO208" s="78">
        <f t="shared" si="34"/>
        <v>1.098901098901099E-2</v>
      </c>
      <c r="BP208" s="78">
        <f t="shared" si="35"/>
        <v>1.098901098901099E-2</v>
      </c>
    </row>
    <row r="209" spans="1:68" ht="27" customHeight="1" x14ac:dyDescent="0.25">
      <c r="A209" s="24" t="s">
        <v>348</v>
      </c>
      <c r="B209" s="24" t="s">
        <v>349</v>
      </c>
      <c r="C209" s="25">
        <v>4301051945</v>
      </c>
      <c r="D209" s="86">
        <v>4680115880504</v>
      </c>
      <c r="E209" s="87"/>
      <c r="F209" s="75">
        <v>0.4</v>
      </c>
      <c r="G209" s="26">
        <v>6</v>
      </c>
      <c r="H209" s="75">
        <v>2.4</v>
      </c>
      <c r="I209" s="75">
        <v>2.6520000000000001</v>
      </c>
      <c r="J209" s="26">
        <v>182</v>
      </c>
      <c r="K209" s="26" t="s">
        <v>77</v>
      </c>
      <c r="L209" s="26"/>
      <c r="M209" s="35" t="s">
        <v>93</v>
      </c>
      <c r="N209" s="35"/>
      <c r="O209" s="26">
        <v>40</v>
      </c>
      <c r="P209" s="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84"/>
      <c r="R209" s="84"/>
      <c r="S209" s="84"/>
      <c r="T209" s="85"/>
      <c r="U209" s="47"/>
      <c r="V209" s="47"/>
      <c r="W209" s="48" t="s">
        <v>70</v>
      </c>
      <c r="X209" s="76">
        <v>4.8</v>
      </c>
      <c r="Y209" s="77">
        <f t="shared" si="31"/>
        <v>4.8</v>
      </c>
      <c r="Z209" s="52">
        <f t="shared" si="36"/>
        <v>1.302E-2</v>
      </c>
      <c r="AA209" s="53"/>
      <c r="AB209" s="54"/>
      <c r="AC209" s="55" t="s">
        <v>350</v>
      </c>
      <c r="AG209" s="78"/>
      <c r="AJ209" s="57"/>
      <c r="AK209" s="57">
        <v>0</v>
      </c>
      <c r="BB209" s="59" t="s">
        <v>1</v>
      </c>
      <c r="BM209" s="78">
        <f t="shared" si="32"/>
        <v>5.3040000000000003</v>
      </c>
      <c r="BN209" s="78">
        <f t="shared" si="33"/>
        <v>5.3040000000000003</v>
      </c>
      <c r="BO209" s="78">
        <f t="shared" si="34"/>
        <v>1.098901098901099E-2</v>
      </c>
      <c r="BP209" s="78">
        <f t="shared" si="35"/>
        <v>1.098901098901099E-2</v>
      </c>
    </row>
    <row r="210" spans="1:68" ht="27" customHeight="1" x14ac:dyDescent="0.25">
      <c r="A210" s="24" t="s">
        <v>351</v>
      </c>
      <c r="B210" s="24" t="s">
        <v>352</v>
      </c>
      <c r="C210" s="25">
        <v>4301051410</v>
      </c>
      <c r="D210" s="86">
        <v>4680115882164</v>
      </c>
      <c r="E210" s="87"/>
      <c r="F210" s="75">
        <v>0.4</v>
      </c>
      <c r="G210" s="26">
        <v>6</v>
      </c>
      <c r="H210" s="75">
        <v>2.4</v>
      </c>
      <c r="I210" s="75">
        <v>2.6579999999999999</v>
      </c>
      <c r="J210" s="26">
        <v>182</v>
      </c>
      <c r="K210" s="26" t="s">
        <v>77</v>
      </c>
      <c r="L210" s="26"/>
      <c r="M210" s="35" t="s">
        <v>78</v>
      </c>
      <c r="N210" s="35"/>
      <c r="O210" s="26">
        <v>40</v>
      </c>
      <c r="P210" s="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84"/>
      <c r="R210" s="84"/>
      <c r="S210" s="84"/>
      <c r="T210" s="85"/>
      <c r="U210" s="47"/>
      <c r="V210" s="47"/>
      <c r="W210" s="48" t="s">
        <v>70</v>
      </c>
      <c r="X210" s="76">
        <v>4.8</v>
      </c>
      <c r="Y210" s="77">
        <f t="shared" si="31"/>
        <v>4.8</v>
      </c>
      <c r="Z210" s="52">
        <f t="shared" si="36"/>
        <v>1.302E-2</v>
      </c>
      <c r="AA210" s="53"/>
      <c r="AB210" s="54"/>
      <c r="AC210" s="55" t="s">
        <v>353</v>
      </c>
      <c r="AG210" s="78"/>
      <c r="AJ210" s="57"/>
      <c r="AK210" s="57">
        <v>0</v>
      </c>
      <c r="BB210" s="59" t="s">
        <v>1</v>
      </c>
      <c r="BM210" s="78">
        <f t="shared" si="32"/>
        <v>5.3159999999999998</v>
      </c>
      <c r="BN210" s="78">
        <f t="shared" si="33"/>
        <v>5.3159999999999998</v>
      </c>
      <c r="BO210" s="78">
        <f t="shared" si="34"/>
        <v>1.098901098901099E-2</v>
      </c>
      <c r="BP210" s="78">
        <f t="shared" si="35"/>
        <v>1.098901098901099E-2</v>
      </c>
    </row>
    <row r="211" spans="1:68" x14ac:dyDescent="0.2">
      <c r="A211" s="99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100"/>
      <c r="P211" s="91" t="s">
        <v>72</v>
      </c>
      <c r="Q211" s="92"/>
      <c r="R211" s="92"/>
      <c r="S211" s="92"/>
      <c r="T211" s="92"/>
      <c r="U211" s="92"/>
      <c r="V211" s="93"/>
      <c r="W211" s="49" t="s">
        <v>73</v>
      </c>
      <c r="X211" s="79">
        <f>IFERROR(X202/H202,"0")+IFERROR(X203/H203,"0")+IFERROR(X204/H204,"0")+IFERROR(X205/H205,"0")+IFERROR(X206/H206,"0")+IFERROR(X207/H207,"0")+IFERROR(X208/H208,"0")+IFERROR(X209/H209,"0")+IFERROR(X210/H210,"0")</f>
        <v>18.793103448275865</v>
      </c>
      <c r="Y211" s="79">
        <f>IFERROR(Y202/H202,"0")+IFERROR(Y203/H203,"0")+IFERROR(Y204/H204,"0")+IFERROR(Y205/H205,"0")+IFERROR(Y206/H206,"0")+IFERROR(Y207/H207,"0")+IFERROR(Y208/H208,"0")+IFERROR(Y209/H209,"0")+IFERROR(Y210/H210,"0")</f>
        <v>19</v>
      </c>
      <c r="Z211" s="7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0.23592000000000005</v>
      </c>
      <c r="AA211" s="80"/>
      <c r="AB211" s="80"/>
      <c r="AC211" s="80"/>
    </row>
    <row r="212" spans="1:68" x14ac:dyDescent="0.2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100"/>
      <c r="P212" s="91" t="s">
        <v>72</v>
      </c>
      <c r="Q212" s="92"/>
      <c r="R212" s="92"/>
      <c r="S212" s="92"/>
      <c r="T212" s="92"/>
      <c r="U212" s="92"/>
      <c r="V212" s="93"/>
      <c r="W212" s="49" t="s">
        <v>70</v>
      </c>
      <c r="X212" s="79">
        <f>IFERROR(SUM(X202:X210),"0")</f>
        <v>96.899999999999991</v>
      </c>
      <c r="Y212" s="79">
        <f>IFERROR(SUM(Y202:Y210),"0")</f>
        <v>98.699999999999974</v>
      </c>
      <c r="Z212" s="49"/>
      <c r="AA212" s="80"/>
      <c r="AB212" s="80"/>
      <c r="AC212" s="80"/>
    </row>
    <row r="213" spans="1:68" ht="14.25" customHeight="1" x14ac:dyDescent="0.25">
      <c r="A213" s="89" t="s">
        <v>174</v>
      </c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66"/>
      <c r="AB213" s="66"/>
      <c r="AC213" s="66"/>
    </row>
    <row r="214" spans="1:68" ht="27" customHeight="1" x14ac:dyDescent="0.25">
      <c r="A214" s="24" t="s">
        <v>354</v>
      </c>
      <c r="B214" s="24" t="s">
        <v>355</v>
      </c>
      <c r="C214" s="25">
        <v>4301060463</v>
      </c>
      <c r="D214" s="86">
        <v>4680115880818</v>
      </c>
      <c r="E214" s="87"/>
      <c r="F214" s="75">
        <v>0.4</v>
      </c>
      <c r="G214" s="26">
        <v>6</v>
      </c>
      <c r="H214" s="75">
        <v>2.4</v>
      </c>
      <c r="I214" s="75">
        <v>2.6520000000000001</v>
      </c>
      <c r="J214" s="26">
        <v>182</v>
      </c>
      <c r="K214" s="26" t="s">
        <v>77</v>
      </c>
      <c r="L214" s="26"/>
      <c r="M214" s="35" t="s">
        <v>93</v>
      </c>
      <c r="N214" s="35"/>
      <c r="O214" s="26">
        <v>40</v>
      </c>
      <c r="P214" s="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84"/>
      <c r="R214" s="84"/>
      <c r="S214" s="84"/>
      <c r="T214" s="85"/>
      <c r="U214" s="47"/>
      <c r="V214" s="47"/>
      <c r="W214" s="48" t="s">
        <v>70</v>
      </c>
      <c r="X214" s="76">
        <v>0</v>
      </c>
      <c r="Y214" s="77">
        <f>IFERROR(IF(X214="",0,CEILING((X214/$H214),1)*$H214),"")</f>
        <v>0</v>
      </c>
      <c r="Z214" s="52" t="str">
        <f>IFERROR(IF(Y214=0,"",ROUNDUP(Y214/H214,0)*0.00651),"")</f>
        <v/>
      </c>
      <c r="AA214" s="53"/>
      <c r="AB214" s="54"/>
      <c r="AC214" s="55" t="s">
        <v>356</v>
      </c>
      <c r="AG214" s="78"/>
      <c r="AJ214" s="57"/>
      <c r="AK214" s="57">
        <v>0</v>
      </c>
      <c r="BB214" s="59" t="s">
        <v>1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24" t="s">
        <v>357</v>
      </c>
      <c r="B215" s="24" t="s">
        <v>358</v>
      </c>
      <c r="C215" s="25">
        <v>4301060389</v>
      </c>
      <c r="D215" s="86">
        <v>4680115880801</v>
      </c>
      <c r="E215" s="87"/>
      <c r="F215" s="75">
        <v>0.4</v>
      </c>
      <c r="G215" s="26">
        <v>6</v>
      </c>
      <c r="H215" s="75">
        <v>2.4</v>
      </c>
      <c r="I215" s="75">
        <v>2.6520000000000001</v>
      </c>
      <c r="J215" s="26">
        <v>182</v>
      </c>
      <c r="K215" s="26" t="s">
        <v>77</v>
      </c>
      <c r="L215" s="26"/>
      <c r="M215" s="35" t="s">
        <v>78</v>
      </c>
      <c r="N215" s="35"/>
      <c r="O215" s="26">
        <v>40</v>
      </c>
      <c r="P215" s="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84"/>
      <c r="R215" s="84"/>
      <c r="S215" s="84"/>
      <c r="T215" s="85"/>
      <c r="U215" s="47"/>
      <c r="V215" s="47"/>
      <c r="W215" s="48" t="s">
        <v>70</v>
      </c>
      <c r="X215" s="76">
        <v>0</v>
      </c>
      <c r="Y215" s="77">
        <f>IFERROR(IF(X215="",0,CEILING((X215/$H215),1)*$H215),"")</f>
        <v>0</v>
      </c>
      <c r="Z215" s="52" t="str">
        <f>IFERROR(IF(Y215=0,"",ROUNDUP(Y215/H215,0)*0.00651),"")</f>
        <v/>
      </c>
      <c r="AA215" s="53"/>
      <c r="AB215" s="54"/>
      <c r="AC215" s="55" t="s">
        <v>359</v>
      </c>
      <c r="AG215" s="78"/>
      <c r="AJ215" s="57"/>
      <c r="AK215" s="57">
        <v>0</v>
      </c>
      <c r="BB215" s="59" t="s">
        <v>1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99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100"/>
      <c r="P216" s="91" t="s">
        <v>72</v>
      </c>
      <c r="Q216" s="92"/>
      <c r="R216" s="92"/>
      <c r="S216" s="92"/>
      <c r="T216" s="92"/>
      <c r="U216" s="92"/>
      <c r="V216" s="93"/>
      <c r="W216" s="49" t="s">
        <v>73</v>
      </c>
      <c r="X216" s="79">
        <f>IFERROR(X214/H214,"0")+IFERROR(X215/H215,"0")</f>
        <v>0</v>
      </c>
      <c r="Y216" s="79">
        <f>IFERROR(Y214/H214,"0")+IFERROR(Y215/H215,"0")</f>
        <v>0</v>
      </c>
      <c r="Z216" s="79">
        <f>IFERROR(IF(Z214="",0,Z214),"0")+IFERROR(IF(Z215="",0,Z215),"0")</f>
        <v>0</v>
      </c>
      <c r="AA216" s="80"/>
      <c r="AB216" s="80"/>
      <c r="AC216" s="80"/>
    </row>
    <row r="217" spans="1:68" x14ac:dyDescent="0.2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100"/>
      <c r="P217" s="91" t="s">
        <v>72</v>
      </c>
      <c r="Q217" s="92"/>
      <c r="R217" s="92"/>
      <c r="S217" s="92"/>
      <c r="T217" s="92"/>
      <c r="U217" s="92"/>
      <c r="V217" s="93"/>
      <c r="W217" s="49" t="s">
        <v>70</v>
      </c>
      <c r="X217" s="79">
        <f>IFERROR(SUM(X214:X215),"0")</f>
        <v>0</v>
      </c>
      <c r="Y217" s="79">
        <f>IFERROR(SUM(Y214:Y215),"0")</f>
        <v>0</v>
      </c>
      <c r="Z217" s="49"/>
      <c r="AA217" s="80"/>
      <c r="AB217" s="80"/>
      <c r="AC217" s="80"/>
    </row>
    <row r="218" spans="1:68" ht="16.5" customHeight="1" x14ac:dyDescent="0.25">
      <c r="A218" s="94" t="s">
        <v>360</v>
      </c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65"/>
      <c r="AB218" s="65"/>
      <c r="AC218" s="65"/>
    </row>
    <row r="219" spans="1:68" ht="14.25" customHeight="1" x14ac:dyDescent="0.25">
      <c r="A219" s="89" t="s">
        <v>103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66"/>
      <c r="AB219" s="66"/>
      <c r="AC219" s="66"/>
    </row>
    <row r="220" spans="1:68" ht="27" customHeight="1" x14ac:dyDescent="0.25">
      <c r="A220" s="24" t="s">
        <v>361</v>
      </c>
      <c r="B220" s="24" t="s">
        <v>362</v>
      </c>
      <c r="C220" s="25">
        <v>4301011826</v>
      </c>
      <c r="D220" s="86">
        <v>4680115884137</v>
      </c>
      <c r="E220" s="87"/>
      <c r="F220" s="75">
        <v>1.45</v>
      </c>
      <c r="G220" s="26">
        <v>8</v>
      </c>
      <c r="H220" s="75">
        <v>11.6</v>
      </c>
      <c r="I220" s="75">
        <v>12.035</v>
      </c>
      <c r="J220" s="26">
        <v>64</v>
      </c>
      <c r="K220" s="26" t="s">
        <v>106</v>
      </c>
      <c r="L220" s="26"/>
      <c r="M220" s="35" t="s">
        <v>107</v>
      </c>
      <c r="N220" s="35"/>
      <c r="O220" s="26">
        <v>55</v>
      </c>
      <c r="P220" s="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84"/>
      <c r="R220" s="84"/>
      <c r="S220" s="84"/>
      <c r="T220" s="85"/>
      <c r="U220" s="47"/>
      <c r="V220" s="47"/>
      <c r="W220" s="48" t="s">
        <v>70</v>
      </c>
      <c r="X220" s="76">
        <v>0</v>
      </c>
      <c r="Y220" s="77">
        <f t="shared" ref="Y220:Y226" si="37">IFERROR(IF(X220="",0,CEILING((X220/$H220),1)*$H220),"")</f>
        <v>0</v>
      </c>
      <c r="Z220" s="52" t="str">
        <f>IFERROR(IF(Y220=0,"",ROUNDUP(Y220/H220,0)*0.01898),"")</f>
        <v/>
      </c>
      <c r="AA220" s="53"/>
      <c r="AB220" s="54"/>
      <c r="AC220" s="55" t="s">
        <v>363</v>
      </c>
      <c r="AG220" s="78"/>
      <c r="AJ220" s="57"/>
      <c r="AK220" s="57">
        <v>0</v>
      </c>
      <c r="BB220" s="59" t="s">
        <v>1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24" t="s">
        <v>364</v>
      </c>
      <c r="B221" s="24" t="s">
        <v>365</v>
      </c>
      <c r="C221" s="25">
        <v>4301011724</v>
      </c>
      <c r="D221" s="86">
        <v>4680115884236</v>
      </c>
      <c r="E221" s="87"/>
      <c r="F221" s="75">
        <v>1.45</v>
      </c>
      <c r="G221" s="26">
        <v>8</v>
      </c>
      <c r="H221" s="75">
        <v>11.6</v>
      </c>
      <c r="I221" s="75">
        <v>12.035</v>
      </c>
      <c r="J221" s="26">
        <v>64</v>
      </c>
      <c r="K221" s="26" t="s">
        <v>106</v>
      </c>
      <c r="L221" s="26"/>
      <c r="M221" s="35" t="s">
        <v>107</v>
      </c>
      <c r="N221" s="35"/>
      <c r="O221" s="26">
        <v>55</v>
      </c>
      <c r="P221" s="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84"/>
      <c r="R221" s="84"/>
      <c r="S221" s="84"/>
      <c r="T221" s="85"/>
      <c r="U221" s="47"/>
      <c r="V221" s="47"/>
      <c r="W221" s="48" t="s">
        <v>70</v>
      </c>
      <c r="X221" s="76">
        <v>0</v>
      </c>
      <c r="Y221" s="77">
        <f t="shared" si="37"/>
        <v>0</v>
      </c>
      <c r="Z221" s="52" t="str">
        <f>IFERROR(IF(Y221=0,"",ROUNDUP(Y221/H221,0)*0.01898),"")</f>
        <v/>
      </c>
      <c r="AA221" s="53"/>
      <c r="AB221" s="54"/>
      <c r="AC221" s="55" t="s">
        <v>366</v>
      </c>
      <c r="AG221" s="78"/>
      <c r="AJ221" s="57"/>
      <c r="AK221" s="57">
        <v>0</v>
      </c>
      <c r="BB221" s="59" t="s">
        <v>1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24" t="s">
        <v>367</v>
      </c>
      <c r="B222" s="24" t="s">
        <v>368</v>
      </c>
      <c r="C222" s="25">
        <v>4301011721</v>
      </c>
      <c r="D222" s="86">
        <v>4680115884175</v>
      </c>
      <c r="E222" s="87"/>
      <c r="F222" s="75">
        <v>1.45</v>
      </c>
      <c r="G222" s="26">
        <v>8</v>
      </c>
      <c r="H222" s="75">
        <v>11.6</v>
      </c>
      <c r="I222" s="75">
        <v>12.035</v>
      </c>
      <c r="J222" s="26">
        <v>64</v>
      </c>
      <c r="K222" s="26" t="s">
        <v>106</v>
      </c>
      <c r="L222" s="26"/>
      <c r="M222" s="35" t="s">
        <v>107</v>
      </c>
      <c r="N222" s="35"/>
      <c r="O222" s="26">
        <v>55</v>
      </c>
      <c r="P222" s="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84"/>
      <c r="R222" s="84"/>
      <c r="S222" s="84"/>
      <c r="T222" s="85"/>
      <c r="U222" s="47"/>
      <c r="V222" s="47"/>
      <c r="W222" s="48" t="s">
        <v>70</v>
      </c>
      <c r="X222" s="76">
        <v>0</v>
      </c>
      <c r="Y222" s="77">
        <f t="shared" si="37"/>
        <v>0</v>
      </c>
      <c r="Z222" s="52" t="str">
        <f>IFERROR(IF(Y222=0,"",ROUNDUP(Y222/H222,0)*0.01898),"")</f>
        <v/>
      </c>
      <c r="AA222" s="53"/>
      <c r="AB222" s="54"/>
      <c r="AC222" s="55" t="s">
        <v>369</v>
      </c>
      <c r="AG222" s="78"/>
      <c r="AJ222" s="57"/>
      <c r="AK222" s="57">
        <v>0</v>
      </c>
      <c r="BB222" s="59" t="s">
        <v>1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24" t="s">
        <v>370</v>
      </c>
      <c r="B223" s="24" t="s">
        <v>371</v>
      </c>
      <c r="C223" s="25">
        <v>4301011824</v>
      </c>
      <c r="D223" s="86">
        <v>4680115884144</v>
      </c>
      <c r="E223" s="87"/>
      <c r="F223" s="75">
        <v>0.4</v>
      </c>
      <c r="G223" s="26">
        <v>10</v>
      </c>
      <c r="H223" s="75">
        <v>4</v>
      </c>
      <c r="I223" s="75">
        <v>4.21</v>
      </c>
      <c r="J223" s="26">
        <v>132</v>
      </c>
      <c r="K223" s="26" t="s">
        <v>111</v>
      </c>
      <c r="L223" s="26"/>
      <c r="M223" s="35" t="s">
        <v>107</v>
      </c>
      <c r="N223" s="35"/>
      <c r="O223" s="26">
        <v>55</v>
      </c>
      <c r="P223" s="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84"/>
      <c r="R223" s="84"/>
      <c r="S223" s="84"/>
      <c r="T223" s="85"/>
      <c r="U223" s="47"/>
      <c r="V223" s="47"/>
      <c r="W223" s="48" t="s">
        <v>70</v>
      </c>
      <c r="X223" s="76">
        <v>0</v>
      </c>
      <c r="Y223" s="77">
        <f t="shared" si="37"/>
        <v>0</v>
      </c>
      <c r="Z223" s="52" t="str">
        <f>IFERROR(IF(Y223=0,"",ROUNDUP(Y223/H223,0)*0.00902),"")</f>
        <v/>
      </c>
      <c r="AA223" s="53"/>
      <c r="AB223" s="54"/>
      <c r="AC223" s="55" t="s">
        <v>363</v>
      </c>
      <c r="AG223" s="78"/>
      <c r="AJ223" s="57"/>
      <c r="AK223" s="57">
        <v>0</v>
      </c>
      <c r="BB223" s="59" t="s">
        <v>1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24" t="s">
        <v>372</v>
      </c>
      <c r="B224" s="24" t="s">
        <v>373</v>
      </c>
      <c r="C224" s="25">
        <v>4301012149</v>
      </c>
      <c r="D224" s="86">
        <v>4680115886551</v>
      </c>
      <c r="E224" s="87"/>
      <c r="F224" s="75">
        <v>0.4</v>
      </c>
      <c r="G224" s="26">
        <v>10</v>
      </c>
      <c r="H224" s="75">
        <v>4</v>
      </c>
      <c r="I224" s="75">
        <v>4.21</v>
      </c>
      <c r="J224" s="26">
        <v>132</v>
      </c>
      <c r="K224" s="26" t="s">
        <v>111</v>
      </c>
      <c r="L224" s="26"/>
      <c r="M224" s="35" t="s">
        <v>107</v>
      </c>
      <c r="N224" s="35"/>
      <c r="O224" s="26">
        <v>55</v>
      </c>
      <c r="P224" s="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84"/>
      <c r="R224" s="84"/>
      <c r="S224" s="84"/>
      <c r="T224" s="85"/>
      <c r="U224" s="47"/>
      <c r="V224" s="47"/>
      <c r="W224" s="48" t="s">
        <v>70</v>
      </c>
      <c r="X224" s="76">
        <v>0</v>
      </c>
      <c r="Y224" s="77">
        <f t="shared" si="37"/>
        <v>0</v>
      </c>
      <c r="Z224" s="52" t="str">
        <f>IFERROR(IF(Y224=0,"",ROUNDUP(Y224/H224,0)*0.00902),"")</f>
        <v/>
      </c>
      <c r="AA224" s="53"/>
      <c r="AB224" s="54"/>
      <c r="AC224" s="55" t="s">
        <v>374</v>
      </c>
      <c r="AG224" s="78"/>
      <c r="AJ224" s="57"/>
      <c r="AK224" s="57">
        <v>0</v>
      </c>
      <c r="BB224" s="59" t="s">
        <v>1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24" t="s">
        <v>375</v>
      </c>
      <c r="B225" s="24" t="s">
        <v>376</v>
      </c>
      <c r="C225" s="25">
        <v>4301011726</v>
      </c>
      <c r="D225" s="86">
        <v>4680115884182</v>
      </c>
      <c r="E225" s="87"/>
      <c r="F225" s="75">
        <v>0.37</v>
      </c>
      <c r="G225" s="26">
        <v>10</v>
      </c>
      <c r="H225" s="75">
        <v>3.7</v>
      </c>
      <c r="I225" s="75">
        <v>3.91</v>
      </c>
      <c r="J225" s="26">
        <v>132</v>
      </c>
      <c r="K225" s="26" t="s">
        <v>111</v>
      </c>
      <c r="L225" s="26"/>
      <c r="M225" s="35" t="s">
        <v>107</v>
      </c>
      <c r="N225" s="35"/>
      <c r="O225" s="26">
        <v>55</v>
      </c>
      <c r="P225" s="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84"/>
      <c r="R225" s="84"/>
      <c r="S225" s="84"/>
      <c r="T225" s="85"/>
      <c r="U225" s="47"/>
      <c r="V225" s="47"/>
      <c r="W225" s="48" t="s">
        <v>70</v>
      </c>
      <c r="X225" s="76">
        <v>0</v>
      </c>
      <c r="Y225" s="77">
        <f t="shared" si="37"/>
        <v>0</v>
      </c>
      <c r="Z225" s="52" t="str">
        <f>IFERROR(IF(Y225=0,"",ROUNDUP(Y225/H225,0)*0.00902),"")</f>
        <v/>
      </c>
      <c r="AA225" s="53"/>
      <c r="AB225" s="54"/>
      <c r="AC225" s="55" t="s">
        <v>366</v>
      </c>
      <c r="AG225" s="78"/>
      <c r="AJ225" s="57"/>
      <c r="AK225" s="57">
        <v>0</v>
      </c>
      <c r="BB225" s="59" t="s">
        <v>1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24" t="s">
        <v>377</v>
      </c>
      <c r="B226" s="24" t="s">
        <v>378</v>
      </c>
      <c r="C226" s="25">
        <v>4301011722</v>
      </c>
      <c r="D226" s="86">
        <v>4680115884205</v>
      </c>
      <c r="E226" s="87"/>
      <c r="F226" s="75">
        <v>0.4</v>
      </c>
      <c r="G226" s="26">
        <v>10</v>
      </c>
      <c r="H226" s="75">
        <v>4</v>
      </c>
      <c r="I226" s="75">
        <v>4.21</v>
      </c>
      <c r="J226" s="26">
        <v>132</v>
      </c>
      <c r="K226" s="26" t="s">
        <v>111</v>
      </c>
      <c r="L226" s="26"/>
      <c r="M226" s="35" t="s">
        <v>107</v>
      </c>
      <c r="N226" s="35"/>
      <c r="O226" s="26">
        <v>55</v>
      </c>
      <c r="P226" s="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84"/>
      <c r="R226" s="84"/>
      <c r="S226" s="84"/>
      <c r="T226" s="85"/>
      <c r="U226" s="47"/>
      <c r="V226" s="47"/>
      <c r="W226" s="48" t="s">
        <v>70</v>
      </c>
      <c r="X226" s="76">
        <v>0</v>
      </c>
      <c r="Y226" s="77">
        <f t="shared" si="37"/>
        <v>0</v>
      </c>
      <c r="Z226" s="52" t="str">
        <f>IFERROR(IF(Y226=0,"",ROUNDUP(Y226/H226,0)*0.00902),"")</f>
        <v/>
      </c>
      <c r="AA226" s="53"/>
      <c r="AB226" s="54"/>
      <c r="AC226" s="55" t="s">
        <v>369</v>
      </c>
      <c r="AG226" s="78"/>
      <c r="AJ226" s="57"/>
      <c r="AK226" s="57">
        <v>0</v>
      </c>
      <c r="BB226" s="59" t="s">
        <v>1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99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100"/>
      <c r="P227" s="91" t="s">
        <v>72</v>
      </c>
      <c r="Q227" s="92"/>
      <c r="R227" s="92"/>
      <c r="S227" s="92"/>
      <c r="T227" s="92"/>
      <c r="U227" s="92"/>
      <c r="V227" s="93"/>
      <c r="W227" s="49" t="s">
        <v>73</v>
      </c>
      <c r="X227" s="79">
        <f>IFERROR(X220/H220,"0")+IFERROR(X221/H221,"0")+IFERROR(X222/H222,"0")+IFERROR(X223/H223,"0")+IFERROR(X224/H224,"0")+IFERROR(X225/H225,"0")+IFERROR(X226/H226,"0")</f>
        <v>0</v>
      </c>
      <c r="Y227" s="79">
        <f>IFERROR(Y220/H220,"0")+IFERROR(Y221/H221,"0")+IFERROR(Y222/H222,"0")+IFERROR(Y223/H223,"0")+IFERROR(Y224/H224,"0")+IFERROR(Y225/H225,"0")+IFERROR(Y226/H226,"0")</f>
        <v>0</v>
      </c>
      <c r="Z227" s="7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80"/>
      <c r="AB227" s="80"/>
      <c r="AC227" s="80"/>
    </row>
    <row r="228" spans="1:68" x14ac:dyDescent="0.2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100"/>
      <c r="P228" s="91" t="s">
        <v>72</v>
      </c>
      <c r="Q228" s="92"/>
      <c r="R228" s="92"/>
      <c r="S228" s="92"/>
      <c r="T228" s="92"/>
      <c r="U228" s="92"/>
      <c r="V228" s="93"/>
      <c r="W228" s="49" t="s">
        <v>70</v>
      </c>
      <c r="X228" s="79">
        <f>IFERROR(SUM(X220:X226),"0")</f>
        <v>0</v>
      </c>
      <c r="Y228" s="79">
        <f>IFERROR(SUM(Y220:Y226),"0")</f>
        <v>0</v>
      </c>
      <c r="Z228" s="49"/>
      <c r="AA228" s="80"/>
      <c r="AB228" s="80"/>
      <c r="AC228" s="80"/>
    </row>
    <row r="229" spans="1:68" ht="14.25" customHeight="1" x14ac:dyDescent="0.25">
      <c r="A229" s="89" t="s">
        <v>139</v>
      </c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66"/>
      <c r="AB229" s="66"/>
      <c r="AC229" s="66"/>
    </row>
    <row r="230" spans="1:68" ht="27" customHeight="1" x14ac:dyDescent="0.25">
      <c r="A230" s="24" t="s">
        <v>379</v>
      </c>
      <c r="B230" s="24" t="s">
        <v>380</v>
      </c>
      <c r="C230" s="25">
        <v>4301020340</v>
      </c>
      <c r="D230" s="86">
        <v>4680115885721</v>
      </c>
      <c r="E230" s="87"/>
      <c r="F230" s="75">
        <v>0.33</v>
      </c>
      <c r="G230" s="26">
        <v>6</v>
      </c>
      <c r="H230" s="75">
        <v>1.98</v>
      </c>
      <c r="I230" s="75">
        <v>2.08</v>
      </c>
      <c r="J230" s="26">
        <v>234</v>
      </c>
      <c r="K230" s="26" t="s">
        <v>67</v>
      </c>
      <c r="L230" s="26"/>
      <c r="M230" s="35" t="s">
        <v>78</v>
      </c>
      <c r="N230" s="35"/>
      <c r="O230" s="26">
        <v>50</v>
      </c>
      <c r="P230" s="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84"/>
      <c r="R230" s="84"/>
      <c r="S230" s="84"/>
      <c r="T230" s="85"/>
      <c r="U230" s="47"/>
      <c r="V230" s="47"/>
      <c r="W230" s="48" t="s">
        <v>70</v>
      </c>
      <c r="X230" s="76">
        <v>19.8</v>
      </c>
      <c r="Y230" s="77">
        <f>IFERROR(IF(X230="",0,CEILING((X230/$H230),1)*$H230),"")</f>
        <v>19.8</v>
      </c>
      <c r="Z230" s="52">
        <f>IFERROR(IF(Y230=0,"",ROUNDUP(Y230/H230,0)*0.00502),"")</f>
        <v>5.0200000000000002E-2</v>
      </c>
      <c r="AA230" s="53"/>
      <c r="AB230" s="54"/>
      <c r="AC230" s="55" t="s">
        <v>381</v>
      </c>
      <c r="AG230" s="78"/>
      <c r="AJ230" s="57"/>
      <c r="AK230" s="57">
        <v>0</v>
      </c>
      <c r="BB230" s="59" t="s">
        <v>1</v>
      </c>
      <c r="BM230" s="78">
        <f>IFERROR(X230*I230/H230,"0")</f>
        <v>20.800000000000004</v>
      </c>
      <c r="BN230" s="78">
        <f>IFERROR(Y230*I230/H230,"0")</f>
        <v>20.800000000000004</v>
      </c>
      <c r="BO230" s="78">
        <f>IFERROR(1/J230*(X230/H230),"0")</f>
        <v>4.2735042735042736E-2</v>
      </c>
      <c r="BP230" s="78">
        <f>IFERROR(1/J230*(Y230/H230),"0")</f>
        <v>4.2735042735042736E-2</v>
      </c>
    </row>
    <row r="231" spans="1:68" ht="27" customHeight="1" x14ac:dyDescent="0.25">
      <c r="A231" s="24" t="s">
        <v>379</v>
      </c>
      <c r="B231" s="24" t="s">
        <v>382</v>
      </c>
      <c r="C231" s="25">
        <v>4301020377</v>
      </c>
      <c r="D231" s="86">
        <v>4680115885981</v>
      </c>
      <c r="E231" s="87"/>
      <c r="F231" s="75">
        <v>0.33</v>
      </c>
      <c r="G231" s="26">
        <v>6</v>
      </c>
      <c r="H231" s="75">
        <v>1.98</v>
      </c>
      <c r="I231" s="75">
        <v>2.08</v>
      </c>
      <c r="J231" s="26">
        <v>234</v>
      </c>
      <c r="K231" s="26" t="s">
        <v>67</v>
      </c>
      <c r="L231" s="26"/>
      <c r="M231" s="35" t="s">
        <v>78</v>
      </c>
      <c r="N231" s="35"/>
      <c r="O231" s="26">
        <v>50</v>
      </c>
      <c r="P231" s="8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84"/>
      <c r="R231" s="84"/>
      <c r="S231" s="84"/>
      <c r="T231" s="85"/>
      <c r="U231" s="47"/>
      <c r="V231" s="47"/>
      <c r="W231" s="48" t="s">
        <v>70</v>
      </c>
      <c r="X231" s="76">
        <v>0</v>
      </c>
      <c r="Y231" s="77">
        <f>IFERROR(IF(X231="",0,CEILING((X231/$H231),1)*$H231),"")</f>
        <v>0</v>
      </c>
      <c r="Z231" s="52" t="str">
        <f>IFERROR(IF(Y231=0,"",ROUNDUP(Y231/H231,0)*0.00502),"")</f>
        <v/>
      </c>
      <c r="AA231" s="53"/>
      <c r="AB231" s="54"/>
      <c r="AC231" s="55" t="s">
        <v>381</v>
      </c>
      <c r="AG231" s="78"/>
      <c r="AJ231" s="57"/>
      <c r="AK231" s="57">
        <v>0</v>
      </c>
      <c r="BB231" s="59" t="s">
        <v>1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99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100"/>
      <c r="P232" s="91" t="s">
        <v>72</v>
      </c>
      <c r="Q232" s="92"/>
      <c r="R232" s="92"/>
      <c r="S232" s="92"/>
      <c r="T232" s="92"/>
      <c r="U232" s="92"/>
      <c r="V232" s="93"/>
      <c r="W232" s="49" t="s">
        <v>73</v>
      </c>
      <c r="X232" s="79">
        <f>IFERROR(X230/H230,"0")+IFERROR(X231/H231,"0")</f>
        <v>10</v>
      </c>
      <c r="Y232" s="79">
        <f>IFERROR(Y230/H230,"0")+IFERROR(Y231/H231,"0")</f>
        <v>10</v>
      </c>
      <c r="Z232" s="79">
        <f>IFERROR(IF(Z230="",0,Z230),"0")+IFERROR(IF(Z231="",0,Z231),"0")</f>
        <v>5.0200000000000002E-2</v>
      </c>
      <c r="AA232" s="80"/>
      <c r="AB232" s="80"/>
      <c r="AC232" s="80"/>
    </row>
    <row r="233" spans="1:68" x14ac:dyDescent="0.2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100"/>
      <c r="P233" s="91" t="s">
        <v>72</v>
      </c>
      <c r="Q233" s="92"/>
      <c r="R233" s="92"/>
      <c r="S233" s="92"/>
      <c r="T233" s="92"/>
      <c r="U233" s="92"/>
      <c r="V233" s="93"/>
      <c r="W233" s="49" t="s">
        <v>70</v>
      </c>
      <c r="X233" s="79">
        <f>IFERROR(SUM(X230:X231),"0")</f>
        <v>19.8</v>
      </c>
      <c r="Y233" s="79">
        <f>IFERROR(SUM(Y230:Y231),"0")</f>
        <v>19.8</v>
      </c>
      <c r="Z233" s="49"/>
      <c r="AA233" s="80"/>
      <c r="AB233" s="80"/>
      <c r="AC233" s="80"/>
    </row>
    <row r="234" spans="1:68" ht="14.25" customHeight="1" x14ac:dyDescent="0.25">
      <c r="A234" s="89" t="s">
        <v>383</v>
      </c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66"/>
      <c r="AB234" s="66"/>
      <c r="AC234" s="66"/>
    </row>
    <row r="235" spans="1:68" ht="27" customHeight="1" x14ac:dyDescent="0.25">
      <c r="A235" s="24" t="s">
        <v>384</v>
      </c>
      <c r="B235" s="24" t="s">
        <v>385</v>
      </c>
      <c r="C235" s="25">
        <v>4301040362</v>
      </c>
      <c r="D235" s="86">
        <v>4680115886803</v>
      </c>
      <c r="E235" s="87"/>
      <c r="F235" s="75">
        <v>0.12</v>
      </c>
      <c r="G235" s="26">
        <v>15</v>
      </c>
      <c r="H235" s="75">
        <v>1.8</v>
      </c>
      <c r="I235" s="75">
        <v>1.9750000000000001</v>
      </c>
      <c r="J235" s="26">
        <v>216</v>
      </c>
      <c r="K235" s="26" t="s">
        <v>288</v>
      </c>
      <c r="L235" s="26"/>
      <c r="M235" s="35" t="s">
        <v>289</v>
      </c>
      <c r="N235" s="35"/>
      <c r="O235" s="26">
        <v>45</v>
      </c>
      <c r="P235" s="123" t="s">
        <v>386</v>
      </c>
      <c r="Q235" s="84"/>
      <c r="R235" s="84"/>
      <c r="S235" s="84"/>
      <c r="T235" s="85"/>
      <c r="U235" s="47"/>
      <c r="V235" s="47"/>
      <c r="W235" s="48" t="s">
        <v>70</v>
      </c>
      <c r="X235" s="76">
        <v>1.2</v>
      </c>
      <c r="Y235" s="77">
        <f>IFERROR(IF(X235="",0,CEILING((X235/$H235),1)*$H235),"")</f>
        <v>1.8</v>
      </c>
      <c r="Z235" s="52">
        <f>IFERROR(IF(Y235=0,"",ROUNDUP(Y235/H235,0)*0.0059),"")</f>
        <v>5.8999999999999999E-3</v>
      </c>
      <c r="AA235" s="53"/>
      <c r="AB235" s="54"/>
      <c r="AC235" s="55" t="s">
        <v>387</v>
      </c>
      <c r="AG235" s="78"/>
      <c r="AJ235" s="57"/>
      <c r="AK235" s="57">
        <v>0</v>
      </c>
      <c r="BB235" s="59" t="s">
        <v>1</v>
      </c>
      <c r="BM235" s="78">
        <f>IFERROR(X235*I235/H235,"0")</f>
        <v>1.3166666666666667</v>
      </c>
      <c r="BN235" s="78">
        <f>IFERROR(Y235*I235/H235,"0")</f>
        <v>1.9750000000000001</v>
      </c>
      <c r="BO235" s="78">
        <f>IFERROR(1/J235*(X235/H235),"0")</f>
        <v>3.0864197530864196E-3</v>
      </c>
      <c r="BP235" s="78">
        <f>IFERROR(1/J235*(Y235/H235),"0")</f>
        <v>4.6296296296296294E-3</v>
      </c>
    </row>
    <row r="236" spans="1:68" x14ac:dyDescent="0.2">
      <c r="A236" s="99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100"/>
      <c r="P236" s="91" t="s">
        <v>72</v>
      </c>
      <c r="Q236" s="92"/>
      <c r="R236" s="92"/>
      <c r="S236" s="92"/>
      <c r="T236" s="92"/>
      <c r="U236" s="92"/>
      <c r="V236" s="93"/>
      <c r="W236" s="49" t="s">
        <v>73</v>
      </c>
      <c r="X236" s="79">
        <f>IFERROR(X235/H235,"0")</f>
        <v>0.66666666666666663</v>
      </c>
      <c r="Y236" s="79">
        <f>IFERROR(Y235/H235,"0")</f>
        <v>1</v>
      </c>
      <c r="Z236" s="79">
        <f>IFERROR(IF(Z235="",0,Z235),"0")</f>
        <v>5.8999999999999999E-3</v>
      </c>
      <c r="AA236" s="80"/>
      <c r="AB236" s="80"/>
      <c r="AC236" s="80"/>
    </row>
    <row r="237" spans="1:68" x14ac:dyDescent="0.2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100"/>
      <c r="P237" s="91" t="s">
        <v>72</v>
      </c>
      <c r="Q237" s="92"/>
      <c r="R237" s="92"/>
      <c r="S237" s="92"/>
      <c r="T237" s="92"/>
      <c r="U237" s="92"/>
      <c r="V237" s="93"/>
      <c r="W237" s="49" t="s">
        <v>70</v>
      </c>
      <c r="X237" s="79">
        <f>IFERROR(SUM(X235:X235),"0")</f>
        <v>1.2</v>
      </c>
      <c r="Y237" s="79">
        <f>IFERROR(SUM(Y235:Y235),"0")</f>
        <v>1.8</v>
      </c>
      <c r="Z237" s="49"/>
      <c r="AA237" s="80"/>
      <c r="AB237" s="80"/>
      <c r="AC237" s="80"/>
    </row>
    <row r="238" spans="1:68" ht="14.25" customHeight="1" x14ac:dyDescent="0.25">
      <c r="A238" s="89" t="s">
        <v>388</v>
      </c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66"/>
      <c r="AB238" s="66"/>
      <c r="AC238" s="66"/>
    </row>
    <row r="239" spans="1:68" ht="27" customHeight="1" x14ac:dyDescent="0.25">
      <c r="A239" s="24" t="s">
        <v>389</v>
      </c>
      <c r="B239" s="24" t="s">
        <v>390</v>
      </c>
      <c r="C239" s="25">
        <v>4301041004</v>
      </c>
      <c r="D239" s="86">
        <v>4680115886704</v>
      </c>
      <c r="E239" s="87"/>
      <c r="F239" s="75">
        <v>5.5E-2</v>
      </c>
      <c r="G239" s="26">
        <v>18</v>
      </c>
      <c r="H239" s="75">
        <v>0.99</v>
      </c>
      <c r="I239" s="75">
        <v>1.18</v>
      </c>
      <c r="J239" s="26">
        <v>216</v>
      </c>
      <c r="K239" s="26" t="s">
        <v>288</v>
      </c>
      <c r="L239" s="26"/>
      <c r="M239" s="35" t="s">
        <v>289</v>
      </c>
      <c r="N239" s="35"/>
      <c r="O239" s="26">
        <v>90</v>
      </c>
      <c r="P239" s="8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84"/>
      <c r="R239" s="84"/>
      <c r="S239" s="84"/>
      <c r="T239" s="85"/>
      <c r="U239" s="47"/>
      <c r="V239" s="47"/>
      <c r="W239" s="48" t="s">
        <v>70</v>
      </c>
      <c r="X239" s="76">
        <v>0</v>
      </c>
      <c r="Y239" s="77">
        <f>IFERROR(IF(X239="",0,CEILING((X239/$H239),1)*$H239),"")</f>
        <v>0</v>
      </c>
      <c r="Z239" s="52" t="str">
        <f>IFERROR(IF(Y239=0,"",ROUNDUP(Y239/H239,0)*0.0059),"")</f>
        <v/>
      </c>
      <c r="AA239" s="53"/>
      <c r="AB239" s="54"/>
      <c r="AC239" s="55" t="s">
        <v>391</v>
      </c>
      <c r="AG239" s="78"/>
      <c r="AJ239" s="57"/>
      <c r="AK239" s="57">
        <v>0</v>
      </c>
      <c r="BB239" s="59" t="s">
        <v>1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24" t="s">
        <v>392</v>
      </c>
      <c r="B240" s="24" t="s">
        <v>393</v>
      </c>
      <c r="C240" s="25">
        <v>4301041008</v>
      </c>
      <c r="D240" s="86">
        <v>4680115886681</v>
      </c>
      <c r="E240" s="87"/>
      <c r="F240" s="75">
        <v>0.12</v>
      </c>
      <c r="G240" s="26">
        <v>15</v>
      </c>
      <c r="H240" s="75">
        <v>1.8</v>
      </c>
      <c r="I240" s="75">
        <v>1.9750000000000001</v>
      </c>
      <c r="J240" s="26">
        <v>216</v>
      </c>
      <c r="K240" s="26" t="s">
        <v>288</v>
      </c>
      <c r="L240" s="26"/>
      <c r="M240" s="35" t="s">
        <v>289</v>
      </c>
      <c r="N240" s="35"/>
      <c r="O240" s="26">
        <v>90</v>
      </c>
      <c r="P240" s="123" t="s">
        <v>394</v>
      </c>
      <c r="Q240" s="84"/>
      <c r="R240" s="84"/>
      <c r="S240" s="84"/>
      <c r="T240" s="85"/>
      <c r="U240" s="47"/>
      <c r="V240" s="47"/>
      <c r="W240" s="48" t="s">
        <v>70</v>
      </c>
      <c r="X240" s="76">
        <v>0</v>
      </c>
      <c r="Y240" s="77">
        <f>IFERROR(IF(X240="",0,CEILING((X240/$H240),1)*$H240),"")</f>
        <v>0</v>
      </c>
      <c r="Z240" s="52" t="str">
        <f>IFERROR(IF(Y240=0,"",ROUNDUP(Y240/H240,0)*0.0059),"")</f>
        <v/>
      </c>
      <c r="AA240" s="53"/>
      <c r="AB240" s="54"/>
      <c r="AC240" s="55" t="s">
        <v>391</v>
      </c>
      <c r="AG240" s="78"/>
      <c r="AJ240" s="57"/>
      <c r="AK240" s="57">
        <v>0</v>
      </c>
      <c r="BB240" s="59" t="s">
        <v>1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24" t="s">
        <v>395</v>
      </c>
      <c r="B241" s="24" t="s">
        <v>396</v>
      </c>
      <c r="C241" s="25">
        <v>4301041007</v>
      </c>
      <c r="D241" s="86">
        <v>4680115886735</v>
      </c>
      <c r="E241" s="87"/>
      <c r="F241" s="75">
        <v>0.05</v>
      </c>
      <c r="G241" s="26">
        <v>18</v>
      </c>
      <c r="H241" s="75">
        <v>0.9</v>
      </c>
      <c r="I241" s="75">
        <v>1.0900000000000001</v>
      </c>
      <c r="J241" s="26">
        <v>216</v>
      </c>
      <c r="K241" s="26" t="s">
        <v>288</v>
      </c>
      <c r="L241" s="26"/>
      <c r="M241" s="35" t="s">
        <v>289</v>
      </c>
      <c r="N241" s="35"/>
      <c r="O241" s="26">
        <v>90</v>
      </c>
      <c r="P241" s="8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84"/>
      <c r="R241" s="84"/>
      <c r="S241" s="84"/>
      <c r="T241" s="85"/>
      <c r="U241" s="47"/>
      <c r="V241" s="47"/>
      <c r="W241" s="48" t="s">
        <v>70</v>
      </c>
      <c r="X241" s="76">
        <v>0.9</v>
      </c>
      <c r="Y241" s="77">
        <f>IFERROR(IF(X241="",0,CEILING((X241/$H241),1)*$H241),"")</f>
        <v>0.9</v>
      </c>
      <c r="Z241" s="52">
        <f>IFERROR(IF(Y241=0,"",ROUNDUP(Y241/H241,0)*0.0059),"")</f>
        <v>5.8999999999999999E-3</v>
      </c>
      <c r="AA241" s="53"/>
      <c r="AB241" s="54"/>
      <c r="AC241" s="55" t="s">
        <v>391</v>
      </c>
      <c r="AG241" s="78"/>
      <c r="AJ241" s="57"/>
      <c r="AK241" s="57">
        <v>0</v>
      </c>
      <c r="BB241" s="59" t="s">
        <v>1</v>
      </c>
      <c r="BM241" s="78">
        <f>IFERROR(X241*I241/H241,"0")</f>
        <v>1.0900000000000001</v>
      </c>
      <c r="BN241" s="78">
        <f>IFERROR(Y241*I241/H241,"0")</f>
        <v>1.0900000000000001</v>
      </c>
      <c r="BO241" s="78">
        <f>IFERROR(1/J241*(X241/H241),"0")</f>
        <v>4.6296296296296294E-3</v>
      </c>
      <c r="BP241" s="78">
        <f>IFERROR(1/J241*(Y241/H241),"0")</f>
        <v>4.6296296296296294E-3</v>
      </c>
    </row>
    <row r="242" spans="1:68" ht="27" customHeight="1" x14ac:dyDescent="0.25">
      <c r="A242" s="24" t="s">
        <v>397</v>
      </c>
      <c r="B242" s="24" t="s">
        <v>398</v>
      </c>
      <c r="C242" s="25">
        <v>4301041006</v>
      </c>
      <c r="D242" s="86">
        <v>4680115886728</v>
      </c>
      <c r="E242" s="87"/>
      <c r="F242" s="75">
        <v>5.5E-2</v>
      </c>
      <c r="G242" s="26">
        <v>18</v>
      </c>
      <c r="H242" s="75">
        <v>0.99</v>
      </c>
      <c r="I242" s="75">
        <v>1.18</v>
      </c>
      <c r="J242" s="26">
        <v>216</v>
      </c>
      <c r="K242" s="26" t="s">
        <v>288</v>
      </c>
      <c r="L242" s="26"/>
      <c r="M242" s="35" t="s">
        <v>289</v>
      </c>
      <c r="N242" s="35"/>
      <c r="O242" s="26">
        <v>90</v>
      </c>
      <c r="P242" s="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84"/>
      <c r="R242" s="84"/>
      <c r="S242" s="84"/>
      <c r="T242" s="85"/>
      <c r="U242" s="47"/>
      <c r="V242" s="47"/>
      <c r="W242" s="48" t="s">
        <v>70</v>
      </c>
      <c r="X242" s="76">
        <v>0.9</v>
      </c>
      <c r="Y242" s="77">
        <f>IFERROR(IF(X242="",0,CEILING((X242/$H242),1)*$H242),"")</f>
        <v>0.99</v>
      </c>
      <c r="Z242" s="52">
        <f>IFERROR(IF(Y242=0,"",ROUNDUP(Y242/H242,0)*0.0059),"")</f>
        <v>5.8999999999999999E-3</v>
      </c>
      <c r="AA242" s="53"/>
      <c r="AB242" s="54"/>
      <c r="AC242" s="55" t="s">
        <v>391</v>
      </c>
      <c r="AG242" s="78"/>
      <c r="AJ242" s="57"/>
      <c r="AK242" s="57">
        <v>0</v>
      </c>
      <c r="BB242" s="59" t="s">
        <v>1</v>
      </c>
      <c r="BM242" s="78">
        <f>IFERROR(X242*I242/H242,"0")</f>
        <v>1.0727272727272728</v>
      </c>
      <c r="BN242" s="78">
        <f>IFERROR(Y242*I242/H242,"0")</f>
        <v>1.18</v>
      </c>
      <c r="BO242" s="78">
        <f>IFERROR(1/J242*(X242/H242),"0")</f>
        <v>4.2087542087542087E-3</v>
      </c>
      <c r="BP242" s="78">
        <f>IFERROR(1/J242*(Y242/H242),"0")</f>
        <v>4.6296296296296294E-3</v>
      </c>
    </row>
    <row r="243" spans="1:68" ht="27" customHeight="1" x14ac:dyDescent="0.25">
      <c r="A243" s="24" t="s">
        <v>399</v>
      </c>
      <c r="B243" s="24" t="s">
        <v>400</v>
      </c>
      <c r="C243" s="25">
        <v>4301041005</v>
      </c>
      <c r="D243" s="86">
        <v>4680115886711</v>
      </c>
      <c r="E243" s="87"/>
      <c r="F243" s="75">
        <v>5.5E-2</v>
      </c>
      <c r="G243" s="26">
        <v>18</v>
      </c>
      <c r="H243" s="75">
        <v>0.99</v>
      </c>
      <c r="I243" s="75">
        <v>1.18</v>
      </c>
      <c r="J243" s="26">
        <v>216</v>
      </c>
      <c r="K243" s="26" t="s">
        <v>288</v>
      </c>
      <c r="L243" s="26"/>
      <c r="M243" s="35" t="s">
        <v>289</v>
      </c>
      <c r="N243" s="35"/>
      <c r="O243" s="26">
        <v>90</v>
      </c>
      <c r="P243" s="8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84"/>
      <c r="R243" s="84"/>
      <c r="S243" s="84"/>
      <c r="T243" s="85"/>
      <c r="U243" s="47"/>
      <c r="V243" s="47"/>
      <c r="W243" s="48" t="s">
        <v>70</v>
      </c>
      <c r="X243" s="76">
        <v>0.9</v>
      </c>
      <c r="Y243" s="77">
        <f>IFERROR(IF(X243="",0,CEILING((X243/$H243),1)*$H243),"")</f>
        <v>0.99</v>
      </c>
      <c r="Z243" s="52">
        <f>IFERROR(IF(Y243=0,"",ROUNDUP(Y243/H243,0)*0.0059),"")</f>
        <v>5.8999999999999999E-3</v>
      </c>
      <c r="AA243" s="53"/>
      <c r="AB243" s="54"/>
      <c r="AC243" s="55" t="s">
        <v>391</v>
      </c>
      <c r="AG243" s="78"/>
      <c r="AJ243" s="57"/>
      <c r="AK243" s="57">
        <v>0</v>
      </c>
      <c r="BB243" s="59" t="s">
        <v>1</v>
      </c>
      <c r="BM243" s="78">
        <f>IFERROR(X243*I243/H243,"0")</f>
        <v>1.0727272727272728</v>
      </c>
      <c r="BN243" s="78">
        <f>IFERROR(Y243*I243/H243,"0")</f>
        <v>1.18</v>
      </c>
      <c r="BO243" s="78">
        <f>IFERROR(1/J243*(X243/H243),"0")</f>
        <v>4.2087542087542087E-3</v>
      </c>
      <c r="BP243" s="78">
        <f>IFERROR(1/J243*(Y243/H243),"0")</f>
        <v>4.6296296296296294E-3</v>
      </c>
    </row>
    <row r="244" spans="1:68" x14ac:dyDescent="0.2">
      <c r="A244" s="99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100"/>
      <c r="P244" s="91" t="s">
        <v>72</v>
      </c>
      <c r="Q244" s="92"/>
      <c r="R244" s="92"/>
      <c r="S244" s="92"/>
      <c r="T244" s="92"/>
      <c r="U244" s="92"/>
      <c r="V244" s="93"/>
      <c r="W244" s="49" t="s">
        <v>73</v>
      </c>
      <c r="X244" s="79">
        <f>IFERROR(X239/H239,"0")+IFERROR(X240/H240,"0")+IFERROR(X241/H241,"0")+IFERROR(X242/H242,"0")+IFERROR(X243/H243,"0")</f>
        <v>2.8181818181818183</v>
      </c>
      <c r="Y244" s="79">
        <f>IFERROR(Y239/H239,"0")+IFERROR(Y240/H240,"0")+IFERROR(Y241/H241,"0")+IFERROR(Y242/H242,"0")+IFERROR(Y243/H243,"0")</f>
        <v>3</v>
      </c>
      <c r="Z244" s="79">
        <f>IFERROR(IF(Z239="",0,Z239),"0")+IFERROR(IF(Z240="",0,Z240),"0")+IFERROR(IF(Z241="",0,Z241),"0")+IFERROR(IF(Z242="",0,Z242),"0")+IFERROR(IF(Z243="",0,Z243),"0")</f>
        <v>1.77E-2</v>
      </c>
      <c r="AA244" s="80"/>
      <c r="AB244" s="80"/>
      <c r="AC244" s="80"/>
    </row>
    <row r="245" spans="1:68" x14ac:dyDescent="0.2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100"/>
      <c r="P245" s="91" t="s">
        <v>72</v>
      </c>
      <c r="Q245" s="92"/>
      <c r="R245" s="92"/>
      <c r="S245" s="92"/>
      <c r="T245" s="92"/>
      <c r="U245" s="92"/>
      <c r="V245" s="93"/>
      <c r="W245" s="49" t="s">
        <v>70</v>
      </c>
      <c r="X245" s="79">
        <f>IFERROR(SUM(X239:X243),"0")</f>
        <v>2.7</v>
      </c>
      <c r="Y245" s="79">
        <f>IFERROR(SUM(Y239:Y243),"0")</f>
        <v>2.88</v>
      </c>
      <c r="Z245" s="49"/>
      <c r="AA245" s="80"/>
      <c r="AB245" s="80"/>
      <c r="AC245" s="80"/>
    </row>
    <row r="246" spans="1:68" ht="16.5" customHeight="1" x14ac:dyDescent="0.25">
      <c r="A246" s="94" t="s">
        <v>401</v>
      </c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65"/>
      <c r="AB246" s="65"/>
      <c r="AC246" s="65"/>
    </row>
    <row r="247" spans="1:68" ht="14.25" customHeight="1" x14ac:dyDescent="0.25">
      <c r="A247" s="89" t="s">
        <v>103</v>
      </c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66"/>
      <c r="AB247" s="66"/>
      <c r="AC247" s="66"/>
    </row>
    <row r="248" spans="1:68" ht="27" customHeight="1" x14ac:dyDescent="0.25">
      <c r="A248" s="24" t="s">
        <v>402</v>
      </c>
      <c r="B248" s="24" t="s">
        <v>403</v>
      </c>
      <c r="C248" s="25">
        <v>4301011855</v>
      </c>
      <c r="D248" s="86">
        <v>4680115885837</v>
      </c>
      <c r="E248" s="87"/>
      <c r="F248" s="75">
        <v>1.35</v>
      </c>
      <c r="G248" s="26">
        <v>8</v>
      </c>
      <c r="H248" s="75">
        <v>10.8</v>
      </c>
      <c r="I248" s="75">
        <v>11.234999999999999</v>
      </c>
      <c r="J248" s="26">
        <v>64</v>
      </c>
      <c r="K248" s="26" t="s">
        <v>106</v>
      </c>
      <c r="L248" s="26"/>
      <c r="M248" s="35" t="s">
        <v>107</v>
      </c>
      <c r="N248" s="35"/>
      <c r="O248" s="26">
        <v>55</v>
      </c>
      <c r="P248" s="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84"/>
      <c r="R248" s="84"/>
      <c r="S248" s="84"/>
      <c r="T248" s="85"/>
      <c r="U248" s="47"/>
      <c r="V248" s="47"/>
      <c r="W248" s="48" t="s">
        <v>70</v>
      </c>
      <c r="X248" s="76">
        <v>108</v>
      </c>
      <c r="Y248" s="77">
        <f>IFERROR(IF(X248="",0,CEILING((X248/$H248),1)*$H248),"")</f>
        <v>108</v>
      </c>
      <c r="Z248" s="52">
        <f>IFERROR(IF(Y248=0,"",ROUNDUP(Y248/H248,0)*0.01898),"")</f>
        <v>0.1898</v>
      </c>
      <c r="AA248" s="53"/>
      <c r="AB248" s="54"/>
      <c r="AC248" s="55" t="s">
        <v>404</v>
      </c>
      <c r="AG248" s="78"/>
      <c r="AJ248" s="57"/>
      <c r="AK248" s="57">
        <v>0</v>
      </c>
      <c r="BB248" s="59" t="s">
        <v>1</v>
      </c>
      <c r="BM248" s="78">
        <f>IFERROR(X248*I248/H248,"0")</f>
        <v>112.34999999999998</v>
      </c>
      <c r="BN248" s="78">
        <f>IFERROR(Y248*I248/H248,"0")</f>
        <v>112.34999999999998</v>
      </c>
      <c r="BO248" s="78">
        <f>IFERROR(1/J248*(X248/H248),"0")</f>
        <v>0.15625</v>
      </c>
      <c r="BP248" s="78">
        <f>IFERROR(1/J248*(Y248/H248),"0")</f>
        <v>0.15625</v>
      </c>
    </row>
    <row r="249" spans="1:68" ht="27" customHeight="1" x14ac:dyDescent="0.25">
      <c r="A249" s="24" t="s">
        <v>405</v>
      </c>
      <c r="B249" s="24" t="s">
        <v>406</v>
      </c>
      <c r="C249" s="25">
        <v>4301011850</v>
      </c>
      <c r="D249" s="86">
        <v>4680115885806</v>
      </c>
      <c r="E249" s="87"/>
      <c r="F249" s="75">
        <v>1.35</v>
      </c>
      <c r="G249" s="26">
        <v>8</v>
      </c>
      <c r="H249" s="75">
        <v>10.8</v>
      </c>
      <c r="I249" s="75">
        <v>11.234999999999999</v>
      </c>
      <c r="J249" s="26">
        <v>64</v>
      </c>
      <c r="K249" s="26" t="s">
        <v>106</v>
      </c>
      <c r="L249" s="26"/>
      <c r="M249" s="35" t="s">
        <v>107</v>
      </c>
      <c r="N249" s="35"/>
      <c r="O249" s="26">
        <v>55</v>
      </c>
      <c r="P249" s="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84"/>
      <c r="R249" s="84"/>
      <c r="S249" s="84"/>
      <c r="T249" s="85"/>
      <c r="U249" s="47"/>
      <c r="V249" s="47"/>
      <c r="W249" s="48" t="s">
        <v>70</v>
      </c>
      <c r="X249" s="76">
        <v>216</v>
      </c>
      <c r="Y249" s="77">
        <f>IFERROR(IF(X249="",0,CEILING((X249/$H249),1)*$H249),"")</f>
        <v>216</v>
      </c>
      <c r="Z249" s="52">
        <f>IFERROR(IF(Y249=0,"",ROUNDUP(Y249/H249,0)*0.01898),"")</f>
        <v>0.37959999999999999</v>
      </c>
      <c r="AA249" s="53"/>
      <c r="AB249" s="54"/>
      <c r="AC249" s="55" t="s">
        <v>407</v>
      </c>
      <c r="AG249" s="78"/>
      <c r="AJ249" s="57"/>
      <c r="AK249" s="57">
        <v>0</v>
      </c>
      <c r="BB249" s="59" t="s">
        <v>1</v>
      </c>
      <c r="BM249" s="78">
        <f>IFERROR(X249*I249/H249,"0")</f>
        <v>224.69999999999996</v>
      </c>
      <c r="BN249" s="78">
        <f>IFERROR(Y249*I249/H249,"0")</f>
        <v>224.69999999999996</v>
      </c>
      <c r="BO249" s="78">
        <f>IFERROR(1/J249*(X249/H249),"0")</f>
        <v>0.3125</v>
      </c>
      <c r="BP249" s="78">
        <f>IFERROR(1/J249*(Y249/H249),"0")</f>
        <v>0.3125</v>
      </c>
    </row>
    <row r="250" spans="1:68" ht="37.5" customHeight="1" x14ac:dyDescent="0.25">
      <c r="A250" s="24" t="s">
        <v>408</v>
      </c>
      <c r="B250" s="24" t="s">
        <v>409</v>
      </c>
      <c r="C250" s="25">
        <v>4301011853</v>
      </c>
      <c r="D250" s="86">
        <v>4680115885851</v>
      </c>
      <c r="E250" s="87"/>
      <c r="F250" s="75">
        <v>1.35</v>
      </c>
      <c r="G250" s="26">
        <v>8</v>
      </c>
      <c r="H250" s="75">
        <v>10.8</v>
      </c>
      <c r="I250" s="75">
        <v>11.234999999999999</v>
      </c>
      <c r="J250" s="26">
        <v>64</v>
      </c>
      <c r="K250" s="26" t="s">
        <v>106</v>
      </c>
      <c r="L250" s="26"/>
      <c r="M250" s="35" t="s">
        <v>107</v>
      </c>
      <c r="N250" s="35"/>
      <c r="O250" s="26">
        <v>55</v>
      </c>
      <c r="P250" s="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84"/>
      <c r="R250" s="84"/>
      <c r="S250" s="84"/>
      <c r="T250" s="85"/>
      <c r="U250" s="47"/>
      <c r="V250" s="47"/>
      <c r="W250" s="48" t="s">
        <v>70</v>
      </c>
      <c r="X250" s="76">
        <v>64.8</v>
      </c>
      <c r="Y250" s="77">
        <f>IFERROR(IF(X250="",0,CEILING((X250/$H250),1)*$H250),"")</f>
        <v>64.800000000000011</v>
      </c>
      <c r="Z250" s="52">
        <f>IFERROR(IF(Y250=0,"",ROUNDUP(Y250/H250,0)*0.01898),"")</f>
        <v>0.11388000000000001</v>
      </c>
      <c r="AA250" s="53"/>
      <c r="AB250" s="54"/>
      <c r="AC250" s="55" t="s">
        <v>410</v>
      </c>
      <c r="AG250" s="78"/>
      <c r="AJ250" s="57"/>
      <c r="AK250" s="57">
        <v>0</v>
      </c>
      <c r="BB250" s="59" t="s">
        <v>1</v>
      </c>
      <c r="BM250" s="78">
        <f>IFERROR(X250*I250/H250,"0")</f>
        <v>67.409999999999982</v>
      </c>
      <c r="BN250" s="78">
        <f>IFERROR(Y250*I250/H250,"0")</f>
        <v>67.410000000000011</v>
      </c>
      <c r="BO250" s="78">
        <f>IFERROR(1/J250*(X250/H250),"0")</f>
        <v>9.3749999999999986E-2</v>
      </c>
      <c r="BP250" s="78">
        <f>IFERROR(1/J250*(Y250/H250),"0")</f>
        <v>9.3750000000000014E-2</v>
      </c>
    </row>
    <row r="251" spans="1:68" ht="27" customHeight="1" x14ac:dyDescent="0.25">
      <c r="A251" s="24" t="s">
        <v>411</v>
      </c>
      <c r="B251" s="24" t="s">
        <v>412</v>
      </c>
      <c r="C251" s="25">
        <v>4301011852</v>
      </c>
      <c r="D251" s="86">
        <v>4680115885844</v>
      </c>
      <c r="E251" s="87"/>
      <c r="F251" s="75">
        <v>0.4</v>
      </c>
      <c r="G251" s="26">
        <v>10</v>
      </c>
      <c r="H251" s="75">
        <v>4</v>
      </c>
      <c r="I251" s="75">
        <v>4.21</v>
      </c>
      <c r="J251" s="26">
        <v>132</v>
      </c>
      <c r="K251" s="26" t="s">
        <v>111</v>
      </c>
      <c r="L251" s="26"/>
      <c r="M251" s="35" t="s">
        <v>107</v>
      </c>
      <c r="N251" s="35"/>
      <c r="O251" s="26">
        <v>55</v>
      </c>
      <c r="P251" s="8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84"/>
      <c r="R251" s="84"/>
      <c r="S251" s="84"/>
      <c r="T251" s="85"/>
      <c r="U251" s="47"/>
      <c r="V251" s="47"/>
      <c r="W251" s="48" t="s">
        <v>70</v>
      </c>
      <c r="X251" s="76">
        <v>0</v>
      </c>
      <c r="Y251" s="77">
        <f>IFERROR(IF(X251="",0,CEILING((X251/$H251),1)*$H251),"")</f>
        <v>0</v>
      </c>
      <c r="Z251" s="52" t="str">
        <f>IFERROR(IF(Y251=0,"",ROUNDUP(Y251/H251,0)*0.00902),"")</f>
        <v/>
      </c>
      <c r="AA251" s="53"/>
      <c r="AB251" s="54"/>
      <c r="AC251" s="55" t="s">
        <v>413</v>
      </c>
      <c r="AG251" s="78"/>
      <c r="AJ251" s="57"/>
      <c r="AK251" s="57">
        <v>0</v>
      </c>
      <c r="BB251" s="59" t="s">
        <v>1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24" t="s">
        <v>414</v>
      </c>
      <c r="B252" s="24" t="s">
        <v>415</v>
      </c>
      <c r="C252" s="25">
        <v>4301011851</v>
      </c>
      <c r="D252" s="86">
        <v>4680115885820</v>
      </c>
      <c r="E252" s="87"/>
      <c r="F252" s="75">
        <v>0.4</v>
      </c>
      <c r="G252" s="26">
        <v>10</v>
      </c>
      <c r="H252" s="75">
        <v>4</v>
      </c>
      <c r="I252" s="75">
        <v>4.21</v>
      </c>
      <c r="J252" s="26">
        <v>132</v>
      </c>
      <c r="K252" s="26" t="s">
        <v>111</v>
      </c>
      <c r="L252" s="26"/>
      <c r="M252" s="35" t="s">
        <v>107</v>
      </c>
      <c r="N252" s="35"/>
      <c r="O252" s="26">
        <v>55</v>
      </c>
      <c r="P252" s="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84"/>
      <c r="R252" s="84"/>
      <c r="S252" s="84"/>
      <c r="T252" s="85"/>
      <c r="U252" s="47"/>
      <c r="V252" s="47"/>
      <c r="W252" s="48" t="s">
        <v>70</v>
      </c>
      <c r="X252" s="76">
        <v>20</v>
      </c>
      <c r="Y252" s="77">
        <f>IFERROR(IF(X252="",0,CEILING((X252/$H252),1)*$H252),"")</f>
        <v>20</v>
      </c>
      <c r="Z252" s="52">
        <f>IFERROR(IF(Y252=0,"",ROUNDUP(Y252/H252,0)*0.00902),"")</f>
        <v>4.5100000000000001E-2</v>
      </c>
      <c r="AA252" s="53"/>
      <c r="AB252" s="54"/>
      <c r="AC252" s="55" t="s">
        <v>416</v>
      </c>
      <c r="AG252" s="78"/>
      <c r="AJ252" s="57"/>
      <c r="AK252" s="57">
        <v>0</v>
      </c>
      <c r="BB252" s="59" t="s">
        <v>1</v>
      </c>
      <c r="BM252" s="78">
        <f>IFERROR(X252*I252/H252,"0")</f>
        <v>21.05</v>
      </c>
      <c r="BN252" s="78">
        <f>IFERROR(Y252*I252/H252,"0")</f>
        <v>21.05</v>
      </c>
      <c r="BO252" s="78">
        <f>IFERROR(1/J252*(X252/H252),"0")</f>
        <v>3.787878787878788E-2</v>
      </c>
      <c r="BP252" s="78">
        <f>IFERROR(1/J252*(Y252/H252),"0")</f>
        <v>3.787878787878788E-2</v>
      </c>
    </row>
    <row r="253" spans="1:68" x14ac:dyDescent="0.2">
      <c r="A253" s="99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100"/>
      <c r="P253" s="91" t="s">
        <v>72</v>
      </c>
      <c r="Q253" s="92"/>
      <c r="R253" s="92"/>
      <c r="S253" s="92"/>
      <c r="T253" s="92"/>
      <c r="U253" s="92"/>
      <c r="V253" s="93"/>
      <c r="W253" s="49" t="s">
        <v>73</v>
      </c>
      <c r="X253" s="79">
        <f>IFERROR(X248/H248,"0")+IFERROR(X249/H249,"0")+IFERROR(X250/H250,"0")+IFERROR(X251/H251,"0")+IFERROR(X252/H252,"0")</f>
        <v>41</v>
      </c>
      <c r="Y253" s="79">
        <f>IFERROR(Y248/H248,"0")+IFERROR(Y249/H249,"0")+IFERROR(Y250/H250,"0")+IFERROR(Y251/H251,"0")+IFERROR(Y252/H252,"0")</f>
        <v>41</v>
      </c>
      <c r="Z253" s="79">
        <f>IFERROR(IF(Z248="",0,Z248),"0")+IFERROR(IF(Z249="",0,Z249),"0")+IFERROR(IF(Z250="",0,Z250),"0")+IFERROR(IF(Z251="",0,Z251),"0")+IFERROR(IF(Z252="",0,Z252),"0")</f>
        <v>0.72838000000000003</v>
      </c>
      <c r="AA253" s="80"/>
      <c r="AB253" s="80"/>
      <c r="AC253" s="80"/>
    </row>
    <row r="254" spans="1:68" x14ac:dyDescent="0.2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100"/>
      <c r="P254" s="91" t="s">
        <v>72</v>
      </c>
      <c r="Q254" s="92"/>
      <c r="R254" s="92"/>
      <c r="S254" s="92"/>
      <c r="T254" s="92"/>
      <c r="U254" s="92"/>
      <c r="V254" s="93"/>
      <c r="W254" s="49" t="s">
        <v>70</v>
      </c>
      <c r="X254" s="79">
        <f>IFERROR(SUM(X248:X252),"0")</f>
        <v>408.8</v>
      </c>
      <c r="Y254" s="79">
        <f>IFERROR(SUM(Y248:Y252),"0")</f>
        <v>408.8</v>
      </c>
      <c r="Z254" s="49"/>
      <c r="AA254" s="80"/>
      <c r="AB254" s="80"/>
      <c r="AC254" s="80"/>
    </row>
    <row r="255" spans="1:68" ht="16.5" customHeight="1" x14ac:dyDescent="0.25">
      <c r="A255" s="94" t="s">
        <v>417</v>
      </c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65"/>
      <c r="AB255" s="65"/>
      <c r="AC255" s="65"/>
    </row>
    <row r="256" spans="1:68" ht="14.25" customHeight="1" x14ac:dyDescent="0.25">
      <c r="A256" s="89" t="s">
        <v>103</v>
      </c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66"/>
      <c r="AB256" s="66"/>
      <c r="AC256" s="66"/>
    </row>
    <row r="257" spans="1:68" ht="27" customHeight="1" x14ac:dyDescent="0.25">
      <c r="A257" s="24" t="s">
        <v>418</v>
      </c>
      <c r="B257" s="24" t="s">
        <v>419</v>
      </c>
      <c r="C257" s="25">
        <v>4301011223</v>
      </c>
      <c r="D257" s="86">
        <v>4607091383423</v>
      </c>
      <c r="E257" s="87"/>
      <c r="F257" s="75">
        <v>1.35</v>
      </c>
      <c r="G257" s="26">
        <v>8</v>
      </c>
      <c r="H257" s="75">
        <v>10.8</v>
      </c>
      <c r="I257" s="75">
        <v>11.331</v>
      </c>
      <c r="J257" s="26">
        <v>64</v>
      </c>
      <c r="K257" s="26" t="s">
        <v>106</v>
      </c>
      <c r="L257" s="26"/>
      <c r="M257" s="35" t="s">
        <v>78</v>
      </c>
      <c r="N257" s="35"/>
      <c r="O257" s="26">
        <v>35</v>
      </c>
      <c r="P257" s="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84"/>
      <c r="R257" s="84"/>
      <c r="S257" s="84"/>
      <c r="T257" s="85"/>
      <c r="U257" s="47"/>
      <c r="V257" s="47"/>
      <c r="W257" s="48" t="s">
        <v>70</v>
      </c>
      <c r="X257" s="76">
        <v>0</v>
      </c>
      <c r="Y257" s="77">
        <f>IFERROR(IF(X257="",0,CEILING((X257/$H257),1)*$H257),"")</f>
        <v>0</v>
      </c>
      <c r="Z257" s="52" t="str">
        <f>IFERROR(IF(Y257=0,"",ROUNDUP(Y257/H257,0)*0.01898),"")</f>
        <v/>
      </c>
      <c r="AA257" s="53"/>
      <c r="AB257" s="54"/>
      <c r="AC257" s="55" t="s">
        <v>108</v>
      </c>
      <c r="AG257" s="78"/>
      <c r="AJ257" s="57"/>
      <c r="AK257" s="57">
        <v>0</v>
      </c>
      <c r="BB257" s="59" t="s">
        <v>1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24" t="s">
        <v>420</v>
      </c>
      <c r="B258" s="24" t="s">
        <v>421</v>
      </c>
      <c r="C258" s="25">
        <v>4301012099</v>
      </c>
      <c r="D258" s="86">
        <v>4680115885691</v>
      </c>
      <c r="E258" s="87"/>
      <c r="F258" s="75">
        <v>1.35</v>
      </c>
      <c r="G258" s="26">
        <v>8</v>
      </c>
      <c r="H258" s="75">
        <v>10.8</v>
      </c>
      <c r="I258" s="75">
        <v>11.234999999999999</v>
      </c>
      <c r="J258" s="26">
        <v>64</v>
      </c>
      <c r="K258" s="26" t="s">
        <v>106</v>
      </c>
      <c r="L258" s="26"/>
      <c r="M258" s="35" t="s">
        <v>78</v>
      </c>
      <c r="N258" s="35"/>
      <c r="O258" s="26">
        <v>30</v>
      </c>
      <c r="P258" s="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84"/>
      <c r="R258" s="84"/>
      <c r="S258" s="84"/>
      <c r="T258" s="85"/>
      <c r="U258" s="47"/>
      <c r="V258" s="47"/>
      <c r="W258" s="48" t="s">
        <v>70</v>
      </c>
      <c r="X258" s="76">
        <v>0</v>
      </c>
      <c r="Y258" s="77">
        <f>IFERROR(IF(X258="",0,CEILING((X258/$H258),1)*$H258),"")</f>
        <v>0</v>
      </c>
      <c r="Z258" s="52" t="str">
        <f>IFERROR(IF(Y258=0,"",ROUNDUP(Y258/H258,0)*0.01898),"")</f>
        <v/>
      </c>
      <c r="AA258" s="53"/>
      <c r="AB258" s="54"/>
      <c r="AC258" s="55" t="s">
        <v>422</v>
      </c>
      <c r="AG258" s="78"/>
      <c r="AJ258" s="57"/>
      <c r="AK258" s="57">
        <v>0</v>
      </c>
      <c r="BB258" s="59" t="s">
        <v>1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24" t="s">
        <v>423</v>
      </c>
      <c r="B259" s="24" t="s">
        <v>424</v>
      </c>
      <c r="C259" s="25">
        <v>4301012098</v>
      </c>
      <c r="D259" s="86">
        <v>4680115885660</v>
      </c>
      <c r="E259" s="87"/>
      <c r="F259" s="75">
        <v>1.35</v>
      </c>
      <c r="G259" s="26">
        <v>8</v>
      </c>
      <c r="H259" s="75">
        <v>10.8</v>
      </c>
      <c r="I259" s="75">
        <v>11.234999999999999</v>
      </c>
      <c r="J259" s="26">
        <v>64</v>
      </c>
      <c r="K259" s="26" t="s">
        <v>106</v>
      </c>
      <c r="L259" s="26"/>
      <c r="M259" s="35" t="s">
        <v>78</v>
      </c>
      <c r="N259" s="35"/>
      <c r="O259" s="26">
        <v>35</v>
      </c>
      <c r="P259" s="8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84"/>
      <c r="R259" s="84"/>
      <c r="S259" s="84"/>
      <c r="T259" s="85"/>
      <c r="U259" s="47"/>
      <c r="V259" s="47"/>
      <c r="W259" s="48" t="s">
        <v>70</v>
      </c>
      <c r="X259" s="76">
        <v>0</v>
      </c>
      <c r="Y259" s="77">
        <f>IFERROR(IF(X259="",0,CEILING((X259/$H259),1)*$H259),"")</f>
        <v>0</v>
      </c>
      <c r="Z259" s="52" t="str">
        <f>IFERROR(IF(Y259=0,"",ROUNDUP(Y259/H259,0)*0.01898),"")</f>
        <v/>
      </c>
      <c r="AA259" s="53"/>
      <c r="AB259" s="54"/>
      <c r="AC259" s="55" t="s">
        <v>425</v>
      </c>
      <c r="AG259" s="78"/>
      <c r="AJ259" s="57"/>
      <c r="AK259" s="57">
        <v>0</v>
      </c>
      <c r="BB259" s="59" t="s">
        <v>1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 x14ac:dyDescent="0.25">
      <c r="A260" s="24" t="s">
        <v>426</v>
      </c>
      <c r="B260" s="24" t="s">
        <v>427</v>
      </c>
      <c r="C260" s="25">
        <v>4301012176</v>
      </c>
      <c r="D260" s="86">
        <v>4680115886773</v>
      </c>
      <c r="E260" s="87"/>
      <c r="F260" s="75">
        <v>0.9</v>
      </c>
      <c r="G260" s="26">
        <v>10</v>
      </c>
      <c r="H260" s="75">
        <v>9</v>
      </c>
      <c r="I260" s="75">
        <v>9.4350000000000005</v>
      </c>
      <c r="J260" s="26">
        <v>64</v>
      </c>
      <c r="K260" s="26" t="s">
        <v>106</v>
      </c>
      <c r="L260" s="26"/>
      <c r="M260" s="35" t="s">
        <v>107</v>
      </c>
      <c r="N260" s="35"/>
      <c r="O260" s="26">
        <v>31</v>
      </c>
      <c r="P260" s="123" t="s">
        <v>428</v>
      </c>
      <c r="Q260" s="84"/>
      <c r="R260" s="84"/>
      <c r="S260" s="84"/>
      <c r="T260" s="85"/>
      <c r="U260" s="47"/>
      <c r="V260" s="47"/>
      <c r="W260" s="48" t="s">
        <v>70</v>
      </c>
      <c r="X260" s="76">
        <v>0</v>
      </c>
      <c r="Y260" s="77">
        <f>IFERROR(IF(X260="",0,CEILING((X260/$H260),1)*$H260),"")</f>
        <v>0</v>
      </c>
      <c r="Z260" s="52" t="str">
        <f>IFERROR(IF(Y260=0,"",ROUNDUP(Y260/H260,0)*0.01898),"")</f>
        <v/>
      </c>
      <c r="AA260" s="53"/>
      <c r="AB260" s="54"/>
      <c r="AC260" s="55" t="s">
        <v>429</v>
      </c>
      <c r="AG260" s="78"/>
      <c r="AJ260" s="57"/>
      <c r="AK260" s="57">
        <v>0</v>
      </c>
      <c r="BB260" s="59" t="s">
        <v>1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99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100"/>
      <c r="P261" s="91" t="s">
        <v>72</v>
      </c>
      <c r="Q261" s="92"/>
      <c r="R261" s="92"/>
      <c r="S261" s="92"/>
      <c r="T261" s="92"/>
      <c r="U261" s="92"/>
      <c r="V261" s="93"/>
      <c r="W261" s="49" t="s">
        <v>73</v>
      </c>
      <c r="X261" s="79">
        <f>IFERROR(X257/H257,"0")+IFERROR(X258/H258,"0")+IFERROR(X259/H259,"0")+IFERROR(X260/H260,"0")</f>
        <v>0</v>
      </c>
      <c r="Y261" s="79">
        <f>IFERROR(Y257/H257,"0")+IFERROR(Y258/H258,"0")+IFERROR(Y259/H259,"0")+IFERROR(Y260/H260,"0")</f>
        <v>0</v>
      </c>
      <c r="Z261" s="79">
        <f>IFERROR(IF(Z257="",0,Z257),"0")+IFERROR(IF(Z258="",0,Z258),"0")+IFERROR(IF(Z259="",0,Z259),"0")+IFERROR(IF(Z260="",0,Z260),"0")</f>
        <v>0</v>
      </c>
      <c r="AA261" s="80"/>
      <c r="AB261" s="80"/>
      <c r="AC261" s="80"/>
    </row>
    <row r="262" spans="1:68" x14ac:dyDescent="0.2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100"/>
      <c r="P262" s="91" t="s">
        <v>72</v>
      </c>
      <c r="Q262" s="92"/>
      <c r="R262" s="92"/>
      <c r="S262" s="92"/>
      <c r="T262" s="92"/>
      <c r="U262" s="92"/>
      <c r="V262" s="93"/>
      <c r="W262" s="49" t="s">
        <v>70</v>
      </c>
      <c r="X262" s="79">
        <f>IFERROR(SUM(X257:X260),"0")</f>
        <v>0</v>
      </c>
      <c r="Y262" s="79">
        <f>IFERROR(SUM(Y257:Y260),"0")</f>
        <v>0</v>
      </c>
      <c r="Z262" s="49"/>
      <c r="AA262" s="80"/>
      <c r="AB262" s="80"/>
      <c r="AC262" s="80"/>
    </row>
    <row r="263" spans="1:68" ht="16.5" customHeight="1" x14ac:dyDescent="0.25">
      <c r="A263" s="94" t="s">
        <v>430</v>
      </c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65"/>
      <c r="AB263" s="65"/>
      <c r="AC263" s="65"/>
    </row>
    <row r="264" spans="1:68" ht="14.25" customHeight="1" x14ac:dyDescent="0.25">
      <c r="A264" s="89" t="s">
        <v>74</v>
      </c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66"/>
      <c r="AB264" s="66"/>
      <c r="AC264" s="66"/>
    </row>
    <row r="265" spans="1:68" ht="27" customHeight="1" x14ac:dyDescent="0.25">
      <c r="A265" s="24" t="s">
        <v>431</v>
      </c>
      <c r="B265" s="24" t="s">
        <v>432</v>
      </c>
      <c r="C265" s="25">
        <v>4301051893</v>
      </c>
      <c r="D265" s="86">
        <v>4680115886186</v>
      </c>
      <c r="E265" s="87"/>
      <c r="F265" s="75">
        <v>0.3</v>
      </c>
      <c r="G265" s="26">
        <v>6</v>
      </c>
      <c r="H265" s="75">
        <v>1.8</v>
      </c>
      <c r="I265" s="75">
        <v>1.98</v>
      </c>
      <c r="J265" s="26">
        <v>182</v>
      </c>
      <c r="K265" s="26" t="s">
        <v>77</v>
      </c>
      <c r="L265" s="26"/>
      <c r="M265" s="35" t="s">
        <v>78</v>
      </c>
      <c r="N265" s="35"/>
      <c r="O265" s="26">
        <v>45</v>
      </c>
      <c r="P265" s="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84"/>
      <c r="R265" s="84"/>
      <c r="S265" s="84"/>
      <c r="T265" s="85"/>
      <c r="U265" s="47"/>
      <c r="V265" s="47"/>
      <c r="W265" s="48" t="s">
        <v>70</v>
      </c>
      <c r="X265" s="76">
        <v>0</v>
      </c>
      <c r="Y265" s="77">
        <f>IFERROR(IF(X265="",0,CEILING((X265/$H265),1)*$H265),"")</f>
        <v>0</v>
      </c>
      <c r="Z265" s="52" t="str">
        <f>IFERROR(IF(Y265=0,"",ROUNDUP(Y265/H265,0)*0.00651),"")</f>
        <v/>
      </c>
      <c r="AA265" s="53"/>
      <c r="AB265" s="54"/>
      <c r="AC265" s="55" t="s">
        <v>433</v>
      </c>
      <c r="AG265" s="78"/>
      <c r="AJ265" s="57"/>
      <c r="AK265" s="57">
        <v>0</v>
      </c>
      <c r="BB265" s="59" t="s">
        <v>1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24" t="s">
        <v>434</v>
      </c>
      <c r="B266" s="24" t="s">
        <v>435</v>
      </c>
      <c r="C266" s="25">
        <v>4301051795</v>
      </c>
      <c r="D266" s="86">
        <v>4680115881228</v>
      </c>
      <c r="E266" s="87"/>
      <c r="F266" s="75">
        <v>0.4</v>
      </c>
      <c r="G266" s="26">
        <v>6</v>
      </c>
      <c r="H266" s="75">
        <v>2.4</v>
      </c>
      <c r="I266" s="75">
        <v>2.6520000000000001</v>
      </c>
      <c r="J266" s="26">
        <v>182</v>
      </c>
      <c r="K266" s="26" t="s">
        <v>77</v>
      </c>
      <c r="L266" s="26"/>
      <c r="M266" s="35" t="s">
        <v>93</v>
      </c>
      <c r="N266" s="35"/>
      <c r="O266" s="26">
        <v>40</v>
      </c>
      <c r="P266" s="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84"/>
      <c r="R266" s="84"/>
      <c r="S266" s="84"/>
      <c r="T266" s="85"/>
      <c r="U266" s="47"/>
      <c r="V266" s="47"/>
      <c r="W266" s="48" t="s">
        <v>70</v>
      </c>
      <c r="X266" s="76">
        <v>12</v>
      </c>
      <c r="Y266" s="77">
        <f>IFERROR(IF(X266="",0,CEILING((X266/$H266),1)*$H266),"")</f>
        <v>12</v>
      </c>
      <c r="Z266" s="52">
        <f>IFERROR(IF(Y266=0,"",ROUNDUP(Y266/H266,0)*0.00651),"")</f>
        <v>3.2550000000000003E-2</v>
      </c>
      <c r="AA266" s="53"/>
      <c r="AB266" s="54"/>
      <c r="AC266" s="55" t="s">
        <v>436</v>
      </c>
      <c r="AG266" s="78"/>
      <c r="AJ266" s="57"/>
      <c r="AK266" s="57">
        <v>0</v>
      </c>
      <c r="BB266" s="59" t="s">
        <v>1</v>
      </c>
      <c r="BM266" s="78">
        <f>IFERROR(X266*I266/H266,"0")</f>
        <v>13.260000000000002</v>
      </c>
      <c r="BN266" s="78">
        <f>IFERROR(Y266*I266/H266,"0")</f>
        <v>13.260000000000002</v>
      </c>
      <c r="BO266" s="78">
        <f>IFERROR(1/J266*(X266/H266),"0")</f>
        <v>2.7472527472527476E-2</v>
      </c>
      <c r="BP266" s="78">
        <f>IFERROR(1/J266*(Y266/H266),"0")</f>
        <v>2.7472527472527476E-2</v>
      </c>
    </row>
    <row r="267" spans="1:68" ht="37.5" customHeight="1" x14ac:dyDescent="0.25">
      <c r="A267" s="24" t="s">
        <v>437</v>
      </c>
      <c r="B267" s="24" t="s">
        <v>438</v>
      </c>
      <c r="C267" s="25">
        <v>4301051388</v>
      </c>
      <c r="D267" s="86">
        <v>4680115881211</v>
      </c>
      <c r="E267" s="87"/>
      <c r="F267" s="75">
        <v>0.4</v>
      </c>
      <c r="G267" s="26">
        <v>6</v>
      </c>
      <c r="H267" s="75">
        <v>2.4</v>
      </c>
      <c r="I267" s="75">
        <v>2.58</v>
      </c>
      <c r="J267" s="26">
        <v>182</v>
      </c>
      <c r="K267" s="26" t="s">
        <v>77</v>
      </c>
      <c r="L267" s="26" t="s">
        <v>112</v>
      </c>
      <c r="M267" s="35" t="s">
        <v>78</v>
      </c>
      <c r="N267" s="35"/>
      <c r="O267" s="26">
        <v>45</v>
      </c>
      <c r="P267" s="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84"/>
      <c r="R267" s="84"/>
      <c r="S267" s="84"/>
      <c r="T267" s="85"/>
      <c r="U267" s="47"/>
      <c r="V267" s="47"/>
      <c r="W267" s="48" t="s">
        <v>70</v>
      </c>
      <c r="X267" s="76">
        <v>12</v>
      </c>
      <c r="Y267" s="77">
        <f>IFERROR(IF(X267="",0,CEILING((X267/$H267),1)*$H267),"")</f>
        <v>12</v>
      </c>
      <c r="Z267" s="52">
        <f>IFERROR(IF(Y267=0,"",ROUNDUP(Y267/H267,0)*0.00651),"")</f>
        <v>3.2550000000000003E-2</v>
      </c>
      <c r="AA267" s="53"/>
      <c r="AB267" s="54"/>
      <c r="AC267" s="55" t="s">
        <v>439</v>
      </c>
      <c r="AG267" s="78"/>
      <c r="AJ267" s="57" t="s">
        <v>113</v>
      </c>
      <c r="AK267" s="57">
        <v>33.6</v>
      </c>
      <c r="BB267" s="59" t="s">
        <v>1</v>
      </c>
      <c r="BM267" s="78">
        <f>IFERROR(X267*I267/H267,"0")</f>
        <v>12.9</v>
      </c>
      <c r="BN267" s="78">
        <f>IFERROR(Y267*I267/H267,"0")</f>
        <v>12.9</v>
      </c>
      <c r="BO267" s="78">
        <f>IFERROR(1/J267*(X267/H267),"0")</f>
        <v>2.7472527472527476E-2</v>
      </c>
      <c r="BP267" s="78">
        <f>IFERROR(1/J267*(Y267/H267),"0")</f>
        <v>2.7472527472527476E-2</v>
      </c>
    </row>
    <row r="268" spans="1:68" x14ac:dyDescent="0.2">
      <c r="A268" s="99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100"/>
      <c r="P268" s="91" t="s">
        <v>72</v>
      </c>
      <c r="Q268" s="92"/>
      <c r="R268" s="92"/>
      <c r="S268" s="92"/>
      <c r="T268" s="92"/>
      <c r="U268" s="92"/>
      <c r="V268" s="93"/>
      <c r="W268" s="49" t="s">
        <v>73</v>
      </c>
      <c r="X268" s="79">
        <f>IFERROR(X265/H265,"0")+IFERROR(X266/H266,"0")+IFERROR(X267/H267,"0")</f>
        <v>10</v>
      </c>
      <c r="Y268" s="79">
        <f>IFERROR(Y265/H265,"0")+IFERROR(Y266/H266,"0")+IFERROR(Y267/H267,"0")</f>
        <v>10</v>
      </c>
      <c r="Z268" s="79">
        <f>IFERROR(IF(Z265="",0,Z265),"0")+IFERROR(IF(Z266="",0,Z266),"0")+IFERROR(IF(Z267="",0,Z267),"0")</f>
        <v>6.5100000000000005E-2</v>
      </c>
      <c r="AA268" s="80"/>
      <c r="AB268" s="80"/>
      <c r="AC268" s="80"/>
    </row>
    <row r="269" spans="1:68" x14ac:dyDescent="0.2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100"/>
      <c r="P269" s="91" t="s">
        <v>72</v>
      </c>
      <c r="Q269" s="92"/>
      <c r="R269" s="92"/>
      <c r="S269" s="92"/>
      <c r="T269" s="92"/>
      <c r="U269" s="92"/>
      <c r="V269" s="93"/>
      <c r="W269" s="49" t="s">
        <v>70</v>
      </c>
      <c r="X269" s="79">
        <f>IFERROR(SUM(X265:X267),"0")</f>
        <v>24</v>
      </c>
      <c r="Y269" s="79">
        <f>IFERROR(SUM(Y265:Y267),"0")</f>
        <v>24</v>
      </c>
      <c r="Z269" s="49"/>
      <c r="AA269" s="80"/>
      <c r="AB269" s="80"/>
      <c r="AC269" s="80"/>
    </row>
    <row r="270" spans="1:68" ht="16.5" customHeight="1" x14ac:dyDescent="0.25">
      <c r="A270" s="94" t="s">
        <v>440</v>
      </c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65"/>
      <c r="AB270" s="65"/>
      <c r="AC270" s="65"/>
    </row>
    <row r="271" spans="1:68" ht="14.25" customHeight="1" x14ac:dyDescent="0.25">
      <c r="A271" s="89" t="s">
        <v>64</v>
      </c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66"/>
      <c r="AB271" s="66"/>
      <c r="AC271" s="66"/>
    </row>
    <row r="272" spans="1:68" ht="27" customHeight="1" x14ac:dyDescent="0.25">
      <c r="A272" s="24" t="s">
        <v>441</v>
      </c>
      <c r="B272" s="24" t="s">
        <v>442</v>
      </c>
      <c r="C272" s="25">
        <v>4301031307</v>
      </c>
      <c r="D272" s="86">
        <v>4680115880344</v>
      </c>
      <c r="E272" s="87"/>
      <c r="F272" s="75">
        <v>0.28000000000000003</v>
      </c>
      <c r="G272" s="26">
        <v>6</v>
      </c>
      <c r="H272" s="75">
        <v>1.68</v>
      </c>
      <c r="I272" s="75">
        <v>1.78</v>
      </c>
      <c r="J272" s="26">
        <v>234</v>
      </c>
      <c r="K272" s="26" t="s">
        <v>67</v>
      </c>
      <c r="L272" s="26"/>
      <c r="M272" s="35" t="s">
        <v>68</v>
      </c>
      <c r="N272" s="35"/>
      <c r="O272" s="26">
        <v>40</v>
      </c>
      <c r="P272" s="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84"/>
      <c r="R272" s="84"/>
      <c r="S272" s="84"/>
      <c r="T272" s="85"/>
      <c r="U272" s="47"/>
      <c r="V272" s="47"/>
      <c r="W272" s="48" t="s">
        <v>70</v>
      </c>
      <c r="X272" s="76">
        <v>8.4</v>
      </c>
      <c r="Y272" s="77">
        <f>IFERROR(IF(X272="",0,CEILING((X272/$H272),1)*$H272),"")</f>
        <v>8.4</v>
      </c>
      <c r="Z272" s="52">
        <f>IFERROR(IF(Y272=0,"",ROUNDUP(Y272/H272,0)*0.00502),"")</f>
        <v>2.5100000000000001E-2</v>
      </c>
      <c r="AA272" s="53"/>
      <c r="AB272" s="54"/>
      <c r="AC272" s="55" t="s">
        <v>443</v>
      </c>
      <c r="AG272" s="78"/>
      <c r="AJ272" s="57"/>
      <c r="AK272" s="57">
        <v>0</v>
      </c>
      <c r="BB272" s="59" t="s">
        <v>1</v>
      </c>
      <c r="BM272" s="78">
        <f>IFERROR(X272*I272/H272,"0")</f>
        <v>8.9000000000000021</v>
      </c>
      <c r="BN272" s="78">
        <f>IFERROR(Y272*I272/H272,"0")</f>
        <v>8.9000000000000021</v>
      </c>
      <c r="BO272" s="78">
        <f>IFERROR(1/J272*(X272/H272),"0")</f>
        <v>2.1367521367521368E-2</v>
      </c>
      <c r="BP272" s="78">
        <f>IFERROR(1/J272*(Y272/H272),"0")</f>
        <v>2.1367521367521368E-2</v>
      </c>
    </row>
    <row r="273" spans="1:68" x14ac:dyDescent="0.2">
      <c r="A273" s="99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100"/>
      <c r="P273" s="91" t="s">
        <v>72</v>
      </c>
      <c r="Q273" s="92"/>
      <c r="R273" s="92"/>
      <c r="S273" s="92"/>
      <c r="T273" s="92"/>
      <c r="U273" s="92"/>
      <c r="V273" s="93"/>
      <c r="W273" s="49" t="s">
        <v>73</v>
      </c>
      <c r="X273" s="79">
        <f>IFERROR(X272/H272,"0")</f>
        <v>5</v>
      </c>
      <c r="Y273" s="79">
        <f>IFERROR(Y272/H272,"0")</f>
        <v>5</v>
      </c>
      <c r="Z273" s="79">
        <f>IFERROR(IF(Z272="",0,Z272),"0")</f>
        <v>2.5100000000000001E-2</v>
      </c>
      <c r="AA273" s="80"/>
      <c r="AB273" s="80"/>
      <c r="AC273" s="80"/>
    </row>
    <row r="274" spans="1:68" x14ac:dyDescent="0.2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100"/>
      <c r="P274" s="91" t="s">
        <v>72</v>
      </c>
      <c r="Q274" s="92"/>
      <c r="R274" s="92"/>
      <c r="S274" s="92"/>
      <c r="T274" s="92"/>
      <c r="U274" s="92"/>
      <c r="V274" s="93"/>
      <c r="W274" s="49" t="s">
        <v>70</v>
      </c>
      <c r="X274" s="79">
        <f>IFERROR(SUM(X272:X272),"0")</f>
        <v>8.4</v>
      </c>
      <c r="Y274" s="79">
        <f>IFERROR(SUM(Y272:Y272),"0")</f>
        <v>8.4</v>
      </c>
      <c r="Z274" s="49"/>
      <c r="AA274" s="80"/>
      <c r="AB274" s="80"/>
      <c r="AC274" s="80"/>
    </row>
    <row r="275" spans="1:68" ht="14.25" customHeight="1" x14ac:dyDescent="0.25">
      <c r="A275" s="89" t="s">
        <v>74</v>
      </c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66"/>
      <c r="AB275" s="66"/>
      <c r="AC275" s="66"/>
    </row>
    <row r="276" spans="1:68" ht="27" customHeight="1" x14ac:dyDescent="0.25">
      <c r="A276" s="24" t="s">
        <v>444</v>
      </c>
      <c r="B276" s="24" t="s">
        <v>445</v>
      </c>
      <c r="C276" s="25">
        <v>4301051782</v>
      </c>
      <c r="D276" s="86">
        <v>4680115884618</v>
      </c>
      <c r="E276" s="87"/>
      <c r="F276" s="75">
        <v>0.6</v>
      </c>
      <c r="G276" s="26">
        <v>6</v>
      </c>
      <c r="H276" s="75">
        <v>3.6</v>
      </c>
      <c r="I276" s="75">
        <v>3.81</v>
      </c>
      <c r="J276" s="26">
        <v>132</v>
      </c>
      <c r="K276" s="26" t="s">
        <v>111</v>
      </c>
      <c r="L276" s="26"/>
      <c r="M276" s="35" t="s">
        <v>78</v>
      </c>
      <c r="N276" s="35"/>
      <c r="O276" s="26">
        <v>45</v>
      </c>
      <c r="P276" s="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84"/>
      <c r="R276" s="84"/>
      <c r="S276" s="84"/>
      <c r="T276" s="85"/>
      <c r="U276" s="47"/>
      <c r="V276" s="47"/>
      <c r="W276" s="48" t="s">
        <v>70</v>
      </c>
      <c r="X276" s="76">
        <v>0</v>
      </c>
      <c r="Y276" s="77">
        <f>IFERROR(IF(X276="",0,CEILING((X276/$H276),1)*$H276),"")</f>
        <v>0</v>
      </c>
      <c r="Z276" s="52" t="str">
        <f>IFERROR(IF(Y276=0,"",ROUNDUP(Y276/H276,0)*0.00902),"")</f>
        <v/>
      </c>
      <c r="AA276" s="53"/>
      <c r="AB276" s="54"/>
      <c r="AC276" s="55" t="s">
        <v>446</v>
      </c>
      <c r="AG276" s="78"/>
      <c r="AJ276" s="57"/>
      <c r="AK276" s="57">
        <v>0</v>
      </c>
      <c r="BB276" s="59" t="s">
        <v>1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99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100"/>
      <c r="P277" s="91" t="s">
        <v>72</v>
      </c>
      <c r="Q277" s="92"/>
      <c r="R277" s="92"/>
      <c r="S277" s="92"/>
      <c r="T277" s="92"/>
      <c r="U277" s="92"/>
      <c r="V277" s="93"/>
      <c r="W277" s="49" t="s">
        <v>73</v>
      </c>
      <c r="X277" s="79">
        <f>IFERROR(X276/H276,"0")</f>
        <v>0</v>
      </c>
      <c r="Y277" s="79">
        <f>IFERROR(Y276/H276,"0")</f>
        <v>0</v>
      </c>
      <c r="Z277" s="79">
        <f>IFERROR(IF(Z276="",0,Z276),"0")</f>
        <v>0</v>
      </c>
      <c r="AA277" s="80"/>
      <c r="AB277" s="80"/>
      <c r="AC277" s="80"/>
    </row>
    <row r="278" spans="1:68" x14ac:dyDescent="0.2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100"/>
      <c r="P278" s="91" t="s">
        <v>72</v>
      </c>
      <c r="Q278" s="92"/>
      <c r="R278" s="92"/>
      <c r="S278" s="92"/>
      <c r="T278" s="92"/>
      <c r="U278" s="92"/>
      <c r="V278" s="93"/>
      <c r="W278" s="49" t="s">
        <v>70</v>
      </c>
      <c r="X278" s="79">
        <f>IFERROR(SUM(X276:X276),"0")</f>
        <v>0</v>
      </c>
      <c r="Y278" s="79">
        <f>IFERROR(SUM(Y276:Y276),"0")</f>
        <v>0</v>
      </c>
      <c r="Z278" s="49"/>
      <c r="AA278" s="80"/>
      <c r="AB278" s="80"/>
      <c r="AC278" s="80"/>
    </row>
    <row r="279" spans="1:68" ht="16.5" customHeight="1" x14ac:dyDescent="0.25">
      <c r="A279" s="94" t="s">
        <v>447</v>
      </c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65"/>
      <c r="AB279" s="65"/>
      <c r="AC279" s="65"/>
    </row>
    <row r="280" spans="1:68" ht="14.25" customHeight="1" x14ac:dyDescent="0.25">
      <c r="A280" s="89" t="s">
        <v>103</v>
      </c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66"/>
      <c r="AB280" s="66"/>
      <c r="AC280" s="66"/>
    </row>
    <row r="281" spans="1:68" ht="27" customHeight="1" x14ac:dyDescent="0.25">
      <c r="A281" s="24" t="s">
        <v>448</v>
      </c>
      <c r="B281" s="24" t="s">
        <v>449</v>
      </c>
      <c r="C281" s="25">
        <v>4301011662</v>
      </c>
      <c r="D281" s="86">
        <v>4680115883703</v>
      </c>
      <c r="E281" s="87"/>
      <c r="F281" s="75">
        <v>1.35</v>
      </c>
      <c r="G281" s="26">
        <v>8</v>
      </c>
      <c r="H281" s="75">
        <v>10.8</v>
      </c>
      <c r="I281" s="75">
        <v>11.234999999999999</v>
      </c>
      <c r="J281" s="26">
        <v>64</v>
      </c>
      <c r="K281" s="26" t="s">
        <v>106</v>
      </c>
      <c r="L281" s="26"/>
      <c r="M281" s="35" t="s">
        <v>107</v>
      </c>
      <c r="N281" s="35"/>
      <c r="O281" s="26">
        <v>55</v>
      </c>
      <c r="P281" s="8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84"/>
      <c r="R281" s="84"/>
      <c r="S281" s="84"/>
      <c r="T281" s="85"/>
      <c r="U281" s="47"/>
      <c r="V281" s="47"/>
      <c r="W281" s="48" t="s">
        <v>70</v>
      </c>
      <c r="X281" s="76">
        <v>0</v>
      </c>
      <c r="Y281" s="77">
        <f>IFERROR(IF(X281="",0,CEILING((X281/$H281),1)*$H281),"")</f>
        <v>0</v>
      </c>
      <c r="Z281" s="52" t="str">
        <f>IFERROR(IF(Y281=0,"",ROUNDUP(Y281/H281,0)*0.01898),"")</f>
        <v/>
      </c>
      <c r="AA281" s="53" t="s">
        <v>450</v>
      </c>
      <c r="AB281" s="54"/>
      <c r="AC281" s="55" t="s">
        <v>451</v>
      </c>
      <c r="AG281" s="78"/>
      <c r="AJ281" s="57"/>
      <c r="AK281" s="57">
        <v>0</v>
      </c>
      <c r="BB281" s="59" t="s">
        <v>1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99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100"/>
      <c r="P282" s="91" t="s">
        <v>72</v>
      </c>
      <c r="Q282" s="92"/>
      <c r="R282" s="92"/>
      <c r="S282" s="92"/>
      <c r="T282" s="92"/>
      <c r="U282" s="92"/>
      <c r="V282" s="93"/>
      <c r="W282" s="49" t="s">
        <v>73</v>
      </c>
      <c r="X282" s="79">
        <f>IFERROR(X281/H281,"0")</f>
        <v>0</v>
      </c>
      <c r="Y282" s="79">
        <f>IFERROR(Y281/H281,"0")</f>
        <v>0</v>
      </c>
      <c r="Z282" s="79">
        <f>IFERROR(IF(Z281="",0,Z281),"0")</f>
        <v>0</v>
      </c>
      <c r="AA282" s="80"/>
      <c r="AB282" s="80"/>
      <c r="AC282" s="80"/>
    </row>
    <row r="283" spans="1:68" x14ac:dyDescent="0.2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100"/>
      <c r="P283" s="91" t="s">
        <v>72</v>
      </c>
      <c r="Q283" s="92"/>
      <c r="R283" s="92"/>
      <c r="S283" s="92"/>
      <c r="T283" s="92"/>
      <c r="U283" s="92"/>
      <c r="V283" s="93"/>
      <c r="W283" s="49" t="s">
        <v>70</v>
      </c>
      <c r="X283" s="79">
        <f>IFERROR(SUM(X281:X281),"0")</f>
        <v>0</v>
      </c>
      <c r="Y283" s="79">
        <f>IFERROR(SUM(Y281:Y281),"0")</f>
        <v>0</v>
      </c>
      <c r="Z283" s="49"/>
      <c r="AA283" s="80"/>
      <c r="AB283" s="80"/>
      <c r="AC283" s="80"/>
    </row>
    <row r="284" spans="1:68" ht="16.5" customHeight="1" x14ac:dyDescent="0.25">
      <c r="A284" s="94" t="s">
        <v>452</v>
      </c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65"/>
      <c r="AB284" s="65"/>
      <c r="AC284" s="65"/>
    </row>
    <row r="285" spans="1:68" ht="14.25" customHeight="1" x14ac:dyDescent="0.25">
      <c r="A285" s="89" t="s">
        <v>103</v>
      </c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66"/>
      <c r="AB285" s="66"/>
      <c r="AC285" s="66"/>
    </row>
    <row r="286" spans="1:68" ht="27" customHeight="1" x14ac:dyDescent="0.25">
      <c r="A286" s="24" t="s">
        <v>453</v>
      </c>
      <c r="B286" s="24" t="s">
        <v>454</v>
      </c>
      <c r="C286" s="25">
        <v>4301012024</v>
      </c>
      <c r="D286" s="86">
        <v>4680115885615</v>
      </c>
      <c r="E286" s="87"/>
      <c r="F286" s="75">
        <v>1.35</v>
      </c>
      <c r="G286" s="26">
        <v>8</v>
      </c>
      <c r="H286" s="75">
        <v>10.8</v>
      </c>
      <c r="I286" s="75">
        <v>11.234999999999999</v>
      </c>
      <c r="J286" s="26">
        <v>64</v>
      </c>
      <c r="K286" s="26" t="s">
        <v>106</v>
      </c>
      <c r="L286" s="26"/>
      <c r="M286" s="35" t="s">
        <v>78</v>
      </c>
      <c r="N286" s="35"/>
      <c r="O286" s="26">
        <v>55</v>
      </c>
      <c r="P286" s="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84"/>
      <c r="R286" s="84"/>
      <c r="S286" s="84"/>
      <c r="T286" s="85"/>
      <c r="U286" s="47"/>
      <c r="V286" s="47"/>
      <c r="W286" s="48" t="s">
        <v>70</v>
      </c>
      <c r="X286" s="76">
        <v>162</v>
      </c>
      <c r="Y286" s="77">
        <f t="shared" ref="Y286:Y291" si="42">IFERROR(IF(X286="",0,CEILING((X286/$H286),1)*$H286),"")</f>
        <v>162</v>
      </c>
      <c r="Z286" s="52">
        <f>IFERROR(IF(Y286=0,"",ROUNDUP(Y286/H286,0)*0.01898),"")</f>
        <v>0.28470000000000001</v>
      </c>
      <c r="AA286" s="53"/>
      <c r="AB286" s="54"/>
      <c r="AC286" s="55" t="s">
        <v>455</v>
      </c>
      <c r="AG286" s="78"/>
      <c r="AJ286" s="57"/>
      <c r="AK286" s="57">
        <v>0</v>
      </c>
      <c r="BB286" s="59" t="s">
        <v>1</v>
      </c>
      <c r="BM286" s="78">
        <f t="shared" ref="BM286:BM291" si="43">IFERROR(X286*I286/H286,"0")</f>
        <v>168.52499999999998</v>
      </c>
      <c r="BN286" s="78">
        <f t="shared" ref="BN286:BN291" si="44">IFERROR(Y286*I286/H286,"0")</f>
        <v>168.52499999999998</v>
      </c>
      <c r="BO286" s="78">
        <f t="shared" ref="BO286:BO291" si="45">IFERROR(1/J286*(X286/H286),"0")</f>
        <v>0.23437499999999997</v>
      </c>
      <c r="BP286" s="78">
        <f t="shared" ref="BP286:BP291" si="46">IFERROR(1/J286*(Y286/H286),"0")</f>
        <v>0.23437499999999997</v>
      </c>
    </row>
    <row r="287" spans="1:68" ht="27" customHeight="1" x14ac:dyDescent="0.25">
      <c r="A287" s="24" t="s">
        <v>456</v>
      </c>
      <c r="B287" s="24" t="s">
        <v>457</v>
      </c>
      <c r="C287" s="25">
        <v>4301012016</v>
      </c>
      <c r="D287" s="86">
        <v>4680115885554</v>
      </c>
      <c r="E287" s="87"/>
      <c r="F287" s="75">
        <v>1.35</v>
      </c>
      <c r="G287" s="26">
        <v>8</v>
      </c>
      <c r="H287" s="75">
        <v>10.8</v>
      </c>
      <c r="I287" s="75">
        <v>11.234999999999999</v>
      </c>
      <c r="J287" s="26">
        <v>64</v>
      </c>
      <c r="K287" s="26" t="s">
        <v>106</v>
      </c>
      <c r="L287" s="26" t="s">
        <v>125</v>
      </c>
      <c r="M287" s="35" t="s">
        <v>78</v>
      </c>
      <c r="N287" s="35"/>
      <c r="O287" s="26">
        <v>55</v>
      </c>
      <c r="P287" s="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84"/>
      <c r="R287" s="84"/>
      <c r="S287" s="84"/>
      <c r="T287" s="85"/>
      <c r="U287" s="47"/>
      <c r="V287" s="47"/>
      <c r="W287" s="48" t="s">
        <v>70</v>
      </c>
      <c r="X287" s="76">
        <v>540</v>
      </c>
      <c r="Y287" s="77">
        <f t="shared" si="42"/>
        <v>540</v>
      </c>
      <c r="Z287" s="52">
        <f>IFERROR(IF(Y287=0,"",ROUNDUP(Y287/H287,0)*0.01898),"")</f>
        <v>0.94900000000000007</v>
      </c>
      <c r="AA287" s="53"/>
      <c r="AB287" s="54"/>
      <c r="AC287" s="55" t="s">
        <v>458</v>
      </c>
      <c r="AG287" s="78"/>
      <c r="AJ287" s="57" t="s">
        <v>127</v>
      </c>
      <c r="AK287" s="57">
        <v>691.2</v>
      </c>
      <c r="BB287" s="59" t="s">
        <v>1</v>
      </c>
      <c r="BM287" s="78">
        <f t="shared" si="43"/>
        <v>561.74999999999989</v>
      </c>
      <c r="BN287" s="78">
        <f t="shared" si="44"/>
        <v>561.74999999999989</v>
      </c>
      <c r="BO287" s="78">
        <f t="shared" si="45"/>
        <v>0.78125</v>
      </c>
      <c r="BP287" s="78">
        <f t="shared" si="46"/>
        <v>0.78125</v>
      </c>
    </row>
    <row r="288" spans="1:68" ht="27" customHeight="1" x14ac:dyDescent="0.25">
      <c r="A288" s="24" t="s">
        <v>456</v>
      </c>
      <c r="B288" s="24" t="s">
        <v>459</v>
      </c>
      <c r="C288" s="25">
        <v>4301011911</v>
      </c>
      <c r="D288" s="86">
        <v>4680115885554</v>
      </c>
      <c r="E288" s="87"/>
      <c r="F288" s="75">
        <v>1.35</v>
      </c>
      <c r="G288" s="26">
        <v>8</v>
      </c>
      <c r="H288" s="75">
        <v>10.8</v>
      </c>
      <c r="I288" s="75">
        <v>11.28</v>
      </c>
      <c r="J288" s="26">
        <v>48</v>
      </c>
      <c r="K288" s="26" t="s">
        <v>106</v>
      </c>
      <c r="L288" s="26"/>
      <c r="M288" s="35" t="s">
        <v>460</v>
      </c>
      <c r="N288" s="35"/>
      <c r="O288" s="26">
        <v>55</v>
      </c>
      <c r="P288" s="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84"/>
      <c r="R288" s="84"/>
      <c r="S288" s="84"/>
      <c r="T288" s="85"/>
      <c r="U288" s="47"/>
      <c r="V288" s="47"/>
      <c r="W288" s="48" t="s">
        <v>70</v>
      </c>
      <c r="X288" s="76">
        <v>0</v>
      </c>
      <c r="Y288" s="77">
        <f t="shared" si="42"/>
        <v>0</v>
      </c>
      <c r="Z288" s="52" t="str">
        <f>IFERROR(IF(Y288=0,"",ROUNDUP(Y288/H288,0)*0.02039),"")</f>
        <v/>
      </c>
      <c r="AA288" s="53"/>
      <c r="AB288" s="54"/>
      <c r="AC288" s="55" t="s">
        <v>461</v>
      </c>
      <c r="AG288" s="78"/>
      <c r="AJ288" s="57"/>
      <c r="AK288" s="57">
        <v>0</v>
      </c>
      <c r="BB288" s="59" t="s">
        <v>1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customHeight="1" x14ac:dyDescent="0.25">
      <c r="A289" s="24" t="s">
        <v>462</v>
      </c>
      <c r="B289" s="24" t="s">
        <v>463</v>
      </c>
      <c r="C289" s="25">
        <v>4301011858</v>
      </c>
      <c r="D289" s="86">
        <v>4680115885646</v>
      </c>
      <c r="E289" s="87"/>
      <c r="F289" s="75">
        <v>1.35</v>
      </c>
      <c r="G289" s="26">
        <v>8</v>
      </c>
      <c r="H289" s="75">
        <v>10.8</v>
      </c>
      <c r="I289" s="75">
        <v>11.234999999999999</v>
      </c>
      <c r="J289" s="26">
        <v>64</v>
      </c>
      <c r="K289" s="26" t="s">
        <v>106</v>
      </c>
      <c r="L289" s="26"/>
      <c r="M289" s="35" t="s">
        <v>107</v>
      </c>
      <c r="N289" s="35"/>
      <c r="O289" s="26">
        <v>55</v>
      </c>
      <c r="P289" s="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84"/>
      <c r="R289" s="84"/>
      <c r="S289" s="84"/>
      <c r="T289" s="85"/>
      <c r="U289" s="47"/>
      <c r="V289" s="47"/>
      <c r="W289" s="48" t="s">
        <v>70</v>
      </c>
      <c r="X289" s="76">
        <v>64.8</v>
      </c>
      <c r="Y289" s="77">
        <f t="shared" si="42"/>
        <v>64.800000000000011</v>
      </c>
      <c r="Z289" s="52">
        <f>IFERROR(IF(Y289=0,"",ROUNDUP(Y289/H289,0)*0.01898),"")</f>
        <v>0.11388000000000001</v>
      </c>
      <c r="AA289" s="53"/>
      <c r="AB289" s="54"/>
      <c r="AC289" s="55" t="s">
        <v>464</v>
      </c>
      <c r="AG289" s="78"/>
      <c r="AJ289" s="57"/>
      <c r="AK289" s="57">
        <v>0</v>
      </c>
      <c r="BB289" s="59" t="s">
        <v>1</v>
      </c>
      <c r="BM289" s="78">
        <f t="shared" si="43"/>
        <v>67.409999999999982</v>
      </c>
      <c r="BN289" s="78">
        <f t="shared" si="44"/>
        <v>67.410000000000011</v>
      </c>
      <c r="BO289" s="78">
        <f t="shared" si="45"/>
        <v>9.3749999999999986E-2</v>
      </c>
      <c r="BP289" s="78">
        <f t="shared" si="46"/>
        <v>9.3750000000000014E-2</v>
      </c>
    </row>
    <row r="290" spans="1:68" ht="27" customHeight="1" x14ac:dyDescent="0.25">
      <c r="A290" s="24" t="s">
        <v>465</v>
      </c>
      <c r="B290" s="24" t="s">
        <v>466</v>
      </c>
      <c r="C290" s="25">
        <v>4301011857</v>
      </c>
      <c r="D290" s="86">
        <v>4680115885622</v>
      </c>
      <c r="E290" s="87"/>
      <c r="F290" s="75">
        <v>0.4</v>
      </c>
      <c r="G290" s="26">
        <v>10</v>
      </c>
      <c r="H290" s="75">
        <v>4</v>
      </c>
      <c r="I290" s="75">
        <v>4.21</v>
      </c>
      <c r="J290" s="26">
        <v>132</v>
      </c>
      <c r="K290" s="26" t="s">
        <v>111</v>
      </c>
      <c r="L290" s="26"/>
      <c r="M290" s="35" t="s">
        <v>107</v>
      </c>
      <c r="N290" s="35"/>
      <c r="O290" s="26">
        <v>55</v>
      </c>
      <c r="P290" s="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84"/>
      <c r="R290" s="84"/>
      <c r="S290" s="84"/>
      <c r="T290" s="85"/>
      <c r="U290" s="47"/>
      <c r="V290" s="47"/>
      <c r="W290" s="48" t="s">
        <v>70</v>
      </c>
      <c r="X290" s="76">
        <v>24</v>
      </c>
      <c r="Y290" s="77">
        <f t="shared" si="42"/>
        <v>24</v>
      </c>
      <c r="Z290" s="52">
        <f>IFERROR(IF(Y290=0,"",ROUNDUP(Y290/H290,0)*0.00902),"")</f>
        <v>5.4120000000000001E-2</v>
      </c>
      <c r="AA290" s="53"/>
      <c r="AB290" s="54"/>
      <c r="AC290" s="55" t="s">
        <v>455</v>
      </c>
      <c r="AG290" s="78"/>
      <c r="AJ290" s="57"/>
      <c r="AK290" s="57">
        <v>0</v>
      </c>
      <c r="BB290" s="59" t="s">
        <v>1</v>
      </c>
      <c r="BM290" s="78">
        <f t="shared" si="43"/>
        <v>25.259999999999998</v>
      </c>
      <c r="BN290" s="78">
        <f t="shared" si="44"/>
        <v>25.259999999999998</v>
      </c>
      <c r="BO290" s="78">
        <f t="shared" si="45"/>
        <v>4.5454545454545456E-2</v>
      </c>
      <c r="BP290" s="78">
        <f t="shared" si="46"/>
        <v>4.5454545454545456E-2</v>
      </c>
    </row>
    <row r="291" spans="1:68" ht="27" customHeight="1" x14ac:dyDescent="0.25">
      <c r="A291" s="24" t="s">
        <v>467</v>
      </c>
      <c r="B291" s="24" t="s">
        <v>468</v>
      </c>
      <c r="C291" s="25">
        <v>4301011859</v>
      </c>
      <c r="D291" s="86">
        <v>4680115885608</v>
      </c>
      <c r="E291" s="87"/>
      <c r="F291" s="75">
        <v>0.4</v>
      </c>
      <c r="G291" s="26">
        <v>10</v>
      </c>
      <c r="H291" s="75">
        <v>4</v>
      </c>
      <c r="I291" s="75">
        <v>4.21</v>
      </c>
      <c r="J291" s="26">
        <v>132</v>
      </c>
      <c r="K291" s="26" t="s">
        <v>111</v>
      </c>
      <c r="L291" s="26"/>
      <c r="M291" s="35" t="s">
        <v>107</v>
      </c>
      <c r="N291" s="35"/>
      <c r="O291" s="26">
        <v>55</v>
      </c>
      <c r="P291" s="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84"/>
      <c r="R291" s="84"/>
      <c r="S291" s="84"/>
      <c r="T291" s="85"/>
      <c r="U291" s="47"/>
      <c r="V291" s="47"/>
      <c r="W291" s="48" t="s">
        <v>70</v>
      </c>
      <c r="X291" s="76">
        <v>24</v>
      </c>
      <c r="Y291" s="77">
        <f t="shared" si="42"/>
        <v>24</v>
      </c>
      <c r="Z291" s="52">
        <f>IFERROR(IF(Y291=0,"",ROUNDUP(Y291/H291,0)*0.00902),"")</f>
        <v>5.4120000000000001E-2</v>
      </c>
      <c r="AA291" s="53"/>
      <c r="AB291" s="54"/>
      <c r="AC291" s="55" t="s">
        <v>469</v>
      </c>
      <c r="AG291" s="78"/>
      <c r="AJ291" s="57"/>
      <c r="AK291" s="57">
        <v>0</v>
      </c>
      <c r="BB291" s="59" t="s">
        <v>1</v>
      </c>
      <c r="BM291" s="78">
        <f t="shared" si="43"/>
        <v>25.259999999999998</v>
      </c>
      <c r="BN291" s="78">
        <f t="shared" si="44"/>
        <v>25.259999999999998</v>
      </c>
      <c r="BO291" s="78">
        <f t="shared" si="45"/>
        <v>4.5454545454545456E-2</v>
      </c>
      <c r="BP291" s="78">
        <f t="shared" si="46"/>
        <v>4.5454545454545456E-2</v>
      </c>
    </row>
    <row r="292" spans="1:68" x14ac:dyDescent="0.2">
      <c r="A292" s="99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100"/>
      <c r="P292" s="91" t="s">
        <v>72</v>
      </c>
      <c r="Q292" s="92"/>
      <c r="R292" s="92"/>
      <c r="S292" s="92"/>
      <c r="T292" s="92"/>
      <c r="U292" s="92"/>
      <c r="V292" s="93"/>
      <c r="W292" s="49" t="s">
        <v>73</v>
      </c>
      <c r="X292" s="79">
        <f>IFERROR(X286/H286,"0")+IFERROR(X287/H287,"0")+IFERROR(X288/H288,"0")+IFERROR(X289/H289,"0")+IFERROR(X290/H290,"0")+IFERROR(X291/H291,"0")</f>
        <v>83</v>
      </c>
      <c r="Y292" s="79">
        <f>IFERROR(Y286/H286,"0")+IFERROR(Y287/H287,"0")+IFERROR(Y288/H288,"0")+IFERROR(Y289/H289,"0")+IFERROR(Y290/H290,"0")+IFERROR(Y291/H291,"0")</f>
        <v>83</v>
      </c>
      <c r="Z292" s="79">
        <f>IFERROR(IF(Z286="",0,Z286),"0")+IFERROR(IF(Z287="",0,Z287),"0")+IFERROR(IF(Z288="",0,Z288),"0")+IFERROR(IF(Z289="",0,Z289),"0")+IFERROR(IF(Z290="",0,Z290),"0")+IFERROR(IF(Z291="",0,Z291),"0")</f>
        <v>1.4558199999999999</v>
      </c>
      <c r="AA292" s="80"/>
      <c r="AB292" s="80"/>
      <c r="AC292" s="80"/>
    </row>
    <row r="293" spans="1:68" x14ac:dyDescent="0.2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100"/>
      <c r="P293" s="91" t="s">
        <v>72</v>
      </c>
      <c r="Q293" s="92"/>
      <c r="R293" s="92"/>
      <c r="S293" s="92"/>
      <c r="T293" s="92"/>
      <c r="U293" s="92"/>
      <c r="V293" s="93"/>
      <c r="W293" s="49" t="s">
        <v>70</v>
      </c>
      <c r="X293" s="79">
        <f>IFERROR(SUM(X286:X291),"0")</f>
        <v>814.8</v>
      </c>
      <c r="Y293" s="79">
        <f>IFERROR(SUM(Y286:Y291),"0")</f>
        <v>814.8</v>
      </c>
      <c r="Z293" s="49"/>
      <c r="AA293" s="80"/>
      <c r="AB293" s="80"/>
      <c r="AC293" s="80"/>
    </row>
    <row r="294" spans="1:68" ht="14.25" customHeight="1" x14ac:dyDescent="0.25">
      <c r="A294" s="89" t="s">
        <v>64</v>
      </c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66"/>
      <c r="AB294" s="66"/>
      <c r="AC294" s="66"/>
    </row>
    <row r="295" spans="1:68" ht="27" customHeight="1" x14ac:dyDescent="0.25">
      <c r="A295" s="24" t="s">
        <v>470</v>
      </c>
      <c r="B295" s="24" t="s">
        <v>471</v>
      </c>
      <c r="C295" s="25">
        <v>4301030878</v>
      </c>
      <c r="D295" s="86">
        <v>4607091387193</v>
      </c>
      <c r="E295" s="87"/>
      <c r="F295" s="75">
        <v>0.7</v>
      </c>
      <c r="G295" s="26">
        <v>6</v>
      </c>
      <c r="H295" s="75">
        <v>4.2</v>
      </c>
      <c r="I295" s="75">
        <v>4.47</v>
      </c>
      <c r="J295" s="26">
        <v>132</v>
      </c>
      <c r="K295" s="26" t="s">
        <v>111</v>
      </c>
      <c r="L295" s="26"/>
      <c r="M295" s="35" t="s">
        <v>68</v>
      </c>
      <c r="N295" s="35"/>
      <c r="O295" s="26">
        <v>35</v>
      </c>
      <c r="P295" s="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84"/>
      <c r="R295" s="84"/>
      <c r="S295" s="84"/>
      <c r="T295" s="85"/>
      <c r="U295" s="47"/>
      <c r="V295" s="47"/>
      <c r="W295" s="48" t="s">
        <v>70</v>
      </c>
      <c r="X295" s="76">
        <v>126</v>
      </c>
      <c r="Y295" s="77">
        <f t="shared" ref="Y295:Y301" si="47">IFERROR(IF(X295="",0,CEILING((X295/$H295),1)*$H295),"")</f>
        <v>126</v>
      </c>
      <c r="Z295" s="52">
        <f>IFERROR(IF(Y295=0,"",ROUNDUP(Y295/H295,0)*0.00902),"")</f>
        <v>0.27060000000000001</v>
      </c>
      <c r="AA295" s="53"/>
      <c r="AB295" s="54"/>
      <c r="AC295" s="55" t="s">
        <v>472</v>
      </c>
      <c r="AG295" s="78"/>
      <c r="AJ295" s="57"/>
      <c r="AK295" s="57">
        <v>0</v>
      </c>
      <c r="BB295" s="59" t="s">
        <v>1</v>
      </c>
      <c r="BM295" s="78">
        <f t="shared" ref="BM295:BM301" si="48">IFERROR(X295*I295/H295,"0")</f>
        <v>134.09999999999997</v>
      </c>
      <c r="BN295" s="78">
        <f t="shared" ref="BN295:BN301" si="49">IFERROR(Y295*I295/H295,"0")</f>
        <v>134.09999999999997</v>
      </c>
      <c r="BO295" s="78">
        <f t="shared" ref="BO295:BO301" si="50">IFERROR(1/J295*(X295/H295),"0")</f>
        <v>0.22727272727272729</v>
      </c>
      <c r="BP295" s="78">
        <f t="shared" ref="BP295:BP301" si="51">IFERROR(1/J295*(Y295/H295),"0")</f>
        <v>0.22727272727272729</v>
      </c>
    </row>
    <row r="296" spans="1:68" ht="27" customHeight="1" x14ac:dyDescent="0.25">
      <c r="A296" s="24" t="s">
        <v>473</v>
      </c>
      <c r="B296" s="24" t="s">
        <v>474</v>
      </c>
      <c r="C296" s="25">
        <v>4301031153</v>
      </c>
      <c r="D296" s="86">
        <v>4607091387230</v>
      </c>
      <c r="E296" s="87"/>
      <c r="F296" s="75">
        <v>0.7</v>
      </c>
      <c r="G296" s="26">
        <v>6</v>
      </c>
      <c r="H296" s="75">
        <v>4.2</v>
      </c>
      <c r="I296" s="75">
        <v>4.47</v>
      </c>
      <c r="J296" s="26">
        <v>132</v>
      </c>
      <c r="K296" s="26" t="s">
        <v>111</v>
      </c>
      <c r="L296" s="26"/>
      <c r="M296" s="35" t="s">
        <v>68</v>
      </c>
      <c r="N296" s="35"/>
      <c r="O296" s="26">
        <v>40</v>
      </c>
      <c r="P296" s="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84"/>
      <c r="R296" s="84"/>
      <c r="S296" s="84"/>
      <c r="T296" s="85"/>
      <c r="U296" s="47"/>
      <c r="V296" s="47"/>
      <c r="W296" s="48" t="s">
        <v>70</v>
      </c>
      <c r="X296" s="76">
        <v>84</v>
      </c>
      <c r="Y296" s="77">
        <f t="shared" si="47"/>
        <v>84</v>
      </c>
      <c r="Z296" s="52">
        <f>IFERROR(IF(Y296=0,"",ROUNDUP(Y296/H296,0)*0.00902),"")</f>
        <v>0.1804</v>
      </c>
      <c r="AA296" s="53"/>
      <c r="AB296" s="54"/>
      <c r="AC296" s="55" t="s">
        <v>475</v>
      </c>
      <c r="AG296" s="78"/>
      <c r="AJ296" s="57"/>
      <c r="AK296" s="57">
        <v>0</v>
      </c>
      <c r="BB296" s="59" t="s">
        <v>1</v>
      </c>
      <c r="BM296" s="78">
        <f t="shared" si="48"/>
        <v>89.399999999999991</v>
      </c>
      <c r="BN296" s="78">
        <f t="shared" si="49"/>
        <v>89.399999999999991</v>
      </c>
      <c r="BO296" s="78">
        <f t="shared" si="50"/>
        <v>0.15151515151515152</v>
      </c>
      <c r="BP296" s="78">
        <f t="shared" si="51"/>
        <v>0.15151515151515152</v>
      </c>
    </row>
    <row r="297" spans="1:68" ht="27" customHeight="1" x14ac:dyDescent="0.25">
      <c r="A297" s="24" t="s">
        <v>476</v>
      </c>
      <c r="B297" s="24" t="s">
        <v>477</v>
      </c>
      <c r="C297" s="25">
        <v>4301031154</v>
      </c>
      <c r="D297" s="86">
        <v>4607091387292</v>
      </c>
      <c r="E297" s="87"/>
      <c r="F297" s="75">
        <v>0.73</v>
      </c>
      <c r="G297" s="26">
        <v>6</v>
      </c>
      <c r="H297" s="75">
        <v>4.38</v>
      </c>
      <c r="I297" s="75">
        <v>4.6500000000000004</v>
      </c>
      <c r="J297" s="26">
        <v>132</v>
      </c>
      <c r="K297" s="26" t="s">
        <v>111</v>
      </c>
      <c r="L297" s="26"/>
      <c r="M297" s="35" t="s">
        <v>68</v>
      </c>
      <c r="N297" s="35"/>
      <c r="O297" s="26">
        <v>45</v>
      </c>
      <c r="P297" s="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84"/>
      <c r="R297" s="84"/>
      <c r="S297" s="84"/>
      <c r="T297" s="85"/>
      <c r="U297" s="47"/>
      <c r="V297" s="47"/>
      <c r="W297" s="48" t="s">
        <v>70</v>
      </c>
      <c r="X297" s="76">
        <v>26.28</v>
      </c>
      <c r="Y297" s="77">
        <f t="shared" si="47"/>
        <v>26.28</v>
      </c>
      <c r="Z297" s="52">
        <f>IFERROR(IF(Y297=0,"",ROUNDUP(Y297/H297,0)*0.00902),"")</f>
        <v>5.4120000000000001E-2</v>
      </c>
      <c r="AA297" s="53"/>
      <c r="AB297" s="54"/>
      <c r="AC297" s="55" t="s">
        <v>478</v>
      </c>
      <c r="AG297" s="78"/>
      <c r="AJ297" s="57"/>
      <c r="AK297" s="57">
        <v>0</v>
      </c>
      <c r="BB297" s="59" t="s">
        <v>1</v>
      </c>
      <c r="BM297" s="78">
        <f t="shared" si="48"/>
        <v>27.900000000000002</v>
      </c>
      <c r="BN297" s="78">
        <f t="shared" si="49"/>
        <v>27.900000000000002</v>
      </c>
      <c r="BO297" s="78">
        <f t="shared" si="50"/>
        <v>4.5454545454545456E-2</v>
      </c>
      <c r="BP297" s="78">
        <f t="shared" si="51"/>
        <v>4.5454545454545456E-2</v>
      </c>
    </row>
    <row r="298" spans="1:68" ht="27" customHeight="1" x14ac:dyDescent="0.25">
      <c r="A298" s="24" t="s">
        <v>479</v>
      </c>
      <c r="B298" s="24" t="s">
        <v>480</v>
      </c>
      <c r="C298" s="25">
        <v>4301031152</v>
      </c>
      <c r="D298" s="86">
        <v>4607091387285</v>
      </c>
      <c r="E298" s="87"/>
      <c r="F298" s="75">
        <v>0.35</v>
      </c>
      <c r="G298" s="26">
        <v>6</v>
      </c>
      <c r="H298" s="75">
        <v>2.1</v>
      </c>
      <c r="I298" s="75">
        <v>2.23</v>
      </c>
      <c r="J298" s="26">
        <v>234</v>
      </c>
      <c r="K298" s="26" t="s">
        <v>67</v>
      </c>
      <c r="L298" s="26"/>
      <c r="M298" s="35" t="s">
        <v>68</v>
      </c>
      <c r="N298" s="35"/>
      <c r="O298" s="26">
        <v>40</v>
      </c>
      <c r="P298" s="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84"/>
      <c r="R298" s="84"/>
      <c r="S298" s="84"/>
      <c r="T298" s="85"/>
      <c r="U298" s="47"/>
      <c r="V298" s="47"/>
      <c r="W298" s="48" t="s">
        <v>70</v>
      </c>
      <c r="X298" s="76">
        <v>10.5</v>
      </c>
      <c r="Y298" s="77">
        <f t="shared" si="47"/>
        <v>10.5</v>
      </c>
      <c r="Z298" s="52">
        <f>IFERROR(IF(Y298=0,"",ROUNDUP(Y298/H298,0)*0.00502),"")</f>
        <v>2.5100000000000001E-2</v>
      </c>
      <c r="AA298" s="53"/>
      <c r="AB298" s="54"/>
      <c r="AC298" s="55" t="s">
        <v>475</v>
      </c>
      <c r="AG298" s="78"/>
      <c r="AJ298" s="57"/>
      <c r="AK298" s="57">
        <v>0</v>
      </c>
      <c r="BB298" s="59" t="s">
        <v>1</v>
      </c>
      <c r="BM298" s="78">
        <f t="shared" si="48"/>
        <v>11.149999999999999</v>
      </c>
      <c r="BN298" s="78">
        <f t="shared" si="49"/>
        <v>11.149999999999999</v>
      </c>
      <c r="BO298" s="78">
        <f t="shared" si="50"/>
        <v>2.1367521367521368E-2</v>
      </c>
      <c r="BP298" s="78">
        <f t="shared" si="51"/>
        <v>2.1367521367521368E-2</v>
      </c>
    </row>
    <row r="299" spans="1:68" ht="27" customHeight="1" x14ac:dyDescent="0.25">
      <c r="A299" s="24" t="s">
        <v>481</v>
      </c>
      <c r="B299" s="24" t="s">
        <v>482</v>
      </c>
      <c r="C299" s="25">
        <v>4301031305</v>
      </c>
      <c r="D299" s="86">
        <v>4607091389845</v>
      </c>
      <c r="E299" s="87"/>
      <c r="F299" s="75">
        <v>0.35</v>
      </c>
      <c r="G299" s="26">
        <v>6</v>
      </c>
      <c r="H299" s="75">
        <v>2.1</v>
      </c>
      <c r="I299" s="75">
        <v>2.2000000000000002</v>
      </c>
      <c r="J299" s="26">
        <v>234</v>
      </c>
      <c r="K299" s="26" t="s">
        <v>67</v>
      </c>
      <c r="L299" s="26"/>
      <c r="M299" s="35" t="s">
        <v>68</v>
      </c>
      <c r="N299" s="35"/>
      <c r="O299" s="26">
        <v>40</v>
      </c>
      <c r="P299" s="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84"/>
      <c r="R299" s="84"/>
      <c r="S299" s="84"/>
      <c r="T299" s="85"/>
      <c r="U299" s="47"/>
      <c r="V299" s="47"/>
      <c r="W299" s="48" t="s">
        <v>70</v>
      </c>
      <c r="X299" s="76">
        <v>10.5</v>
      </c>
      <c r="Y299" s="77">
        <f t="shared" si="47"/>
        <v>10.5</v>
      </c>
      <c r="Z299" s="52">
        <f>IFERROR(IF(Y299=0,"",ROUNDUP(Y299/H299,0)*0.00502),"")</f>
        <v>2.5100000000000001E-2</v>
      </c>
      <c r="AA299" s="53"/>
      <c r="AB299" s="54"/>
      <c r="AC299" s="55" t="s">
        <v>483</v>
      </c>
      <c r="AG299" s="78"/>
      <c r="AJ299" s="57"/>
      <c r="AK299" s="57">
        <v>0</v>
      </c>
      <c r="BB299" s="59" t="s">
        <v>1</v>
      </c>
      <c r="BM299" s="78">
        <f t="shared" si="48"/>
        <v>11</v>
      </c>
      <c r="BN299" s="78">
        <f t="shared" si="49"/>
        <v>11</v>
      </c>
      <c r="BO299" s="78">
        <f t="shared" si="50"/>
        <v>2.1367521367521368E-2</v>
      </c>
      <c r="BP299" s="78">
        <f t="shared" si="51"/>
        <v>2.1367521367521368E-2</v>
      </c>
    </row>
    <row r="300" spans="1:68" ht="27" customHeight="1" x14ac:dyDescent="0.25">
      <c r="A300" s="24" t="s">
        <v>484</v>
      </c>
      <c r="B300" s="24" t="s">
        <v>485</v>
      </c>
      <c r="C300" s="25">
        <v>4301031306</v>
      </c>
      <c r="D300" s="86">
        <v>4680115882881</v>
      </c>
      <c r="E300" s="87"/>
      <c r="F300" s="75">
        <v>0.28000000000000003</v>
      </c>
      <c r="G300" s="26">
        <v>6</v>
      </c>
      <c r="H300" s="75">
        <v>1.68</v>
      </c>
      <c r="I300" s="75">
        <v>1.81</v>
      </c>
      <c r="J300" s="26">
        <v>234</v>
      </c>
      <c r="K300" s="26" t="s">
        <v>67</v>
      </c>
      <c r="L300" s="26"/>
      <c r="M300" s="35" t="s">
        <v>68</v>
      </c>
      <c r="N300" s="35"/>
      <c r="O300" s="26">
        <v>40</v>
      </c>
      <c r="P300" s="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84"/>
      <c r="R300" s="84"/>
      <c r="S300" s="84"/>
      <c r="T300" s="85"/>
      <c r="U300" s="47"/>
      <c r="V300" s="47"/>
      <c r="W300" s="48" t="s">
        <v>70</v>
      </c>
      <c r="X300" s="76">
        <v>0</v>
      </c>
      <c r="Y300" s="77">
        <f t="shared" si="47"/>
        <v>0</v>
      </c>
      <c r="Z300" s="52" t="str">
        <f>IFERROR(IF(Y300=0,"",ROUNDUP(Y300/H300,0)*0.00502),"")</f>
        <v/>
      </c>
      <c r="AA300" s="53"/>
      <c r="AB300" s="54"/>
      <c r="AC300" s="55" t="s">
        <v>483</v>
      </c>
      <c r="AG300" s="78"/>
      <c r="AJ300" s="57"/>
      <c r="AK300" s="57">
        <v>0</v>
      </c>
      <c r="BB300" s="59" t="s">
        <v>1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24" t="s">
        <v>486</v>
      </c>
      <c r="B301" s="24" t="s">
        <v>487</v>
      </c>
      <c r="C301" s="25">
        <v>4301031066</v>
      </c>
      <c r="D301" s="86">
        <v>4607091383836</v>
      </c>
      <c r="E301" s="87"/>
      <c r="F301" s="75">
        <v>0.3</v>
      </c>
      <c r="G301" s="26">
        <v>6</v>
      </c>
      <c r="H301" s="75">
        <v>1.8</v>
      </c>
      <c r="I301" s="75">
        <v>2.028</v>
      </c>
      <c r="J301" s="26">
        <v>182</v>
      </c>
      <c r="K301" s="26" t="s">
        <v>77</v>
      </c>
      <c r="L301" s="26"/>
      <c r="M301" s="35" t="s">
        <v>68</v>
      </c>
      <c r="N301" s="35"/>
      <c r="O301" s="26">
        <v>40</v>
      </c>
      <c r="P301" s="8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84"/>
      <c r="R301" s="84"/>
      <c r="S301" s="84"/>
      <c r="T301" s="85"/>
      <c r="U301" s="47"/>
      <c r="V301" s="47"/>
      <c r="W301" s="48" t="s">
        <v>70</v>
      </c>
      <c r="X301" s="76">
        <v>0</v>
      </c>
      <c r="Y301" s="77">
        <f t="shared" si="47"/>
        <v>0</v>
      </c>
      <c r="Z301" s="52" t="str">
        <f>IFERROR(IF(Y301=0,"",ROUNDUP(Y301/H301,0)*0.00651),"")</f>
        <v/>
      </c>
      <c r="AA301" s="53"/>
      <c r="AB301" s="54"/>
      <c r="AC301" s="55" t="s">
        <v>488</v>
      </c>
      <c r="AG301" s="78"/>
      <c r="AJ301" s="57"/>
      <c r="AK301" s="57">
        <v>0</v>
      </c>
      <c r="BB301" s="59" t="s">
        <v>1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x14ac:dyDescent="0.2">
      <c r="A302" s="99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100"/>
      <c r="P302" s="91" t="s">
        <v>72</v>
      </c>
      <c r="Q302" s="92"/>
      <c r="R302" s="92"/>
      <c r="S302" s="92"/>
      <c r="T302" s="92"/>
      <c r="U302" s="92"/>
      <c r="V302" s="93"/>
      <c r="W302" s="49" t="s">
        <v>73</v>
      </c>
      <c r="X302" s="79">
        <f>IFERROR(X295/H295,"0")+IFERROR(X296/H296,"0")+IFERROR(X297/H297,"0")+IFERROR(X298/H298,"0")+IFERROR(X299/H299,"0")+IFERROR(X300/H300,"0")+IFERROR(X301/H301,"0")</f>
        <v>66</v>
      </c>
      <c r="Y302" s="79">
        <f>IFERROR(Y295/H295,"0")+IFERROR(Y296/H296,"0")+IFERROR(Y297/H297,"0")+IFERROR(Y298/H298,"0")+IFERROR(Y299/H299,"0")+IFERROR(Y300/H300,"0")+IFERROR(Y301/H301,"0")</f>
        <v>66</v>
      </c>
      <c r="Z302" s="79">
        <f>IFERROR(IF(Z295="",0,Z295),"0")+IFERROR(IF(Z296="",0,Z296),"0")+IFERROR(IF(Z297="",0,Z297),"0")+IFERROR(IF(Z298="",0,Z298),"0")+IFERROR(IF(Z299="",0,Z299),"0")+IFERROR(IF(Z300="",0,Z300),"0")+IFERROR(IF(Z301="",0,Z301),"0")</f>
        <v>0.55532000000000004</v>
      </c>
      <c r="AA302" s="80"/>
      <c r="AB302" s="80"/>
      <c r="AC302" s="80"/>
    </row>
    <row r="303" spans="1:68" x14ac:dyDescent="0.2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100"/>
      <c r="P303" s="91" t="s">
        <v>72</v>
      </c>
      <c r="Q303" s="92"/>
      <c r="R303" s="92"/>
      <c r="S303" s="92"/>
      <c r="T303" s="92"/>
      <c r="U303" s="92"/>
      <c r="V303" s="93"/>
      <c r="W303" s="49" t="s">
        <v>70</v>
      </c>
      <c r="X303" s="79">
        <f>IFERROR(SUM(X295:X301),"0")</f>
        <v>257.27999999999997</v>
      </c>
      <c r="Y303" s="79">
        <f>IFERROR(SUM(Y295:Y301),"0")</f>
        <v>257.27999999999997</v>
      </c>
      <c r="Z303" s="49"/>
      <c r="AA303" s="80"/>
      <c r="AB303" s="80"/>
      <c r="AC303" s="80"/>
    </row>
    <row r="304" spans="1:68" ht="14.25" customHeight="1" x14ac:dyDescent="0.25">
      <c r="A304" s="89" t="s">
        <v>74</v>
      </c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66"/>
      <c r="AB304" s="66"/>
      <c r="AC304" s="66"/>
    </row>
    <row r="305" spans="1:68" ht="27" customHeight="1" x14ac:dyDescent="0.25">
      <c r="A305" s="24" t="s">
        <v>489</v>
      </c>
      <c r="B305" s="24" t="s">
        <v>490</v>
      </c>
      <c r="C305" s="25">
        <v>4301051100</v>
      </c>
      <c r="D305" s="86">
        <v>4607091387766</v>
      </c>
      <c r="E305" s="87"/>
      <c r="F305" s="75">
        <v>1.3</v>
      </c>
      <c r="G305" s="26">
        <v>6</v>
      </c>
      <c r="H305" s="75">
        <v>7.8</v>
      </c>
      <c r="I305" s="75">
        <v>8.3130000000000006</v>
      </c>
      <c r="J305" s="26">
        <v>64</v>
      </c>
      <c r="K305" s="26" t="s">
        <v>106</v>
      </c>
      <c r="L305" s="26"/>
      <c r="M305" s="35" t="s">
        <v>78</v>
      </c>
      <c r="N305" s="35"/>
      <c r="O305" s="26">
        <v>40</v>
      </c>
      <c r="P305" s="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84"/>
      <c r="R305" s="84"/>
      <c r="S305" s="84"/>
      <c r="T305" s="85"/>
      <c r="U305" s="47"/>
      <c r="V305" s="47"/>
      <c r="W305" s="48" t="s">
        <v>70</v>
      </c>
      <c r="X305" s="76">
        <v>1497.6</v>
      </c>
      <c r="Y305" s="77">
        <f>IFERROR(IF(X305="",0,CEILING((X305/$H305),1)*$H305),"")</f>
        <v>1497.6</v>
      </c>
      <c r="Z305" s="52">
        <f>IFERROR(IF(Y305=0,"",ROUNDUP(Y305/H305,0)*0.01898),"")</f>
        <v>3.6441600000000003</v>
      </c>
      <c r="AA305" s="53"/>
      <c r="AB305" s="54"/>
      <c r="AC305" s="55" t="s">
        <v>491</v>
      </c>
      <c r="AG305" s="78"/>
      <c r="AJ305" s="57"/>
      <c r="AK305" s="57">
        <v>0</v>
      </c>
      <c r="BB305" s="59" t="s">
        <v>1</v>
      </c>
      <c r="BM305" s="78">
        <f>IFERROR(X305*I305/H305,"0")</f>
        <v>1596.096</v>
      </c>
      <c r="BN305" s="78">
        <f>IFERROR(Y305*I305/H305,"0")</f>
        <v>1596.096</v>
      </c>
      <c r="BO305" s="78">
        <f>IFERROR(1/J305*(X305/H305),"0")</f>
        <v>3</v>
      </c>
      <c r="BP305" s="78">
        <f>IFERROR(1/J305*(Y305/H305),"0")</f>
        <v>3</v>
      </c>
    </row>
    <row r="306" spans="1:68" ht="27" customHeight="1" x14ac:dyDescent="0.25">
      <c r="A306" s="24" t="s">
        <v>492</v>
      </c>
      <c r="B306" s="24" t="s">
        <v>493</v>
      </c>
      <c r="C306" s="25">
        <v>4301051818</v>
      </c>
      <c r="D306" s="86">
        <v>4607091387957</v>
      </c>
      <c r="E306" s="87"/>
      <c r="F306" s="75">
        <v>1.3</v>
      </c>
      <c r="G306" s="26">
        <v>6</v>
      </c>
      <c r="H306" s="75">
        <v>7.8</v>
      </c>
      <c r="I306" s="75">
        <v>8.3190000000000008</v>
      </c>
      <c r="J306" s="26">
        <v>64</v>
      </c>
      <c r="K306" s="26" t="s">
        <v>106</v>
      </c>
      <c r="L306" s="26"/>
      <c r="M306" s="35" t="s">
        <v>78</v>
      </c>
      <c r="N306" s="35"/>
      <c r="O306" s="26">
        <v>40</v>
      </c>
      <c r="P306" s="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84"/>
      <c r="R306" s="84"/>
      <c r="S306" s="84"/>
      <c r="T306" s="85"/>
      <c r="U306" s="47"/>
      <c r="V306" s="47"/>
      <c r="W306" s="48" t="s">
        <v>70</v>
      </c>
      <c r="X306" s="76">
        <v>31.2</v>
      </c>
      <c r="Y306" s="77">
        <f>IFERROR(IF(X306="",0,CEILING((X306/$H306),1)*$H306),"")</f>
        <v>31.2</v>
      </c>
      <c r="Z306" s="52">
        <f>IFERROR(IF(Y306=0,"",ROUNDUP(Y306/H306,0)*0.01898),"")</f>
        <v>7.5920000000000001E-2</v>
      </c>
      <c r="AA306" s="53"/>
      <c r="AB306" s="54"/>
      <c r="AC306" s="55" t="s">
        <v>494</v>
      </c>
      <c r="AG306" s="78"/>
      <c r="AJ306" s="57"/>
      <c r="AK306" s="57">
        <v>0</v>
      </c>
      <c r="BB306" s="59" t="s">
        <v>1</v>
      </c>
      <c r="BM306" s="78">
        <f>IFERROR(X306*I306/H306,"0")</f>
        <v>33.276000000000003</v>
      </c>
      <c r="BN306" s="78">
        <f>IFERROR(Y306*I306/H306,"0")</f>
        <v>33.276000000000003</v>
      </c>
      <c r="BO306" s="78">
        <f>IFERROR(1/J306*(X306/H306),"0")</f>
        <v>6.25E-2</v>
      </c>
      <c r="BP306" s="78">
        <f>IFERROR(1/J306*(Y306/H306),"0")</f>
        <v>6.25E-2</v>
      </c>
    </row>
    <row r="307" spans="1:68" ht="27" customHeight="1" x14ac:dyDescent="0.25">
      <c r="A307" s="24" t="s">
        <v>495</v>
      </c>
      <c r="B307" s="24" t="s">
        <v>496</v>
      </c>
      <c r="C307" s="25">
        <v>4301051819</v>
      </c>
      <c r="D307" s="86">
        <v>4607091387964</v>
      </c>
      <c r="E307" s="87"/>
      <c r="F307" s="75">
        <v>1.35</v>
      </c>
      <c r="G307" s="26">
        <v>6</v>
      </c>
      <c r="H307" s="75">
        <v>8.1</v>
      </c>
      <c r="I307" s="75">
        <v>8.6010000000000009</v>
      </c>
      <c r="J307" s="26">
        <v>64</v>
      </c>
      <c r="K307" s="26" t="s">
        <v>106</v>
      </c>
      <c r="L307" s="26"/>
      <c r="M307" s="35" t="s">
        <v>78</v>
      </c>
      <c r="N307" s="35"/>
      <c r="O307" s="26">
        <v>40</v>
      </c>
      <c r="P307" s="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84"/>
      <c r="R307" s="84"/>
      <c r="S307" s="84"/>
      <c r="T307" s="85"/>
      <c r="U307" s="47"/>
      <c r="V307" s="47"/>
      <c r="W307" s="48" t="s">
        <v>70</v>
      </c>
      <c r="X307" s="76">
        <v>31.2</v>
      </c>
      <c r="Y307" s="77">
        <f>IFERROR(IF(X307="",0,CEILING((X307/$H307),1)*$H307),"")</f>
        <v>32.4</v>
      </c>
      <c r="Z307" s="52">
        <f>IFERROR(IF(Y307=0,"",ROUNDUP(Y307/H307,0)*0.01898),"")</f>
        <v>7.5920000000000001E-2</v>
      </c>
      <c r="AA307" s="53"/>
      <c r="AB307" s="54"/>
      <c r="AC307" s="55" t="s">
        <v>497</v>
      </c>
      <c r="AG307" s="78"/>
      <c r="AJ307" s="57"/>
      <c r="AK307" s="57">
        <v>0</v>
      </c>
      <c r="BB307" s="59" t="s">
        <v>1</v>
      </c>
      <c r="BM307" s="78">
        <f>IFERROR(X307*I307/H307,"0")</f>
        <v>33.129777777777782</v>
      </c>
      <c r="BN307" s="78">
        <f>IFERROR(Y307*I307/H307,"0")</f>
        <v>34.404000000000003</v>
      </c>
      <c r="BO307" s="78">
        <f>IFERROR(1/J307*(X307/H307),"0")</f>
        <v>6.0185185185185189E-2</v>
      </c>
      <c r="BP307" s="78">
        <f>IFERROR(1/J307*(Y307/H307),"0")</f>
        <v>6.25E-2</v>
      </c>
    </row>
    <row r="308" spans="1:68" ht="27" customHeight="1" x14ac:dyDescent="0.25">
      <c r="A308" s="24" t="s">
        <v>498</v>
      </c>
      <c r="B308" s="24" t="s">
        <v>499</v>
      </c>
      <c r="C308" s="25">
        <v>4301051734</v>
      </c>
      <c r="D308" s="86">
        <v>4680115884588</v>
      </c>
      <c r="E308" s="87"/>
      <c r="F308" s="75">
        <v>0.5</v>
      </c>
      <c r="G308" s="26">
        <v>6</v>
      </c>
      <c r="H308" s="75">
        <v>3</v>
      </c>
      <c r="I308" s="75">
        <v>3.246</v>
      </c>
      <c r="J308" s="26">
        <v>182</v>
      </c>
      <c r="K308" s="26" t="s">
        <v>77</v>
      </c>
      <c r="L308" s="26"/>
      <c r="M308" s="35" t="s">
        <v>78</v>
      </c>
      <c r="N308" s="35"/>
      <c r="O308" s="26">
        <v>40</v>
      </c>
      <c r="P308" s="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84"/>
      <c r="R308" s="84"/>
      <c r="S308" s="84"/>
      <c r="T308" s="85"/>
      <c r="U308" s="47"/>
      <c r="V308" s="47"/>
      <c r="W308" s="48" t="s">
        <v>70</v>
      </c>
      <c r="X308" s="76">
        <v>12</v>
      </c>
      <c r="Y308" s="77">
        <f>IFERROR(IF(X308="",0,CEILING((X308/$H308),1)*$H308),"")</f>
        <v>12</v>
      </c>
      <c r="Z308" s="52">
        <f>IFERROR(IF(Y308=0,"",ROUNDUP(Y308/H308,0)*0.00651),"")</f>
        <v>2.6040000000000001E-2</v>
      </c>
      <c r="AA308" s="53"/>
      <c r="AB308" s="54"/>
      <c r="AC308" s="55" t="s">
        <v>500</v>
      </c>
      <c r="AG308" s="78"/>
      <c r="AJ308" s="57"/>
      <c r="AK308" s="57">
        <v>0</v>
      </c>
      <c r="BB308" s="59" t="s">
        <v>1</v>
      </c>
      <c r="BM308" s="78">
        <f>IFERROR(X308*I308/H308,"0")</f>
        <v>12.984</v>
      </c>
      <c r="BN308" s="78">
        <f>IFERROR(Y308*I308/H308,"0")</f>
        <v>12.984</v>
      </c>
      <c r="BO308" s="78">
        <f>IFERROR(1/J308*(X308/H308),"0")</f>
        <v>2.197802197802198E-2</v>
      </c>
      <c r="BP308" s="78">
        <f>IFERROR(1/J308*(Y308/H308),"0")</f>
        <v>2.197802197802198E-2</v>
      </c>
    </row>
    <row r="309" spans="1:68" ht="27" customHeight="1" x14ac:dyDescent="0.25">
      <c r="A309" s="24" t="s">
        <v>501</v>
      </c>
      <c r="B309" s="24" t="s">
        <v>502</v>
      </c>
      <c r="C309" s="25">
        <v>4301051578</v>
      </c>
      <c r="D309" s="86">
        <v>4607091387513</v>
      </c>
      <c r="E309" s="87"/>
      <c r="F309" s="75">
        <v>0.45</v>
      </c>
      <c r="G309" s="26">
        <v>6</v>
      </c>
      <c r="H309" s="75">
        <v>2.7</v>
      </c>
      <c r="I309" s="75">
        <v>2.9580000000000002</v>
      </c>
      <c r="J309" s="26">
        <v>182</v>
      </c>
      <c r="K309" s="26" t="s">
        <v>77</v>
      </c>
      <c r="L309" s="26"/>
      <c r="M309" s="35" t="s">
        <v>93</v>
      </c>
      <c r="N309" s="35"/>
      <c r="O309" s="26">
        <v>40</v>
      </c>
      <c r="P309" s="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84"/>
      <c r="R309" s="84"/>
      <c r="S309" s="84"/>
      <c r="T309" s="85"/>
      <c r="U309" s="47"/>
      <c r="V309" s="47"/>
      <c r="W309" s="48" t="s">
        <v>70</v>
      </c>
      <c r="X309" s="76">
        <v>5.4</v>
      </c>
      <c r="Y309" s="77">
        <f>IFERROR(IF(X309="",0,CEILING((X309/$H309),1)*$H309),"")</f>
        <v>5.4</v>
      </c>
      <c r="Z309" s="52">
        <f>IFERROR(IF(Y309=0,"",ROUNDUP(Y309/H309,0)*0.00651),"")</f>
        <v>1.302E-2</v>
      </c>
      <c r="AA309" s="53"/>
      <c r="AB309" s="54"/>
      <c r="AC309" s="55" t="s">
        <v>503</v>
      </c>
      <c r="AG309" s="78"/>
      <c r="AJ309" s="57"/>
      <c r="AK309" s="57">
        <v>0</v>
      </c>
      <c r="BB309" s="59" t="s">
        <v>1</v>
      </c>
      <c r="BM309" s="78">
        <f>IFERROR(X309*I309/H309,"0")</f>
        <v>5.9160000000000004</v>
      </c>
      <c r="BN309" s="78">
        <f>IFERROR(Y309*I309/H309,"0")</f>
        <v>5.9160000000000004</v>
      </c>
      <c r="BO309" s="78">
        <f>IFERROR(1/J309*(X309/H309),"0")</f>
        <v>1.098901098901099E-2</v>
      </c>
      <c r="BP309" s="78">
        <f>IFERROR(1/J309*(Y309/H309),"0")</f>
        <v>1.098901098901099E-2</v>
      </c>
    </row>
    <row r="310" spans="1:68" x14ac:dyDescent="0.2">
      <c r="A310" s="99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100"/>
      <c r="P310" s="91" t="s">
        <v>72</v>
      </c>
      <c r="Q310" s="92"/>
      <c r="R310" s="92"/>
      <c r="S310" s="92"/>
      <c r="T310" s="92"/>
      <c r="U310" s="92"/>
      <c r="V310" s="93"/>
      <c r="W310" s="49" t="s">
        <v>73</v>
      </c>
      <c r="X310" s="79">
        <f>IFERROR(X305/H305,"0")+IFERROR(X306/H306,"0")+IFERROR(X307/H307,"0")+IFERROR(X308/H308,"0")+IFERROR(X309/H309,"0")</f>
        <v>205.85185185185185</v>
      </c>
      <c r="Y310" s="79">
        <f>IFERROR(Y305/H305,"0")+IFERROR(Y306/H306,"0")+IFERROR(Y307/H307,"0")+IFERROR(Y308/H308,"0")+IFERROR(Y309/H309,"0")</f>
        <v>206</v>
      </c>
      <c r="Z310" s="79">
        <f>IFERROR(IF(Z305="",0,Z305),"0")+IFERROR(IF(Z306="",0,Z306),"0")+IFERROR(IF(Z307="",0,Z307),"0")+IFERROR(IF(Z308="",0,Z308),"0")+IFERROR(IF(Z309="",0,Z309),"0")</f>
        <v>3.8350600000000004</v>
      </c>
      <c r="AA310" s="80"/>
      <c r="AB310" s="80"/>
      <c r="AC310" s="80"/>
    </row>
    <row r="311" spans="1:68" x14ac:dyDescent="0.2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100"/>
      <c r="P311" s="91" t="s">
        <v>72</v>
      </c>
      <c r="Q311" s="92"/>
      <c r="R311" s="92"/>
      <c r="S311" s="92"/>
      <c r="T311" s="92"/>
      <c r="U311" s="92"/>
      <c r="V311" s="93"/>
      <c r="W311" s="49" t="s">
        <v>70</v>
      </c>
      <c r="X311" s="79">
        <f>IFERROR(SUM(X305:X309),"0")</f>
        <v>1577.4</v>
      </c>
      <c r="Y311" s="79">
        <f>IFERROR(SUM(Y305:Y309),"0")</f>
        <v>1578.6000000000001</v>
      </c>
      <c r="Z311" s="49"/>
      <c r="AA311" s="80"/>
      <c r="AB311" s="80"/>
      <c r="AC311" s="80"/>
    </row>
    <row r="312" spans="1:68" ht="14.25" customHeight="1" x14ac:dyDescent="0.25">
      <c r="A312" s="89" t="s">
        <v>174</v>
      </c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66"/>
      <c r="AB312" s="66"/>
      <c r="AC312" s="66"/>
    </row>
    <row r="313" spans="1:68" ht="27" customHeight="1" x14ac:dyDescent="0.25">
      <c r="A313" s="24" t="s">
        <v>504</v>
      </c>
      <c r="B313" s="24" t="s">
        <v>505</v>
      </c>
      <c r="C313" s="25">
        <v>4301060387</v>
      </c>
      <c r="D313" s="86">
        <v>4607091380880</v>
      </c>
      <c r="E313" s="87"/>
      <c r="F313" s="75">
        <v>1.4</v>
      </c>
      <c r="G313" s="26">
        <v>6</v>
      </c>
      <c r="H313" s="75">
        <v>8.4</v>
      </c>
      <c r="I313" s="75">
        <v>8.9190000000000005</v>
      </c>
      <c r="J313" s="26">
        <v>64</v>
      </c>
      <c r="K313" s="26" t="s">
        <v>106</v>
      </c>
      <c r="L313" s="26"/>
      <c r="M313" s="35" t="s">
        <v>78</v>
      </c>
      <c r="N313" s="35"/>
      <c r="O313" s="26">
        <v>30</v>
      </c>
      <c r="P313" s="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84"/>
      <c r="R313" s="84"/>
      <c r="S313" s="84"/>
      <c r="T313" s="85"/>
      <c r="U313" s="47"/>
      <c r="V313" s="47"/>
      <c r="W313" s="48" t="s">
        <v>70</v>
      </c>
      <c r="X313" s="76">
        <v>33.6</v>
      </c>
      <c r="Y313" s="77">
        <f>IFERROR(IF(X313="",0,CEILING((X313/$H313),1)*$H313),"")</f>
        <v>33.6</v>
      </c>
      <c r="Z313" s="52">
        <f>IFERROR(IF(Y313=0,"",ROUNDUP(Y313/H313,0)*0.01898),"")</f>
        <v>7.5920000000000001E-2</v>
      </c>
      <c r="AA313" s="53"/>
      <c r="AB313" s="54"/>
      <c r="AC313" s="55" t="s">
        <v>506</v>
      </c>
      <c r="AG313" s="78"/>
      <c r="AJ313" s="57"/>
      <c r="AK313" s="57">
        <v>0</v>
      </c>
      <c r="BB313" s="59" t="s">
        <v>1</v>
      </c>
      <c r="BM313" s="78">
        <f>IFERROR(X313*I313/H313,"0")</f>
        <v>35.676000000000002</v>
      </c>
      <c r="BN313" s="78">
        <f>IFERROR(Y313*I313/H313,"0")</f>
        <v>35.676000000000002</v>
      </c>
      <c r="BO313" s="78">
        <f>IFERROR(1/J313*(X313/H313),"0")</f>
        <v>6.25E-2</v>
      </c>
      <c r="BP313" s="78">
        <f>IFERROR(1/J313*(Y313/H313),"0")</f>
        <v>6.25E-2</v>
      </c>
    </row>
    <row r="314" spans="1:68" ht="27" customHeight="1" x14ac:dyDescent="0.25">
      <c r="A314" s="24" t="s">
        <v>507</v>
      </c>
      <c r="B314" s="24" t="s">
        <v>508</v>
      </c>
      <c r="C314" s="25">
        <v>4301060406</v>
      </c>
      <c r="D314" s="86">
        <v>4607091384482</v>
      </c>
      <c r="E314" s="87"/>
      <c r="F314" s="75">
        <v>1.3</v>
      </c>
      <c r="G314" s="26">
        <v>6</v>
      </c>
      <c r="H314" s="75">
        <v>7.8</v>
      </c>
      <c r="I314" s="75">
        <v>8.3190000000000008</v>
      </c>
      <c r="J314" s="26">
        <v>64</v>
      </c>
      <c r="K314" s="26" t="s">
        <v>106</v>
      </c>
      <c r="L314" s="26"/>
      <c r="M314" s="35" t="s">
        <v>78</v>
      </c>
      <c r="N314" s="35"/>
      <c r="O314" s="26">
        <v>30</v>
      </c>
      <c r="P314" s="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84"/>
      <c r="R314" s="84"/>
      <c r="S314" s="84"/>
      <c r="T314" s="85"/>
      <c r="U314" s="47"/>
      <c r="V314" s="47"/>
      <c r="W314" s="48" t="s">
        <v>70</v>
      </c>
      <c r="X314" s="76">
        <v>39</v>
      </c>
      <c r="Y314" s="77">
        <f>IFERROR(IF(X314="",0,CEILING((X314/$H314),1)*$H314),"")</f>
        <v>39</v>
      </c>
      <c r="Z314" s="52">
        <f>IFERROR(IF(Y314=0,"",ROUNDUP(Y314/H314,0)*0.01898),"")</f>
        <v>9.4899999999999998E-2</v>
      </c>
      <c r="AA314" s="53"/>
      <c r="AB314" s="54"/>
      <c r="AC314" s="55" t="s">
        <v>509</v>
      </c>
      <c r="AG314" s="78"/>
      <c r="AJ314" s="57"/>
      <c r="AK314" s="57">
        <v>0</v>
      </c>
      <c r="BB314" s="59" t="s">
        <v>1</v>
      </c>
      <c r="BM314" s="78">
        <f>IFERROR(X314*I314/H314,"0")</f>
        <v>41.595000000000006</v>
      </c>
      <c r="BN314" s="78">
        <f>IFERROR(Y314*I314/H314,"0")</f>
        <v>41.595000000000006</v>
      </c>
      <c r="BO314" s="78">
        <f>IFERROR(1/J314*(X314/H314),"0")</f>
        <v>7.8125E-2</v>
      </c>
      <c r="BP314" s="78">
        <f>IFERROR(1/J314*(Y314/H314),"0")</f>
        <v>7.8125E-2</v>
      </c>
    </row>
    <row r="315" spans="1:68" ht="16.5" customHeight="1" x14ac:dyDescent="0.25">
      <c r="A315" s="24" t="s">
        <v>510</v>
      </c>
      <c r="B315" s="24" t="s">
        <v>511</v>
      </c>
      <c r="C315" s="25">
        <v>4301060484</v>
      </c>
      <c r="D315" s="86">
        <v>4607091380897</v>
      </c>
      <c r="E315" s="87"/>
      <c r="F315" s="75">
        <v>1.4</v>
      </c>
      <c r="G315" s="26">
        <v>6</v>
      </c>
      <c r="H315" s="75">
        <v>8.4</v>
      </c>
      <c r="I315" s="75">
        <v>8.9190000000000005</v>
      </c>
      <c r="J315" s="26">
        <v>64</v>
      </c>
      <c r="K315" s="26" t="s">
        <v>106</v>
      </c>
      <c r="L315" s="26"/>
      <c r="M315" s="35" t="s">
        <v>93</v>
      </c>
      <c r="N315" s="35"/>
      <c r="O315" s="26">
        <v>30</v>
      </c>
      <c r="P315" s="8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84"/>
      <c r="R315" s="84"/>
      <c r="S315" s="84"/>
      <c r="T315" s="85"/>
      <c r="U315" s="47"/>
      <c r="V315" s="47"/>
      <c r="W315" s="48" t="s">
        <v>70</v>
      </c>
      <c r="X315" s="76">
        <v>58.8</v>
      </c>
      <c r="Y315" s="77">
        <f>IFERROR(IF(X315="",0,CEILING((X315/$H315),1)*$H315),"")</f>
        <v>58.800000000000004</v>
      </c>
      <c r="Z315" s="52">
        <f>IFERROR(IF(Y315=0,"",ROUNDUP(Y315/H315,0)*0.01898),"")</f>
        <v>0.13286000000000001</v>
      </c>
      <c r="AA315" s="53"/>
      <c r="AB315" s="54"/>
      <c r="AC315" s="55" t="s">
        <v>512</v>
      </c>
      <c r="AG315" s="78"/>
      <c r="AJ315" s="57"/>
      <c r="AK315" s="57">
        <v>0</v>
      </c>
      <c r="BB315" s="59" t="s">
        <v>1</v>
      </c>
      <c r="BM315" s="78">
        <f>IFERROR(X315*I315/H315,"0")</f>
        <v>62.432999999999993</v>
      </c>
      <c r="BN315" s="78">
        <f>IFERROR(Y315*I315/H315,"0")</f>
        <v>62.433000000000007</v>
      </c>
      <c r="BO315" s="78">
        <f>IFERROR(1/J315*(X315/H315),"0")</f>
        <v>0.10937499999999999</v>
      </c>
      <c r="BP315" s="78">
        <f>IFERROR(1/J315*(Y315/H315),"0")</f>
        <v>0.109375</v>
      </c>
    </row>
    <row r="316" spans="1:68" x14ac:dyDescent="0.2">
      <c r="A316" s="99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100"/>
      <c r="P316" s="91" t="s">
        <v>72</v>
      </c>
      <c r="Q316" s="92"/>
      <c r="R316" s="92"/>
      <c r="S316" s="92"/>
      <c r="T316" s="92"/>
      <c r="U316" s="92"/>
      <c r="V316" s="93"/>
      <c r="W316" s="49" t="s">
        <v>73</v>
      </c>
      <c r="X316" s="79">
        <f>IFERROR(X313/H313,"0")+IFERROR(X314/H314,"0")+IFERROR(X315/H315,"0")</f>
        <v>16</v>
      </c>
      <c r="Y316" s="79">
        <f>IFERROR(Y313/H313,"0")+IFERROR(Y314/H314,"0")+IFERROR(Y315/H315,"0")</f>
        <v>16</v>
      </c>
      <c r="Z316" s="79">
        <f>IFERROR(IF(Z313="",0,Z313),"0")+IFERROR(IF(Z314="",0,Z314),"0")+IFERROR(IF(Z315="",0,Z315),"0")</f>
        <v>0.30368000000000001</v>
      </c>
      <c r="AA316" s="80"/>
      <c r="AB316" s="80"/>
      <c r="AC316" s="80"/>
    </row>
    <row r="317" spans="1:68" x14ac:dyDescent="0.2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100"/>
      <c r="P317" s="91" t="s">
        <v>72</v>
      </c>
      <c r="Q317" s="92"/>
      <c r="R317" s="92"/>
      <c r="S317" s="92"/>
      <c r="T317" s="92"/>
      <c r="U317" s="92"/>
      <c r="V317" s="93"/>
      <c r="W317" s="49" t="s">
        <v>70</v>
      </c>
      <c r="X317" s="79">
        <f>IFERROR(SUM(X313:X315),"0")</f>
        <v>131.39999999999998</v>
      </c>
      <c r="Y317" s="79">
        <f>IFERROR(SUM(Y313:Y315),"0")</f>
        <v>131.4</v>
      </c>
      <c r="Z317" s="49"/>
      <c r="AA317" s="80"/>
      <c r="AB317" s="80"/>
      <c r="AC317" s="80"/>
    </row>
    <row r="318" spans="1:68" ht="14.25" customHeight="1" x14ac:dyDescent="0.25">
      <c r="A318" s="89" t="s">
        <v>95</v>
      </c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66"/>
      <c r="AB318" s="66"/>
      <c r="AC318" s="66"/>
    </row>
    <row r="319" spans="1:68" ht="27" customHeight="1" x14ac:dyDescent="0.25">
      <c r="A319" s="24" t="s">
        <v>513</v>
      </c>
      <c r="B319" s="24" t="s">
        <v>514</v>
      </c>
      <c r="C319" s="25">
        <v>4301030235</v>
      </c>
      <c r="D319" s="86">
        <v>4607091388381</v>
      </c>
      <c r="E319" s="87"/>
      <c r="F319" s="75">
        <v>0.38</v>
      </c>
      <c r="G319" s="26">
        <v>8</v>
      </c>
      <c r="H319" s="75">
        <v>3.04</v>
      </c>
      <c r="I319" s="75">
        <v>3.33</v>
      </c>
      <c r="J319" s="26">
        <v>132</v>
      </c>
      <c r="K319" s="26" t="s">
        <v>111</v>
      </c>
      <c r="L319" s="26"/>
      <c r="M319" s="35" t="s">
        <v>98</v>
      </c>
      <c r="N319" s="35"/>
      <c r="O319" s="26">
        <v>180</v>
      </c>
      <c r="P319" s="123" t="s">
        <v>515</v>
      </c>
      <c r="Q319" s="84"/>
      <c r="R319" s="84"/>
      <c r="S319" s="84"/>
      <c r="T319" s="85"/>
      <c r="U319" s="47"/>
      <c r="V319" s="47"/>
      <c r="W319" s="48" t="s">
        <v>70</v>
      </c>
      <c r="X319" s="76">
        <v>3.04</v>
      </c>
      <c r="Y319" s="77">
        <f>IFERROR(IF(X319="",0,CEILING((X319/$H319),1)*$H319),"")</f>
        <v>3.04</v>
      </c>
      <c r="Z319" s="52">
        <f>IFERROR(IF(Y319=0,"",ROUNDUP(Y319/H319,0)*0.00902),"")</f>
        <v>9.0200000000000002E-3</v>
      </c>
      <c r="AA319" s="53"/>
      <c r="AB319" s="54"/>
      <c r="AC319" s="55" t="s">
        <v>516</v>
      </c>
      <c r="AG319" s="78"/>
      <c r="AJ319" s="57"/>
      <c r="AK319" s="57">
        <v>0</v>
      </c>
      <c r="BB319" s="59" t="s">
        <v>1</v>
      </c>
      <c r="BM319" s="78">
        <f>IFERROR(X319*I319/H319,"0")</f>
        <v>3.33</v>
      </c>
      <c r="BN319" s="78">
        <f>IFERROR(Y319*I319/H319,"0")</f>
        <v>3.33</v>
      </c>
      <c r="BO319" s="78">
        <f>IFERROR(1/J319*(X319/H319),"0")</f>
        <v>7.575757575757576E-3</v>
      </c>
      <c r="BP319" s="78">
        <f>IFERROR(1/J319*(Y319/H319),"0")</f>
        <v>7.575757575757576E-3</v>
      </c>
    </row>
    <row r="320" spans="1:68" ht="27" customHeight="1" x14ac:dyDescent="0.25">
      <c r="A320" s="24" t="s">
        <v>517</v>
      </c>
      <c r="B320" s="24" t="s">
        <v>518</v>
      </c>
      <c r="C320" s="25">
        <v>4301030232</v>
      </c>
      <c r="D320" s="86">
        <v>4607091388374</v>
      </c>
      <c r="E320" s="87"/>
      <c r="F320" s="75">
        <v>0.38</v>
      </c>
      <c r="G320" s="26">
        <v>8</v>
      </c>
      <c r="H320" s="75">
        <v>3.04</v>
      </c>
      <c r="I320" s="75">
        <v>3.29</v>
      </c>
      <c r="J320" s="26">
        <v>132</v>
      </c>
      <c r="K320" s="26" t="s">
        <v>111</v>
      </c>
      <c r="L320" s="26"/>
      <c r="M320" s="35" t="s">
        <v>98</v>
      </c>
      <c r="N320" s="35"/>
      <c r="O320" s="26">
        <v>180</v>
      </c>
      <c r="P320" s="123" t="s">
        <v>519</v>
      </c>
      <c r="Q320" s="84"/>
      <c r="R320" s="84"/>
      <c r="S320" s="84"/>
      <c r="T320" s="85"/>
      <c r="U320" s="47"/>
      <c r="V320" s="47"/>
      <c r="W320" s="48" t="s">
        <v>70</v>
      </c>
      <c r="X320" s="76">
        <v>3.04</v>
      </c>
      <c r="Y320" s="77">
        <f>IFERROR(IF(X320="",0,CEILING((X320/$H320),1)*$H320),"")</f>
        <v>3.04</v>
      </c>
      <c r="Z320" s="52">
        <f>IFERROR(IF(Y320=0,"",ROUNDUP(Y320/H320,0)*0.00902),"")</f>
        <v>9.0200000000000002E-3</v>
      </c>
      <c r="AA320" s="53"/>
      <c r="AB320" s="54"/>
      <c r="AC320" s="55" t="s">
        <v>516</v>
      </c>
      <c r="AG320" s="78"/>
      <c r="AJ320" s="57"/>
      <c r="AK320" s="57">
        <v>0</v>
      </c>
      <c r="BB320" s="59" t="s">
        <v>1</v>
      </c>
      <c r="BM320" s="78">
        <f>IFERROR(X320*I320/H320,"0")</f>
        <v>3.29</v>
      </c>
      <c r="BN320" s="78">
        <f>IFERROR(Y320*I320/H320,"0")</f>
        <v>3.29</v>
      </c>
      <c r="BO320" s="78">
        <f>IFERROR(1/J320*(X320/H320),"0")</f>
        <v>7.575757575757576E-3</v>
      </c>
      <c r="BP320" s="78">
        <f>IFERROR(1/J320*(Y320/H320),"0")</f>
        <v>7.575757575757576E-3</v>
      </c>
    </row>
    <row r="321" spans="1:68" ht="27" customHeight="1" x14ac:dyDescent="0.25">
      <c r="A321" s="24" t="s">
        <v>520</v>
      </c>
      <c r="B321" s="24" t="s">
        <v>521</v>
      </c>
      <c r="C321" s="25">
        <v>4301032015</v>
      </c>
      <c r="D321" s="86">
        <v>4607091383102</v>
      </c>
      <c r="E321" s="87"/>
      <c r="F321" s="75">
        <v>0.17</v>
      </c>
      <c r="G321" s="26">
        <v>15</v>
      </c>
      <c r="H321" s="75">
        <v>2.5499999999999998</v>
      </c>
      <c r="I321" s="75">
        <v>2.9550000000000001</v>
      </c>
      <c r="J321" s="26">
        <v>182</v>
      </c>
      <c r="K321" s="26" t="s">
        <v>77</v>
      </c>
      <c r="L321" s="26"/>
      <c r="M321" s="35" t="s">
        <v>98</v>
      </c>
      <c r="N321" s="35"/>
      <c r="O321" s="26">
        <v>180</v>
      </c>
      <c r="P321" s="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84"/>
      <c r="R321" s="84"/>
      <c r="S321" s="84"/>
      <c r="T321" s="85"/>
      <c r="U321" s="47"/>
      <c r="V321" s="47"/>
      <c r="W321" s="48" t="s">
        <v>70</v>
      </c>
      <c r="X321" s="76">
        <v>5.0999999999999996</v>
      </c>
      <c r="Y321" s="77">
        <f>IFERROR(IF(X321="",0,CEILING((X321/$H321),1)*$H321),"")</f>
        <v>5.0999999999999996</v>
      </c>
      <c r="Z321" s="52">
        <f>IFERROR(IF(Y321=0,"",ROUNDUP(Y321/H321,0)*0.00651),"")</f>
        <v>1.302E-2</v>
      </c>
      <c r="AA321" s="53"/>
      <c r="AB321" s="54"/>
      <c r="AC321" s="55" t="s">
        <v>522</v>
      </c>
      <c r="AG321" s="78"/>
      <c r="AJ321" s="57"/>
      <c r="AK321" s="57">
        <v>0</v>
      </c>
      <c r="BB321" s="59" t="s">
        <v>1</v>
      </c>
      <c r="BM321" s="78">
        <f>IFERROR(X321*I321/H321,"0")</f>
        <v>5.91</v>
      </c>
      <c r="BN321" s="78">
        <f>IFERROR(Y321*I321/H321,"0")</f>
        <v>5.91</v>
      </c>
      <c r="BO321" s="78">
        <f>IFERROR(1/J321*(X321/H321),"0")</f>
        <v>1.098901098901099E-2</v>
      </c>
      <c r="BP321" s="78">
        <f>IFERROR(1/J321*(Y321/H321),"0")</f>
        <v>1.098901098901099E-2</v>
      </c>
    </row>
    <row r="322" spans="1:68" ht="27" customHeight="1" x14ac:dyDescent="0.25">
      <c r="A322" s="24" t="s">
        <v>523</v>
      </c>
      <c r="B322" s="24" t="s">
        <v>524</v>
      </c>
      <c r="C322" s="25">
        <v>4301030233</v>
      </c>
      <c r="D322" s="86">
        <v>4607091388404</v>
      </c>
      <c r="E322" s="87"/>
      <c r="F322" s="75">
        <v>0.17</v>
      </c>
      <c r="G322" s="26">
        <v>15</v>
      </c>
      <c r="H322" s="75">
        <v>2.5499999999999998</v>
      </c>
      <c r="I322" s="75">
        <v>2.88</v>
      </c>
      <c r="J322" s="26">
        <v>182</v>
      </c>
      <c r="K322" s="26" t="s">
        <v>77</v>
      </c>
      <c r="L322" s="26"/>
      <c r="M322" s="35" t="s">
        <v>98</v>
      </c>
      <c r="N322" s="35"/>
      <c r="O322" s="26">
        <v>180</v>
      </c>
      <c r="P322" s="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84"/>
      <c r="R322" s="84"/>
      <c r="S322" s="84"/>
      <c r="T322" s="85"/>
      <c r="U322" s="47"/>
      <c r="V322" s="47"/>
      <c r="W322" s="48" t="s">
        <v>70</v>
      </c>
      <c r="X322" s="76">
        <v>5.0999999999999996</v>
      </c>
      <c r="Y322" s="77">
        <f>IFERROR(IF(X322="",0,CEILING((X322/$H322),1)*$H322),"")</f>
        <v>5.0999999999999996</v>
      </c>
      <c r="Z322" s="52">
        <f>IFERROR(IF(Y322=0,"",ROUNDUP(Y322/H322,0)*0.00651),"")</f>
        <v>1.302E-2</v>
      </c>
      <c r="AA322" s="53"/>
      <c r="AB322" s="54"/>
      <c r="AC322" s="55" t="s">
        <v>516</v>
      </c>
      <c r="AG322" s="78"/>
      <c r="AJ322" s="57"/>
      <c r="AK322" s="57">
        <v>0</v>
      </c>
      <c r="BB322" s="59" t="s">
        <v>1</v>
      </c>
      <c r="BM322" s="78">
        <f>IFERROR(X322*I322/H322,"0")</f>
        <v>5.76</v>
      </c>
      <c r="BN322" s="78">
        <f>IFERROR(Y322*I322/H322,"0")</f>
        <v>5.76</v>
      </c>
      <c r="BO322" s="78">
        <f>IFERROR(1/J322*(X322/H322),"0")</f>
        <v>1.098901098901099E-2</v>
      </c>
      <c r="BP322" s="78">
        <f>IFERROR(1/J322*(Y322/H322),"0")</f>
        <v>1.098901098901099E-2</v>
      </c>
    </row>
    <row r="323" spans="1:68" x14ac:dyDescent="0.2">
      <c r="A323" s="99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100"/>
      <c r="P323" s="91" t="s">
        <v>72</v>
      </c>
      <c r="Q323" s="92"/>
      <c r="R323" s="92"/>
      <c r="S323" s="92"/>
      <c r="T323" s="92"/>
      <c r="U323" s="92"/>
      <c r="V323" s="93"/>
      <c r="W323" s="49" t="s">
        <v>73</v>
      </c>
      <c r="X323" s="79">
        <f>IFERROR(X319/H319,"0")+IFERROR(X320/H320,"0")+IFERROR(X321/H321,"0")+IFERROR(X322/H322,"0")</f>
        <v>6</v>
      </c>
      <c r="Y323" s="79">
        <f>IFERROR(Y319/H319,"0")+IFERROR(Y320/H320,"0")+IFERROR(Y321/H321,"0")+IFERROR(Y322/H322,"0")</f>
        <v>6</v>
      </c>
      <c r="Z323" s="79">
        <f>IFERROR(IF(Z319="",0,Z319),"0")+IFERROR(IF(Z320="",0,Z320),"0")+IFERROR(IF(Z321="",0,Z321),"0")+IFERROR(IF(Z322="",0,Z322),"0")</f>
        <v>4.4080000000000001E-2</v>
      </c>
      <c r="AA323" s="80"/>
      <c r="AB323" s="80"/>
      <c r="AC323" s="80"/>
    </row>
    <row r="324" spans="1:68" x14ac:dyDescent="0.2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100"/>
      <c r="P324" s="91" t="s">
        <v>72</v>
      </c>
      <c r="Q324" s="92"/>
      <c r="R324" s="92"/>
      <c r="S324" s="92"/>
      <c r="T324" s="92"/>
      <c r="U324" s="92"/>
      <c r="V324" s="93"/>
      <c r="W324" s="49" t="s">
        <v>70</v>
      </c>
      <c r="X324" s="79">
        <f>IFERROR(SUM(X319:X322),"0")</f>
        <v>16.28</v>
      </c>
      <c r="Y324" s="79">
        <f>IFERROR(SUM(Y319:Y322),"0")</f>
        <v>16.28</v>
      </c>
      <c r="Z324" s="49"/>
      <c r="AA324" s="80"/>
      <c r="AB324" s="80"/>
      <c r="AC324" s="80"/>
    </row>
    <row r="325" spans="1:68" ht="14.25" customHeight="1" x14ac:dyDescent="0.25">
      <c r="A325" s="89" t="s">
        <v>525</v>
      </c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66"/>
      <c r="AB325" s="66"/>
      <c r="AC325" s="66"/>
    </row>
    <row r="326" spans="1:68" ht="16.5" customHeight="1" x14ac:dyDescent="0.25">
      <c r="A326" s="24" t="s">
        <v>526</v>
      </c>
      <c r="B326" s="24" t="s">
        <v>527</v>
      </c>
      <c r="C326" s="25">
        <v>4301180007</v>
      </c>
      <c r="D326" s="86">
        <v>4680115881808</v>
      </c>
      <c r="E326" s="87"/>
      <c r="F326" s="75">
        <v>0.1</v>
      </c>
      <c r="G326" s="26">
        <v>20</v>
      </c>
      <c r="H326" s="75">
        <v>2</v>
      </c>
      <c r="I326" s="75">
        <v>2.2400000000000002</v>
      </c>
      <c r="J326" s="26">
        <v>238</v>
      </c>
      <c r="K326" s="26" t="s">
        <v>77</v>
      </c>
      <c r="L326" s="26"/>
      <c r="M326" s="35" t="s">
        <v>528</v>
      </c>
      <c r="N326" s="35"/>
      <c r="O326" s="26">
        <v>730</v>
      </c>
      <c r="P326" s="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84"/>
      <c r="R326" s="84"/>
      <c r="S326" s="84"/>
      <c r="T326" s="85"/>
      <c r="U326" s="47"/>
      <c r="V326" s="47"/>
      <c r="W326" s="48" t="s">
        <v>70</v>
      </c>
      <c r="X326" s="76">
        <v>4</v>
      </c>
      <c r="Y326" s="77">
        <f>IFERROR(IF(X326="",0,CEILING((X326/$H326),1)*$H326),"")</f>
        <v>4</v>
      </c>
      <c r="Z326" s="52">
        <f>IFERROR(IF(Y326=0,"",ROUNDUP(Y326/H326,0)*0.00474),"")</f>
        <v>9.4800000000000006E-3</v>
      </c>
      <c r="AA326" s="53"/>
      <c r="AB326" s="54"/>
      <c r="AC326" s="55" t="s">
        <v>529</v>
      </c>
      <c r="AG326" s="78"/>
      <c r="AJ326" s="57"/>
      <c r="AK326" s="57">
        <v>0</v>
      </c>
      <c r="BB326" s="59" t="s">
        <v>1</v>
      </c>
      <c r="BM326" s="78">
        <f>IFERROR(X326*I326/H326,"0")</f>
        <v>4.4800000000000004</v>
      </c>
      <c r="BN326" s="78">
        <f>IFERROR(Y326*I326/H326,"0")</f>
        <v>4.4800000000000004</v>
      </c>
      <c r="BO326" s="78">
        <f>IFERROR(1/J326*(X326/H326),"0")</f>
        <v>8.4033613445378148E-3</v>
      </c>
      <c r="BP326" s="78">
        <f>IFERROR(1/J326*(Y326/H326),"0")</f>
        <v>8.4033613445378148E-3</v>
      </c>
    </row>
    <row r="327" spans="1:68" ht="27" customHeight="1" x14ac:dyDescent="0.25">
      <c r="A327" s="24" t="s">
        <v>530</v>
      </c>
      <c r="B327" s="24" t="s">
        <v>531</v>
      </c>
      <c r="C327" s="25">
        <v>4301180006</v>
      </c>
      <c r="D327" s="86">
        <v>4680115881822</v>
      </c>
      <c r="E327" s="87"/>
      <c r="F327" s="75">
        <v>0.1</v>
      </c>
      <c r="G327" s="26">
        <v>20</v>
      </c>
      <c r="H327" s="75">
        <v>2</v>
      </c>
      <c r="I327" s="75">
        <v>2.2400000000000002</v>
      </c>
      <c r="J327" s="26">
        <v>238</v>
      </c>
      <c r="K327" s="26" t="s">
        <v>77</v>
      </c>
      <c r="L327" s="26"/>
      <c r="M327" s="35" t="s">
        <v>528</v>
      </c>
      <c r="N327" s="35"/>
      <c r="O327" s="26">
        <v>730</v>
      </c>
      <c r="P327" s="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84"/>
      <c r="R327" s="84"/>
      <c r="S327" s="84"/>
      <c r="T327" s="85"/>
      <c r="U327" s="47"/>
      <c r="V327" s="47"/>
      <c r="W327" s="48" t="s">
        <v>70</v>
      </c>
      <c r="X327" s="76">
        <v>4</v>
      </c>
      <c r="Y327" s="77">
        <f>IFERROR(IF(X327="",0,CEILING((X327/$H327),1)*$H327),"")</f>
        <v>4</v>
      </c>
      <c r="Z327" s="52">
        <f>IFERROR(IF(Y327=0,"",ROUNDUP(Y327/H327,0)*0.00474),"")</f>
        <v>9.4800000000000006E-3</v>
      </c>
      <c r="AA327" s="53"/>
      <c r="AB327" s="54"/>
      <c r="AC327" s="55" t="s">
        <v>529</v>
      </c>
      <c r="AG327" s="78"/>
      <c r="AJ327" s="57"/>
      <c r="AK327" s="57">
        <v>0</v>
      </c>
      <c r="BB327" s="59" t="s">
        <v>1</v>
      </c>
      <c r="BM327" s="78">
        <f>IFERROR(X327*I327/H327,"0")</f>
        <v>4.4800000000000004</v>
      </c>
      <c r="BN327" s="78">
        <f>IFERROR(Y327*I327/H327,"0")</f>
        <v>4.4800000000000004</v>
      </c>
      <c r="BO327" s="78">
        <f>IFERROR(1/J327*(X327/H327),"0")</f>
        <v>8.4033613445378148E-3</v>
      </c>
      <c r="BP327" s="78">
        <f>IFERROR(1/J327*(Y327/H327),"0")</f>
        <v>8.4033613445378148E-3</v>
      </c>
    </row>
    <row r="328" spans="1:68" ht="27" customHeight="1" x14ac:dyDescent="0.25">
      <c r="A328" s="24" t="s">
        <v>532</v>
      </c>
      <c r="B328" s="24" t="s">
        <v>533</v>
      </c>
      <c r="C328" s="25">
        <v>4301180001</v>
      </c>
      <c r="D328" s="86">
        <v>4680115880016</v>
      </c>
      <c r="E328" s="87"/>
      <c r="F328" s="75">
        <v>0.1</v>
      </c>
      <c r="G328" s="26">
        <v>20</v>
      </c>
      <c r="H328" s="75">
        <v>2</v>
      </c>
      <c r="I328" s="75">
        <v>2.2400000000000002</v>
      </c>
      <c r="J328" s="26">
        <v>238</v>
      </c>
      <c r="K328" s="26" t="s">
        <v>77</v>
      </c>
      <c r="L328" s="26"/>
      <c r="M328" s="35" t="s">
        <v>528</v>
      </c>
      <c r="N328" s="35"/>
      <c r="O328" s="26">
        <v>730</v>
      </c>
      <c r="P328" s="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84"/>
      <c r="R328" s="84"/>
      <c r="S328" s="84"/>
      <c r="T328" s="85"/>
      <c r="U328" s="47"/>
      <c r="V328" s="47"/>
      <c r="W328" s="48" t="s">
        <v>70</v>
      </c>
      <c r="X328" s="76">
        <v>4</v>
      </c>
      <c r="Y328" s="77">
        <f>IFERROR(IF(X328="",0,CEILING((X328/$H328),1)*$H328),"")</f>
        <v>4</v>
      </c>
      <c r="Z328" s="52">
        <f>IFERROR(IF(Y328=0,"",ROUNDUP(Y328/H328,0)*0.00474),"")</f>
        <v>9.4800000000000006E-3</v>
      </c>
      <c r="AA328" s="53"/>
      <c r="AB328" s="54"/>
      <c r="AC328" s="55" t="s">
        <v>529</v>
      </c>
      <c r="AG328" s="78"/>
      <c r="AJ328" s="57"/>
      <c r="AK328" s="57">
        <v>0</v>
      </c>
      <c r="BB328" s="59" t="s">
        <v>1</v>
      </c>
      <c r="BM328" s="78">
        <f>IFERROR(X328*I328/H328,"0")</f>
        <v>4.4800000000000004</v>
      </c>
      <c r="BN328" s="78">
        <f>IFERROR(Y328*I328/H328,"0")</f>
        <v>4.4800000000000004</v>
      </c>
      <c r="BO328" s="78">
        <f>IFERROR(1/J328*(X328/H328),"0")</f>
        <v>8.4033613445378148E-3</v>
      </c>
      <c r="BP328" s="78">
        <f>IFERROR(1/J328*(Y328/H328),"0")</f>
        <v>8.4033613445378148E-3</v>
      </c>
    </row>
    <row r="329" spans="1:68" x14ac:dyDescent="0.2">
      <c r="A329" s="99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100"/>
      <c r="P329" s="91" t="s">
        <v>72</v>
      </c>
      <c r="Q329" s="92"/>
      <c r="R329" s="92"/>
      <c r="S329" s="92"/>
      <c r="T329" s="92"/>
      <c r="U329" s="92"/>
      <c r="V329" s="93"/>
      <c r="W329" s="49" t="s">
        <v>73</v>
      </c>
      <c r="X329" s="79">
        <f>IFERROR(X326/H326,"0")+IFERROR(X327/H327,"0")+IFERROR(X328/H328,"0")</f>
        <v>6</v>
      </c>
      <c r="Y329" s="79">
        <f>IFERROR(Y326/H326,"0")+IFERROR(Y327/H327,"0")+IFERROR(Y328/H328,"0")</f>
        <v>6</v>
      </c>
      <c r="Z329" s="79">
        <f>IFERROR(IF(Z326="",0,Z326),"0")+IFERROR(IF(Z327="",0,Z327),"0")+IFERROR(IF(Z328="",0,Z328),"0")</f>
        <v>2.844E-2</v>
      </c>
      <c r="AA329" s="80"/>
      <c r="AB329" s="80"/>
      <c r="AC329" s="80"/>
    </row>
    <row r="330" spans="1:68" x14ac:dyDescent="0.2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100"/>
      <c r="P330" s="91" t="s">
        <v>72</v>
      </c>
      <c r="Q330" s="92"/>
      <c r="R330" s="92"/>
      <c r="S330" s="92"/>
      <c r="T330" s="92"/>
      <c r="U330" s="92"/>
      <c r="V330" s="93"/>
      <c r="W330" s="49" t="s">
        <v>70</v>
      </c>
      <c r="X330" s="79">
        <f>IFERROR(SUM(X326:X328),"0")</f>
        <v>12</v>
      </c>
      <c r="Y330" s="79">
        <f>IFERROR(SUM(Y326:Y328),"0")</f>
        <v>12</v>
      </c>
      <c r="Z330" s="49"/>
      <c r="AA330" s="80"/>
      <c r="AB330" s="80"/>
      <c r="AC330" s="80"/>
    </row>
    <row r="331" spans="1:68" ht="16.5" customHeight="1" x14ac:dyDescent="0.25">
      <c r="A331" s="94" t="s">
        <v>534</v>
      </c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65"/>
      <c r="AB331" s="65"/>
      <c r="AC331" s="65"/>
    </row>
    <row r="332" spans="1:68" ht="14.25" customHeight="1" x14ac:dyDescent="0.25">
      <c r="A332" s="89" t="s">
        <v>74</v>
      </c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66"/>
      <c r="AB332" s="66"/>
      <c r="AC332" s="66"/>
    </row>
    <row r="333" spans="1:68" ht="27" customHeight="1" x14ac:dyDescent="0.25">
      <c r="A333" s="24" t="s">
        <v>535</v>
      </c>
      <c r="B333" s="24" t="s">
        <v>536</v>
      </c>
      <c r="C333" s="25">
        <v>4301051489</v>
      </c>
      <c r="D333" s="86">
        <v>4607091387919</v>
      </c>
      <c r="E333" s="87"/>
      <c r="F333" s="75">
        <v>1.35</v>
      </c>
      <c r="G333" s="26">
        <v>6</v>
      </c>
      <c r="H333" s="75">
        <v>8.1</v>
      </c>
      <c r="I333" s="75">
        <v>8.6189999999999998</v>
      </c>
      <c r="J333" s="26">
        <v>64</v>
      </c>
      <c r="K333" s="26" t="s">
        <v>106</v>
      </c>
      <c r="L333" s="26"/>
      <c r="M333" s="35" t="s">
        <v>93</v>
      </c>
      <c r="N333" s="35"/>
      <c r="O333" s="26">
        <v>45</v>
      </c>
      <c r="P333" s="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84"/>
      <c r="R333" s="84"/>
      <c r="S333" s="84"/>
      <c r="T333" s="85"/>
      <c r="U333" s="47"/>
      <c r="V333" s="47"/>
      <c r="W333" s="48" t="s">
        <v>70</v>
      </c>
      <c r="X333" s="76">
        <v>56.7</v>
      </c>
      <c r="Y333" s="77">
        <f>IFERROR(IF(X333="",0,CEILING((X333/$H333),1)*$H333),"")</f>
        <v>56.699999999999996</v>
      </c>
      <c r="Z333" s="52">
        <f>IFERROR(IF(Y333=0,"",ROUNDUP(Y333/H333,0)*0.01898),"")</f>
        <v>0.13286000000000001</v>
      </c>
      <c r="AA333" s="53"/>
      <c r="AB333" s="54"/>
      <c r="AC333" s="55" t="s">
        <v>537</v>
      </c>
      <c r="AG333" s="78"/>
      <c r="AJ333" s="57"/>
      <c r="AK333" s="57">
        <v>0</v>
      </c>
      <c r="BB333" s="59" t="s">
        <v>1</v>
      </c>
      <c r="BM333" s="78">
        <f>IFERROR(X333*I333/H333,"0")</f>
        <v>60.332999999999998</v>
      </c>
      <c r="BN333" s="78">
        <f>IFERROR(Y333*I333/H333,"0")</f>
        <v>60.332999999999991</v>
      </c>
      <c r="BO333" s="78">
        <f>IFERROR(1/J333*(X333/H333),"0")</f>
        <v>0.10937500000000001</v>
      </c>
      <c r="BP333" s="78">
        <f>IFERROR(1/J333*(Y333/H333),"0")</f>
        <v>0.109375</v>
      </c>
    </row>
    <row r="334" spans="1:68" ht="27" customHeight="1" x14ac:dyDescent="0.25">
      <c r="A334" s="24" t="s">
        <v>538</v>
      </c>
      <c r="B334" s="24" t="s">
        <v>539</v>
      </c>
      <c r="C334" s="25">
        <v>4301051461</v>
      </c>
      <c r="D334" s="86">
        <v>4680115883604</v>
      </c>
      <c r="E334" s="87"/>
      <c r="F334" s="75">
        <v>0.35</v>
      </c>
      <c r="G334" s="26">
        <v>6</v>
      </c>
      <c r="H334" s="75">
        <v>2.1</v>
      </c>
      <c r="I334" s="75">
        <v>2.3519999999999999</v>
      </c>
      <c r="J334" s="26">
        <v>182</v>
      </c>
      <c r="K334" s="26" t="s">
        <v>77</v>
      </c>
      <c r="L334" s="26"/>
      <c r="M334" s="35" t="s">
        <v>78</v>
      </c>
      <c r="N334" s="35"/>
      <c r="O334" s="26">
        <v>45</v>
      </c>
      <c r="P334" s="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84"/>
      <c r="R334" s="84"/>
      <c r="S334" s="84"/>
      <c r="T334" s="85"/>
      <c r="U334" s="47"/>
      <c r="V334" s="47"/>
      <c r="W334" s="48" t="s">
        <v>70</v>
      </c>
      <c r="X334" s="76">
        <v>14.7</v>
      </c>
      <c r="Y334" s="77">
        <f>IFERROR(IF(X334="",0,CEILING((X334/$H334),1)*$H334),"")</f>
        <v>14.700000000000001</v>
      </c>
      <c r="Z334" s="52">
        <f>IFERROR(IF(Y334=0,"",ROUNDUP(Y334/H334,0)*0.00651),"")</f>
        <v>4.5569999999999999E-2</v>
      </c>
      <c r="AA334" s="53"/>
      <c r="AB334" s="54"/>
      <c r="AC334" s="55" t="s">
        <v>540</v>
      </c>
      <c r="AG334" s="78"/>
      <c r="AJ334" s="57"/>
      <c r="AK334" s="57">
        <v>0</v>
      </c>
      <c r="BB334" s="59" t="s">
        <v>1</v>
      </c>
      <c r="BM334" s="78">
        <f>IFERROR(X334*I334/H334,"0")</f>
        <v>16.463999999999999</v>
      </c>
      <c r="BN334" s="78">
        <f>IFERROR(Y334*I334/H334,"0")</f>
        <v>16.463999999999999</v>
      </c>
      <c r="BO334" s="78">
        <f>IFERROR(1/J334*(X334/H334),"0")</f>
        <v>3.8461538461538457E-2</v>
      </c>
      <c r="BP334" s="78">
        <f>IFERROR(1/J334*(Y334/H334),"0")</f>
        <v>3.8461538461538464E-2</v>
      </c>
    </row>
    <row r="335" spans="1:68" ht="27" customHeight="1" x14ac:dyDescent="0.25">
      <c r="A335" s="24" t="s">
        <v>541</v>
      </c>
      <c r="B335" s="24" t="s">
        <v>542</v>
      </c>
      <c r="C335" s="25">
        <v>4301051864</v>
      </c>
      <c r="D335" s="86">
        <v>4680115883567</v>
      </c>
      <c r="E335" s="87"/>
      <c r="F335" s="75">
        <v>0.35</v>
      </c>
      <c r="G335" s="26">
        <v>6</v>
      </c>
      <c r="H335" s="75">
        <v>2.1</v>
      </c>
      <c r="I335" s="75">
        <v>2.34</v>
      </c>
      <c r="J335" s="26">
        <v>182</v>
      </c>
      <c r="K335" s="26" t="s">
        <v>77</v>
      </c>
      <c r="L335" s="26"/>
      <c r="M335" s="35" t="s">
        <v>93</v>
      </c>
      <c r="N335" s="35"/>
      <c r="O335" s="26">
        <v>40</v>
      </c>
      <c r="P335" s="8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84"/>
      <c r="R335" s="84"/>
      <c r="S335" s="84"/>
      <c r="T335" s="85"/>
      <c r="U335" s="47"/>
      <c r="V335" s="47"/>
      <c r="W335" s="48" t="s">
        <v>70</v>
      </c>
      <c r="X335" s="76">
        <v>14.7</v>
      </c>
      <c r="Y335" s="77">
        <f>IFERROR(IF(X335="",0,CEILING((X335/$H335),1)*$H335),"")</f>
        <v>14.700000000000001</v>
      </c>
      <c r="Z335" s="52">
        <f>IFERROR(IF(Y335=0,"",ROUNDUP(Y335/H335,0)*0.00651),"")</f>
        <v>4.5569999999999999E-2</v>
      </c>
      <c r="AA335" s="53"/>
      <c r="AB335" s="54"/>
      <c r="AC335" s="55" t="s">
        <v>543</v>
      </c>
      <c r="AG335" s="78"/>
      <c r="AJ335" s="57"/>
      <c r="AK335" s="57">
        <v>0</v>
      </c>
      <c r="BB335" s="59" t="s">
        <v>1</v>
      </c>
      <c r="BM335" s="78">
        <f>IFERROR(X335*I335/H335,"0")</f>
        <v>16.38</v>
      </c>
      <c r="BN335" s="78">
        <f>IFERROR(Y335*I335/H335,"0")</f>
        <v>16.380000000000003</v>
      </c>
      <c r="BO335" s="78">
        <f>IFERROR(1/J335*(X335/H335),"0")</f>
        <v>3.8461538461538457E-2</v>
      </c>
      <c r="BP335" s="78">
        <f>IFERROR(1/J335*(Y335/H335),"0")</f>
        <v>3.8461538461538464E-2</v>
      </c>
    </row>
    <row r="336" spans="1:68" x14ac:dyDescent="0.2">
      <c r="A336" s="99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100"/>
      <c r="P336" s="91" t="s">
        <v>72</v>
      </c>
      <c r="Q336" s="92"/>
      <c r="R336" s="92"/>
      <c r="S336" s="92"/>
      <c r="T336" s="92"/>
      <c r="U336" s="92"/>
      <c r="V336" s="93"/>
      <c r="W336" s="49" t="s">
        <v>73</v>
      </c>
      <c r="X336" s="79">
        <f>IFERROR(X333/H333,"0")+IFERROR(X334/H334,"0")+IFERROR(X335/H335,"0")</f>
        <v>21</v>
      </c>
      <c r="Y336" s="79">
        <f>IFERROR(Y333/H333,"0")+IFERROR(Y334/H334,"0")+IFERROR(Y335/H335,"0")</f>
        <v>21</v>
      </c>
      <c r="Z336" s="79">
        <f>IFERROR(IF(Z333="",0,Z333),"0")+IFERROR(IF(Z334="",0,Z334),"0")+IFERROR(IF(Z335="",0,Z335),"0")</f>
        <v>0.224</v>
      </c>
      <c r="AA336" s="80"/>
      <c r="AB336" s="80"/>
      <c r="AC336" s="80"/>
    </row>
    <row r="337" spans="1:68" x14ac:dyDescent="0.2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100"/>
      <c r="P337" s="91" t="s">
        <v>72</v>
      </c>
      <c r="Q337" s="92"/>
      <c r="R337" s="92"/>
      <c r="S337" s="92"/>
      <c r="T337" s="92"/>
      <c r="U337" s="92"/>
      <c r="V337" s="93"/>
      <c r="W337" s="49" t="s">
        <v>70</v>
      </c>
      <c r="X337" s="79">
        <f>IFERROR(SUM(X333:X335),"0")</f>
        <v>86.100000000000009</v>
      </c>
      <c r="Y337" s="79">
        <f>IFERROR(SUM(Y333:Y335),"0")</f>
        <v>86.1</v>
      </c>
      <c r="Z337" s="49"/>
      <c r="AA337" s="80"/>
      <c r="AB337" s="80"/>
      <c r="AC337" s="80"/>
    </row>
    <row r="338" spans="1:68" ht="27.75" customHeight="1" x14ac:dyDescent="0.2">
      <c r="A338" s="115" t="s">
        <v>544</v>
      </c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  <c r="AA338" s="51"/>
      <c r="AB338" s="51"/>
      <c r="AC338" s="51"/>
    </row>
    <row r="339" spans="1:68" ht="16.5" customHeight="1" x14ac:dyDescent="0.25">
      <c r="A339" s="94" t="s">
        <v>545</v>
      </c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65"/>
      <c r="AB339" s="65"/>
      <c r="AC339" s="65"/>
    </row>
    <row r="340" spans="1:68" ht="14.25" customHeight="1" x14ac:dyDescent="0.25">
      <c r="A340" s="89" t="s">
        <v>103</v>
      </c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66"/>
      <c r="AB340" s="66"/>
      <c r="AC340" s="66"/>
    </row>
    <row r="341" spans="1:68" ht="37.5" customHeight="1" x14ac:dyDescent="0.25">
      <c r="A341" s="24" t="s">
        <v>546</v>
      </c>
      <c r="B341" s="24" t="s">
        <v>547</v>
      </c>
      <c r="C341" s="25">
        <v>4301011869</v>
      </c>
      <c r="D341" s="86">
        <v>4680115884847</v>
      </c>
      <c r="E341" s="87"/>
      <c r="F341" s="75">
        <v>2.5</v>
      </c>
      <c r="G341" s="26">
        <v>6</v>
      </c>
      <c r="H341" s="75">
        <v>15</v>
      </c>
      <c r="I341" s="75">
        <v>15.48</v>
      </c>
      <c r="J341" s="26">
        <v>48</v>
      </c>
      <c r="K341" s="26" t="s">
        <v>106</v>
      </c>
      <c r="L341" s="26" t="s">
        <v>125</v>
      </c>
      <c r="M341" s="35" t="s">
        <v>68</v>
      </c>
      <c r="N341" s="35"/>
      <c r="O341" s="26">
        <v>60</v>
      </c>
      <c r="P341" s="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84"/>
      <c r="R341" s="84"/>
      <c r="S341" s="84"/>
      <c r="T341" s="85"/>
      <c r="U341" s="47"/>
      <c r="V341" s="47"/>
      <c r="W341" s="48" t="s">
        <v>70</v>
      </c>
      <c r="X341" s="76">
        <v>0</v>
      </c>
      <c r="Y341" s="77">
        <f t="shared" ref="Y341:Y347" si="52">IFERROR(IF(X341="",0,CEILING((X341/$H341),1)*$H341),"")</f>
        <v>0</v>
      </c>
      <c r="Z341" s="52" t="str">
        <f>IFERROR(IF(Y341=0,"",ROUNDUP(Y341/H341,0)*0.02175),"")</f>
        <v/>
      </c>
      <c r="AA341" s="53"/>
      <c r="AB341" s="54"/>
      <c r="AC341" s="55" t="s">
        <v>548</v>
      </c>
      <c r="AG341" s="78"/>
      <c r="AJ341" s="57" t="s">
        <v>127</v>
      </c>
      <c r="AK341" s="57">
        <v>720</v>
      </c>
      <c r="BB341" s="59" t="s">
        <v>1</v>
      </c>
      <c r="BM341" s="78">
        <f t="shared" ref="BM341:BM347" si="53">IFERROR(X341*I341/H341,"0")</f>
        <v>0</v>
      </c>
      <c r="BN341" s="78">
        <f t="shared" ref="BN341:BN347" si="54">IFERROR(Y341*I341/H341,"0")</f>
        <v>0</v>
      </c>
      <c r="BO341" s="78">
        <f t="shared" ref="BO341:BO347" si="55">IFERROR(1/J341*(X341/H341),"0")</f>
        <v>0</v>
      </c>
      <c r="BP341" s="78">
        <f t="shared" ref="BP341:BP347" si="56">IFERROR(1/J341*(Y341/H341),"0")</f>
        <v>0</v>
      </c>
    </row>
    <row r="342" spans="1:68" ht="27" customHeight="1" x14ac:dyDescent="0.25">
      <c r="A342" s="24" t="s">
        <v>549</v>
      </c>
      <c r="B342" s="24" t="s">
        <v>550</v>
      </c>
      <c r="C342" s="25">
        <v>4301011870</v>
      </c>
      <c r="D342" s="86">
        <v>4680115884854</v>
      </c>
      <c r="E342" s="87"/>
      <c r="F342" s="75">
        <v>2.5</v>
      </c>
      <c r="G342" s="26">
        <v>6</v>
      </c>
      <c r="H342" s="75">
        <v>15</v>
      </c>
      <c r="I342" s="75">
        <v>15.48</v>
      </c>
      <c r="J342" s="26">
        <v>48</v>
      </c>
      <c r="K342" s="26" t="s">
        <v>106</v>
      </c>
      <c r="L342" s="26" t="s">
        <v>125</v>
      </c>
      <c r="M342" s="35" t="s">
        <v>68</v>
      </c>
      <c r="N342" s="35"/>
      <c r="O342" s="26">
        <v>60</v>
      </c>
      <c r="P342" s="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84"/>
      <c r="R342" s="84"/>
      <c r="S342" s="84"/>
      <c r="T342" s="85"/>
      <c r="U342" s="47"/>
      <c r="V342" s="47"/>
      <c r="W342" s="48" t="s">
        <v>70</v>
      </c>
      <c r="X342" s="76">
        <v>720</v>
      </c>
      <c r="Y342" s="77">
        <f t="shared" si="52"/>
        <v>720</v>
      </c>
      <c r="Z342" s="52">
        <f>IFERROR(IF(Y342=0,"",ROUNDUP(Y342/H342,0)*0.02175),"")</f>
        <v>1.044</v>
      </c>
      <c r="AA342" s="53"/>
      <c r="AB342" s="54"/>
      <c r="AC342" s="55" t="s">
        <v>551</v>
      </c>
      <c r="AG342" s="78"/>
      <c r="AJ342" s="57" t="s">
        <v>127</v>
      </c>
      <c r="AK342" s="57">
        <v>720</v>
      </c>
      <c r="BB342" s="59" t="s">
        <v>1</v>
      </c>
      <c r="BM342" s="78">
        <f t="shared" si="53"/>
        <v>743.04000000000008</v>
      </c>
      <c r="BN342" s="78">
        <f t="shared" si="54"/>
        <v>743.04000000000008</v>
      </c>
      <c r="BO342" s="78">
        <f t="shared" si="55"/>
        <v>1</v>
      </c>
      <c r="BP342" s="78">
        <f t="shared" si="56"/>
        <v>1</v>
      </c>
    </row>
    <row r="343" spans="1:68" ht="27" customHeight="1" x14ac:dyDescent="0.25">
      <c r="A343" s="24" t="s">
        <v>552</v>
      </c>
      <c r="B343" s="24" t="s">
        <v>553</v>
      </c>
      <c r="C343" s="25">
        <v>4301011832</v>
      </c>
      <c r="D343" s="86">
        <v>4607091383997</v>
      </c>
      <c r="E343" s="87"/>
      <c r="F343" s="75">
        <v>2.5</v>
      </c>
      <c r="G343" s="26">
        <v>6</v>
      </c>
      <c r="H343" s="75">
        <v>15</v>
      </c>
      <c r="I343" s="75">
        <v>15.48</v>
      </c>
      <c r="J343" s="26">
        <v>48</v>
      </c>
      <c r="K343" s="26" t="s">
        <v>106</v>
      </c>
      <c r="L343" s="26"/>
      <c r="M343" s="35" t="s">
        <v>93</v>
      </c>
      <c r="N343" s="35"/>
      <c r="O343" s="26">
        <v>60</v>
      </c>
      <c r="P343" s="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84"/>
      <c r="R343" s="84"/>
      <c r="S343" s="84"/>
      <c r="T343" s="85"/>
      <c r="U343" s="47"/>
      <c r="V343" s="47"/>
      <c r="W343" s="48" t="s">
        <v>70</v>
      </c>
      <c r="X343" s="76">
        <v>720</v>
      </c>
      <c r="Y343" s="77">
        <f t="shared" si="52"/>
        <v>720</v>
      </c>
      <c r="Z343" s="52">
        <f>IFERROR(IF(Y343=0,"",ROUNDUP(Y343/H343,0)*0.02175),"")</f>
        <v>1.044</v>
      </c>
      <c r="AA343" s="53"/>
      <c r="AB343" s="54"/>
      <c r="AC343" s="55" t="s">
        <v>554</v>
      </c>
      <c r="AG343" s="78"/>
      <c r="AJ343" s="57"/>
      <c r="AK343" s="57">
        <v>0</v>
      </c>
      <c r="BB343" s="59" t="s">
        <v>1</v>
      </c>
      <c r="BM343" s="78">
        <f t="shared" si="53"/>
        <v>743.04000000000008</v>
      </c>
      <c r="BN343" s="78">
        <f t="shared" si="54"/>
        <v>743.04000000000008</v>
      </c>
      <c r="BO343" s="78">
        <f t="shared" si="55"/>
        <v>1</v>
      </c>
      <c r="BP343" s="78">
        <f t="shared" si="56"/>
        <v>1</v>
      </c>
    </row>
    <row r="344" spans="1:68" ht="37.5" customHeight="1" x14ac:dyDescent="0.25">
      <c r="A344" s="24" t="s">
        <v>555</v>
      </c>
      <c r="B344" s="24" t="s">
        <v>556</v>
      </c>
      <c r="C344" s="25">
        <v>4301011867</v>
      </c>
      <c r="D344" s="86">
        <v>4680115884830</v>
      </c>
      <c r="E344" s="87"/>
      <c r="F344" s="75">
        <v>2.5</v>
      </c>
      <c r="G344" s="26">
        <v>6</v>
      </c>
      <c r="H344" s="75">
        <v>15</v>
      </c>
      <c r="I344" s="75">
        <v>15.48</v>
      </c>
      <c r="J344" s="26">
        <v>48</v>
      </c>
      <c r="K344" s="26" t="s">
        <v>106</v>
      </c>
      <c r="L344" s="26" t="s">
        <v>125</v>
      </c>
      <c r="M344" s="35" t="s">
        <v>68</v>
      </c>
      <c r="N344" s="35"/>
      <c r="O344" s="26">
        <v>60</v>
      </c>
      <c r="P344" s="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84"/>
      <c r="R344" s="84"/>
      <c r="S344" s="84"/>
      <c r="T344" s="85"/>
      <c r="U344" s="47"/>
      <c r="V344" s="47"/>
      <c r="W344" s="48" t="s">
        <v>70</v>
      </c>
      <c r="X344" s="76">
        <v>0</v>
      </c>
      <c r="Y344" s="77">
        <f t="shared" si="52"/>
        <v>0</v>
      </c>
      <c r="Z344" s="52" t="str">
        <f>IFERROR(IF(Y344=0,"",ROUNDUP(Y344/H344,0)*0.02175),"")</f>
        <v/>
      </c>
      <c r="AA344" s="53"/>
      <c r="AB344" s="54"/>
      <c r="AC344" s="55" t="s">
        <v>557</v>
      </c>
      <c r="AG344" s="78"/>
      <c r="AJ344" s="57" t="s">
        <v>127</v>
      </c>
      <c r="AK344" s="57">
        <v>720</v>
      </c>
      <c r="BB344" s="59" t="s">
        <v>1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customHeight="1" x14ac:dyDescent="0.25">
      <c r="A345" s="24" t="s">
        <v>558</v>
      </c>
      <c r="B345" s="24" t="s">
        <v>559</v>
      </c>
      <c r="C345" s="25">
        <v>4301011433</v>
      </c>
      <c r="D345" s="86">
        <v>4680115882638</v>
      </c>
      <c r="E345" s="87"/>
      <c r="F345" s="75">
        <v>0.4</v>
      </c>
      <c r="G345" s="26">
        <v>10</v>
      </c>
      <c r="H345" s="75">
        <v>4</v>
      </c>
      <c r="I345" s="75">
        <v>4.21</v>
      </c>
      <c r="J345" s="26">
        <v>132</v>
      </c>
      <c r="K345" s="26" t="s">
        <v>111</v>
      </c>
      <c r="L345" s="26"/>
      <c r="M345" s="35" t="s">
        <v>107</v>
      </c>
      <c r="N345" s="35"/>
      <c r="O345" s="26">
        <v>90</v>
      </c>
      <c r="P345" s="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84"/>
      <c r="R345" s="84"/>
      <c r="S345" s="84"/>
      <c r="T345" s="85"/>
      <c r="U345" s="47"/>
      <c r="V345" s="47"/>
      <c r="W345" s="48" t="s">
        <v>70</v>
      </c>
      <c r="X345" s="76">
        <v>12</v>
      </c>
      <c r="Y345" s="77">
        <f t="shared" si="52"/>
        <v>12</v>
      </c>
      <c r="Z345" s="52">
        <f>IFERROR(IF(Y345=0,"",ROUNDUP(Y345/H345,0)*0.00902),"")</f>
        <v>2.7060000000000001E-2</v>
      </c>
      <c r="AA345" s="53"/>
      <c r="AB345" s="54"/>
      <c r="AC345" s="55" t="s">
        <v>560</v>
      </c>
      <c r="AG345" s="78"/>
      <c r="AJ345" s="57"/>
      <c r="AK345" s="57">
        <v>0</v>
      </c>
      <c r="BB345" s="59" t="s">
        <v>1</v>
      </c>
      <c r="BM345" s="78">
        <f t="shared" si="53"/>
        <v>12.629999999999999</v>
      </c>
      <c r="BN345" s="78">
        <f t="shared" si="54"/>
        <v>12.629999999999999</v>
      </c>
      <c r="BO345" s="78">
        <f t="shared" si="55"/>
        <v>2.2727272727272728E-2</v>
      </c>
      <c r="BP345" s="78">
        <f t="shared" si="56"/>
        <v>2.2727272727272728E-2</v>
      </c>
    </row>
    <row r="346" spans="1:68" ht="27" customHeight="1" x14ac:dyDescent="0.25">
      <c r="A346" s="24" t="s">
        <v>561</v>
      </c>
      <c r="B346" s="24" t="s">
        <v>562</v>
      </c>
      <c r="C346" s="25">
        <v>4301011952</v>
      </c>
      <c r="D346" s="86">
        <v>4680115884922</v>
      </c>
      <c r="E346" s="87"/>
      <c r="F346" s="75">
        <v>0.5</v>
      </c>
      <c r="G346" s="26">
        <v>10</v>
      </c>
      <c r="H346" s="75">
        <v>5</v>
      </c>
      <c r="I346" s="75">
        <v>5.21</v>
      </c>
      <c r="J346" s="26">
        <v>132</v>
      </c>
      <c r="K346" s="26" t="s">
        <v>111</v>
      </c>
      <c r="L346" s="26"/>
      <c r="M346" s="35" t="s">
        <v>68</v>
      </c>
      <c r="N346" s="35"/>
      <c r="O346" s="26">
        <v>60</v>
      </c>
      <c r="P346" s="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84"/>
      <c r="R346" s="84"/>
      <c r="S346" s="84"/>
      <c r="T346" s="85"/>
      <c r="U346" s="47"/>
      <c r="V346" s="47"/>
      <c r="W346" s="48" t="s">
        <v>70</v>
      </c>
      <c r="X346" s="76">
        <v>12</v>
      </c>
      <c r="Y346" s="77">
        <f t="shared" si="52"/>
        <v>15</v>
      </c>
      <c r="Z346" s="52">
        <f>IFERROR(IF(Y346=0,"",ROUNDUP(Y346/H346,0)*0.00902),"")</f>
        <v>2.7060000000000001E-2</v>
      </c>
      <c r="AA346" s="53"/>
      <c r="AB346" s="54"/>
      <c r="AC346" s="55" t="s">
        <v>551</v>
      </c>
      <c r="AG346" s="78"/>
      <c r="AJ346" s="57"/>
      <c r="AK346" s="57">
        <v>0</v>
      </c>
      <c r="BB346" s="59" t="s">
        <v>1</v>
      </c>
      <c r="BM346" s="78">
        <f t="shared" si="53"/>
        <v>12.504</v>
      </c>
      <c r="BN346" s="78">
        <f t="shared" si="54"/>
        <v>15.63</v>
      </c>
      <c r="BO346" s="78">
        <f t="shared" si="55"/>
        <v>1.8181818181818181E-2</v>
      </c>
      <c r="BP346" s="78">
        <f t="shared" si="56"/>
        <v>2.2727272727272728E-2</v>
      </c>
    </row>
    <row r="347" spans="1:68" ht="37.5" customHeight="1" x14ac:dyDescent="0.25">
      <c r="A347" s="24" t="s">
        <v>563</v>
      </c>
      <c r="B347" s="24" t="s">
        <v>564</v>
      </c>
      <c r="C347" s="25">
        <v>4301011868</v>
      </c>
      <c r="D347" s="86">
        <v>4680115884861</v>
      </c>
      <c r="E347" s="87"/>
      <c r="F347" s="75">
        <v>0.5</v>
      </c>
      <c r="G347" s="26">
        <v>10</v>
      </c>
      <c r="H347" s="75">
        <v>5</v>
      </c>
      <c r="I347" s="75">
        <v>5.21</v>
      </c>
      <c r="J347" s="26">
        <v>132</v>
      </c>
      <c r="K347" s="26" t="s">
        <v>111</v>
      </c>
      <c r="L347" s="26"/>
      <c r="M347" s="35" t="s">
        <v>68</v>
      </c>
      <c r="N347" s="35"/>
      <c r="O347" s="26">
        <v>60</v>
      </c>
      <c r="P347" s="8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84"/>
      <c r="R347" s="84"/>
      <c r="S347" s="84"/>
      <c r="T347" s="85"/>
      <c r="U347" s="47"/>
      <c r="V347" s="47"/>
      <c r="W347" s="48" t="s">
        <v>70</v>
      </c>
      <c r="X347" s="76">
        <v>12</v>
      </c>
      <c r="Y347" s="77">
        <f t="shared" si="52"/>
        <v>15</v>
      </c>
      <c r="Z347" s="52">
        <f>IFERROR(IF(Y347=0,"",ROUNDUP(Y347/H347,0)*0.00902),"")</f>
        <v>2.7060000000000001E-2</v>
      </c>
      <c r="AA347" s="53"/>
      <c r="AB347" s="54"/>
      <c r="AC347" s="55" t="s">
        <v>557</v>
      </c>
      <c r="AG347" s="78"/>
      <c r="AJ347" s="57"/>
      <c r="AK347" s="57">
        <v>0</v>
      </c>
      <c r="BB347" s="59" t="s">
        <v>1</v>
      </c>
      <c r="BM347" s="78">
        <f t="shared" si="53"/>
        <v>12.504</v>
      </c>
      <c r="BN347" s="78">
        <f t="shared" si="54"/>
        <v>15.63</v>
      </c>
      <c r="BO347" s="78">
        <f t="shared" si="55"/>
        <v>1.8181818181818181E-2</v>
      </c>
      <c r="BP347" s="78">
        <f t="shared" si="56"/>
        <v>2.2727272727272728E-2</v>
      </c>
    </row>
    <row r="348" spans="1:68" x14ac:dyDescent="0.2">
      <c r="A348" s="99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100"/>
      <c r="P348" s="91" t="s">
        <v>72</v>
      </c>
      <c r="Q348" s="92"/>
      <c r="R348" s="92"/>
      <c r="S348" s="92"/>
      <c r="T348" s="92"/>
      <c r="U348" s="92"/>
      <c r="V348" s="93"/>
      <c r="W348" s="49" t="s">
        <v>73</v>
      </c>
      <c r="X348" s="79">
        <f>IFERROR(X341/H341,"0")+IFERROR(X342/H342,"0")+IFERROR(X343/H343,"0")+IFERROR(X344/H344,"0")+IFERROR(X345/H345,"0")+IFERROR(X346/H346,"0")+IFERROR(X347/H347,"0")</f>
        <v>103.80000000000001</v>
      </c>
      <c r="Y348" s="79">
        <f>IFERROR(Y341/H341,"0")+IFERROR(Y342/H342,"0")+IFERROR(Y343/H343,"0")+IFERROR(Y344/H344,"0")+IFERROR(Y345/H345,"0")+IFERROR(Y346/H346,"0")+IFERROR(Y347/H347,"0")</f>
        <v>105</v>
      </c>
      <c r="Z348" s="79">
        <f>IFERROR(IF(Z341="",0,Z341),"0")+IFERROR(IF(Z342="",0,Z342),"0")+IFERROR(IF(Z343="",0,Z343),"0")+IFERROR(IF(Z344="",0,Z344),"0")+IFERROR(IF(Z345="",0,Z345),"0")+IFERROR(IF(Z346="",0,Z346),"0")+IFERROR(IF(Z347="",0,Z347),"0")</f>
        <v>2.1691800000000003</v>
      </c>
      <c r="AA348" s="80"/>
      <c r="AB348" s="80"/>
      <c r="AC348" s="80"/>
    </row>
    <row r="349" spans="1:68" x14ac:dyDescent="0.2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100"/>
      <c r="P349" s="91" t="s">
        <v>72</v>
      </c>
      <c r="Q349" s="92"/>
      <c r="R349" s="92"/>
      <c r="S349" s="92"/>
      <c r="T349" s="92"/>
      <c r="U349" s="92"/>
      <c r="V349" s="93"/>
      <c r="W349" s="49" t="s">
        <v>70</v>
      </c>
      <c r="X349" s="79">
        <f>IFERROR(SUM(X341:X347),"0")</f>
        <v>1476</v>
      </c>
      <c r="Y349" s="79">
        <f>IFERROR(SUM(Y341:Y347),"0")</f>
        <v>1482</v>
      </c>
      <c r="Z349" s="49"/>
      <c r="AA349" s="80"/>
      <c r="AB349" s="80"/>
      <c r="AC349" s="80"/>
    </row>
    <row r="350" spans="1:68" ht="14.25" customHeight="1" x14ac:dyDescent="0.25">
      <c r="A350" s="89" t="s">
        <v>139</v>
      </c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66"/>
      <c r="AB350" s="66"/>
      <c r="AC350" s="66"/>
    </row>
    <row r="351" spans="1:68" ht="27" customHeight="1" x14ac:dyDescent="0.25">
      <c r="A351" s="24" t="s">
        <v>565</v>
      </c>
      <c r="B351" s="24" t="s">
        <v>566</v>
      </c>
      <c r="C351" s="25">
        <v>4301020178</v>
      </c>
      <c r="D351" s="86">
        <v>4607091383980</v>
      </c>
      <c r="E351" s="87"/>
      <c r="F351" s="75">
        <v>2.5</v>
      </c>
      <c r="G351" s="26">
        <v>6</v>
      </c>
      <c r="H351" s="75">
        <v>15</v>
      </c>
      <c r="I351" s="75">
        <v>15.48</v>
      </c>
      <c r="J351" s="26">
        <v>48</v>
      </c>
      <c r="K351" s="26" t="s">
        <v>106</v>
      </c>
      <c r="L351" s="26" t="s">
        <v>125</v>
      </c>
      <c r="M351" s="35" t="s">
        <v>107</v>
      </c>
      <c r="N351" s="35"/>
      <c r="O351" s="26">
        <v>50</v>
      </c>
      <c r="P351" s="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84"/>
      <c r="R351" s="84"/>
      <c r="S351" s="84"/>
      <c r="T351" s="85"/>
      <c r="U351" s="47"/>
      <c r="V351" s="47"/>
      <c r="W351" s="48" t="s">
        <v>70</v>
      </c>
      <c r="X351" s="76">
        <v>720</v>
      </c>
      <c r="Y351" s="77">
        <f>IFERROR(IF(X351="",0,CEILING((X351/$H351),1)*$H351),"")</f>
        <v>720</v>
      </c>
      <c r="Z351" s="52">
        <f>IFERROR(IF(Y351=0,"",ROUNDUP(Y351/H351,0)*0.02175),"")</f>
        <v>1.044</v>
      </c>
      <c r="AA351" s="53"/>
      <c r="AB351" s="54"/>
      <c r="AC351" s="55" t="s">
        <v>567</v>
      </c>
      <c r="AG351" s="78"/>
      <c r="AJ351" s="57" t="s">
        <v>127</v>
      </c>
      <c r="AK351" s="57">
        <v>720</v>
      </c>
      <c r="BB351" s="59" t="s">
        <v>1</v>
      </c>
      <c r="BM351" s="78">
        <f>IFERROR(X351*I351/H351,"0")</f>
        <v>743.04000000000008</v>
      </c>
      <c r="BN351" s="78">
        <f>IFERROR(Y351*I351/H351,"0")</f>
        <v>743.04000000000008</v>
      </c>
      <c r="BO351" s="78">
        <f>IFERROR(1/J351*(X351/H351),"0")</f>
        <v>1</v>
      </c>
      <c r="BP351" s="78">
        <f>IFERROR(1/J351*(Y351/H351),"0")</f>
        <v>1</v>
      </c>
    </row>
    <row r="352" spans="1:68" ht="16.5" customHeight="1" x14ac:dyDescent="0.25">
      <c r="A352" s="24" t="s">
        <v>568</v>
      </c>
      <c r="B352" s="24" t="s">
        <v>569</v>
      </c>
      <c r="C352" s="25">
        <v>4301020179</v>
      </c>
      <c r="D352" s="86">
        <v>4607091384178</v>
      </c>
      <c r="E352" s="87"/>
      <c r="F352" s="75">
        <v>0.4</v>
      </c>
      <c r="G352" s="26">
        <v>10</v>
      </c>
      <c r="H352" s="75">
        <v>4</v>
      </c>
      <c r="I352" s="75">
        <v>4.21</v>
      </c>
      <c r="J352" s="26">
        <v>132</v>
      </c>
      <c r="K352" s="26" t="s">
        <v>111</v>
      </c>
      <c r="L352" s="26"/>
      <c r="M352" s="35" t="s">
        <v>107</v>
      </c>
      <c r="N352" s="35"/>
      <c r="O352" s="26">
        <v>50</v>
      </c>
      <c r="P352" s="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84"/>
      <c r="R352" s="84"/>
      <c r="S352" s="84"/>
      <c r="T352" s="85"/>
      <c r="U352" s="47"/>
      <c r="V352" s="47"/>
      <c r="W352" s="48" t="s">
        <v>70</v>
      </c>
      <c r="X352" s="76">
        <v>12</v>
      </c>
      <c r="Y352" s="77">
        <f>IFERROR(IF(X352="",0,CEILING((X352/$H352),1)*$H352),"")</f>
        <v>12</v>
      </c>
      <c r="Z352" s="52">
        <f>IFERROR(IF(Y352=0,"",ROUNDUP(Y352/H352,0)*0.00902),"")</f>
        <v>2.7060000000000001E-2</v>
      </c>
      <c r="AA352" s="53"/>
      <c r="AB352" s="54"/>
      <c r="AC352" s="55" t="s">
        <v>567</v>
      </c>
      <c r="AG352" s="78"/>
      <c r="AJ352" s="57"/>
      <c r="AK352" s="57">
        <v>0</v>
      </c>
      <c r="BB352" s="59" t="s">
        <v>1</v>
      </c>
      <c r="BM352" s="78">
        <f>IFERROR(X352*I352/H352,"0")</f>
        <v>12.629999999999999</v>
      </c>
      <c r="BN352" s="78">
        <f>IFERROR(Y352*I352/H352,"0")</f>
        <v>12.629999999999999</v>
      </c>
      <c r="BO352" s="78">
        <f>IFERROR(1/J352*(X352/H352),"0")</f>
        <v>2.2727272727272728E-2</v>
      </c>
      <c r="BP352" s="78">
        <f>IFERROR(1/J352*(Y352/H352),"0")</f>
        <v>2.2727272727272728E-2</v>
      </c>
    </row>
    <row r="353" spans="1:68" x14ac:dyDescent="0.2">
      <c r="A353" s="99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100"/>
      <c r="P353" s="91" t="s">
        <v>72</v>
      </c>
      <c r="Q353" s="92"/>
      <c r="R353" s="92"/>
      <c r="S353" s="92"/>
      <c r="T353" s="92"/>
      <c r="U353" s="92"/>
      <c r="V353" s="93"/>
      <c r="W353" s="49" t="s">
        <v>73</v>
      </c>
      <c r="X353" s="79">
        <f>IFERROR(X351/H351,"0")+IFERROR(X352/H352,"0")</f>
        <v>51</v>
      </c>
      <c r="Y353" s="79">
        <f>IFERROR(Y351/H351,"0")+IFERROR(Y352/H352,"0")</f>
        <v>51</v>
      </c>
      <c r="Z353" s="79">
        <f>IFERROR(IF(Z351="",0,Z351),"0")+IFERROR(IF(Z352="",0,Z352),"0")</f>
        <v>1.0710600000000001</v>
      </c>
      <c r="AA353" s="80"/>
      <c r="AB353" s="80"/>
      <c r="AC353" s="80"/>
    </row>
    <row r="354" spans="1:68" x14ac:dyDescent="0.2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100"/>
      <c r="P354" s="91" t="s">
        <v>72</v>
      </c>
      <c r="Q354" s="92"/>
      <c r="R354" s="92"/>
      <c r="S354" s="92"/>
      <c r="T354" s="92"/>
      <c r="U354" s="92"/>
      <c r="V354" s="93"/>
      <c r="W354" s="49" t="s">
        <v>70</v>
      </c>
      <c r="X354" s="79">
        <f>IFERROR(SUM(X351:X352),"0")</f>
        <v>732</v>
      </c>
      <c r="Y354" s="79">
        <f>IFERROR(SUM(Y351:Y352),"0")</f>
        <v>732</v>
      </c>
      <c r="Z354" s="49"/>
      <c r="AA354" s="80"/>
      <c r="AB354" s="80"/>
      <c r="AC354" s="80"/>
    </row>
    <row r="355" spans="1:68" ht="14.25" customHeight="1" x14ac:dyDescent="0.25">
      <c r="A355" s="89" t="s">
        <v>74</v>
      </c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66"/>
      <c r="AB355" s="66"/>
      <c r="AC355" s="66"/>
    </row>
    <row r="356" spans="1:68" ht="27" customHeight="1" x14ac:dyDescent="0.25">
      <c r="A356" s="24" t="s">
        <v>570</v>
      </c>
      <c r="B356" s="24" t="s">
        <v>571</v>
      </c>
      <c r="C356" s="25">
        <v>4301051903</v>
      </c>
      <c r="D356" s="86">
        <v>4607091383928</v>
      </c>
      <c r="E356" s="87"/>
      <c r="F356" s="75">
        <v>1.5</v>
      </c>
      <c r="G356" s="26">
        <v>6</v>
      </c>
      <c r="H356" s="75">
        <v>9</v>
      </c>
      <c r="I356" s="75">
        <v>9.5250000000000004</v>
      </c>
      <c r="J356" s="26">
        <v>64</v>
      </c>
      <c r="K356" s="26" t="s">
        <v>106</v>
      </c>
      <c r="L356" s="26"/>
      <c r="M356" s="35" t="s">
        <v>78</v>
      </c>
      <c r="N356" s="35"/>
      <c r="O356" s="26">
        <v>40</v>
      </c>
      <c r="P356" s="8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84"/>
      <c r="R356" s="84"/>
      <c r="S356" s="84"/>
      <c r="T356" s="85"/>
      <c r="U356" s="47"/>
      <c r="V356" s="47"/>
      <c r="W356" s="48" t="s">
        <v>70</v>
      </c>
      <c r="X356" s="76">
        <v>45</v>
      </c>
      <c r="Y356" s="77">
        <f>IFERROR(IF(X356="",0,CEILING((X356/$H356),1)*$H356),"")</f>
        <v>45</v>
      </c>
      <c r="Z356" s="52">
        <f>IFERROR(IF(Y356=0,"",ROUNDUP(Y356/H356,0)*0.01898),"")</f>
        <v>9.4899999999999998E-2</v>
      </c>
      <c r="AA356" s="53"/>
      <c r="AB356" s="54"/>
      <c r="AC356" s="55" t="s">
        <v>572</v>
      </c>
      <c r="AG356" s="78"/>
      <c r="AJ356" s="57"/>
      <c r="AK356" s="57">
        <v>0</v>
      </c>
      <c r="BB356" s="59" t="s">
        <v>1</v>
      </c>
      <c r="BM356" s="78">
        <f>IFERROR(X356*I356/H356,"0")</f>
        <v>47.625</v>
      </c>
      <c r="BN356" s="78">
        <f>IFERROR(Y356*I356/H356,"0")</f>
        <v>47.625</v>
      </c>
      <c r="BO356" s="78">
        <f>IFERROR(1/J356*(X356/H356),"0")</f>
        <v>7.8125E-2</v>
      </c>
      <c r="BP356" s="78">
        <f>IFERROR(1/J356*(Y356/H356),"0")</f>
        <v>7.8125E-2</v>
      </c>
    </row>
    <row r="357" spans="1:68" ht="27" customHeight="1" x14ac:dyDescent="0.25">
      <c r="A357" s="24" t="s">
        <v>573</v>
      </c>
      <c r="B357" s="24" t="s">
        <v>574</v>
      </c>
      <c r="C357" s="25">
        <v>4301051897</v>
      </c>
      <c r="D357" s="86">
        <v>4607091384260</v>
      </c>
      <c r="E357" s="87"/>
      <c r="F357" s="75">
        <v>1.5</v>
      </c>
      <c r="G357" s="26">
        <v>6</v>
      </c>
      <c r="H357" s="75">
        <v>9</v>
      </c>
      <c r="I357" s="75">
        <v>9.5190000000000001</v>
      </c>
      <c r="J357" s="26">
        <v>64</v>
      </c>
      <c r="K357" s="26" t="s">
        <v>106</v>
      </c>
      <c r="L357" s="26"/>
      <c r="M357" s="35" t="s">
        <v>78</v>
      </c>
      <c r="N357" s="35"/>
      <c r="O357" s="26">
        <v>40</v>
      </c>
      <c r="P357" s="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84"/>
      <c r="R357" s="84"/>
      <c r="S357" s="84"/>
      <c r="T357" s="85"/>
      <c r="U357" s="47"/>
      <c r="V357" s="47"/>
      <c r="W357" s="48" t="s">
        <v>70</v>
      </c>
      <c r="X357" s="76">
        <v>27</v>
      </c>
      <c r="Y357" s="77">
        <f>IFERROR(IF(X357="",0,CEILING((X357/$H357),1)*$H357),"")</f>
        <v>27</v>
      </c>
      <c r="Z357" s="52">
        <f>IFERROR(IF(Y357=0,"",ROUNDUP(Y357/H357,0)*0.01898),"")</f>
        <v>5.6940000000000004E-2</v>
      </c>
      <c r="AA357" s="53"/>
      <c r="AB357" s="54"/>
      <c r="AC357" s="55" t="s">
        <v>575</v>
      </c>
      <c r="AG357" s="78"/>
      <c r="AJ357" s="57"/>
      <c r="AK357" s="57">
        <v>0</v>
      </c>
      <c r="BB357" s="59" t="s">
        <v>1</v>
      </c>
      <c r="BM357" s="78">
        <f>IFERROR(X357*I357/H357,"0")</f>
        <v>28.556999999999999</v>
      </c>
      <c r="BN357" s="78">
        <f>IFERROR(Y357*I357/H357,"0")</f>
        <v>28.556999999999999</v>
      </c>
      <c r="BO357" s="78">
        <f>IFERROR(1/J357*(X357/H357),"0")</f>
        <v>4.6875E-2</v>
      </c>
      <c r="BP357" s="78">
        <f>IFERROR(1/J357*(Y357/H357),"0")</f>
        <v>4.6875E-2</v>
      </c>
    </row>
    <row r="358" spans="1:68" x14ac:dyDescent="0.2">
      <c r="A358" s="99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100"/>
      <c r="P358" s="91" t="s">
        <v>72</v>
      </c>
      <c r="Q358" s="92"/>
      <c r="R358" s="92"/>
      <c r="S358" s="92"/>
      <c r="T358" s="92"/>
      <c r="U358" s="92"/>
      <c r="V358" s="93"/>
      <c r="W358" s="49" t="s">
        <v>73</v>
      </c>
      <c r="X358" s="79">
        <f>IFERROR(X356/H356,"0")+IFERROR(X357/H357,"0")</f>
        <v>8</v>
      </c>
      <c r="Y358" s="79">
        <f>IFERROR(Y356/H356,"0")+IFERROR(Y357/H357,"0")</f>
        <v>8</v>
      </c>
      <c r="Z358" s="79">
        <f>IFERROR(IF(Z356="",0,Z356),"0")+IFERROR(IF(Z357="",0,Z357),"0")</f>
        <v>0.15184</v>
      </c>
      <c r="AA358" s="80"/>
      <c r="AB358" s="80"/>
      <c r="AC358" s="80"/>
    </row>
    <row r="359" spans="1:68" x14ac:dyDescent="0.2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100"/>
      <c r="P359" s="91" t="s">
        <v>72</v>
      </c>
      <c r="Q359" s="92"/>
      <c r="R359" s="92"/>
      <c r="S359" s="92"/>
      <c r="T359" s="92"/>
      <c r="U359" s="92"/>
      <c r="V359" s="93"/>
      <c r="W359" s="49" t="s">
        <v>70</v>
      </c>
      <c r="X359" s="79">
        <f>IFERROR(SUM(X356:X357),"0")</f>
        <v>72</v>
      </c>
      <c r="Y359" s="79">
        <f>IFERROR(SUM(Y356:Y357),"0")</f>
        <v>72</v>
      </c>
      <c r="Z359" s="49"/>
      <c r="AA359" s="80"/>
      <c r="AB359" s="80"/>
      <c r="AC359" s="80"/>
    </row>
    <row r="360" spans="1:68" ht="14.25" customHeight="1" x14ac:dyDescent="0.25">
      <c r="A360" s="89" t="s">
        <v>174</v>
      </c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66"/>
      <c r="AB360" s="66"/>
      <c r="AC360" s="66"/>
    </row>
    <row r="361" spans="1:68" ht="27" customHeight="1" x14ac:dyDescent="0.25">
      <c r="A361" s="24" t="s">
        <v>576</v>
      </c>
      <c r="B361" s="24" t="s">
        <v>577</v>
      </c>
      <c r="C361" s="25">
        <v>4301060439</v>
      </c>
      <c r="D361" s="86">
        <v>4607091384673</v>
      </c>
      <c r="E361" s="87"/>
      <c r="F361" s="75">
        <v>1.5</v>
      </c>
      <c r="G361" s="26">
        <v>6</v>
      </c>
      <c r="H361" s="75">
        <v>9</v>
      </c>
      <c r="I361" s="75">
        <v>9.5190000000000001</v>
      </c>
      <c r="J361" s="26">
        <v>64</v>
      </c>
      <c r="K361" s="26" t="s">
        <v>106</v>
      </c>
      <c r="L361" s="26"/>
      <c r="M361" s="35" t="s">
        <v>78</v>
      </c>
      <c r="N361" s="35"/>
      <c r="O361" s="26">
        <v>30</v>
      </c>
      <c r="P361" s="8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84"/>
      <c r="R361" s="84"/>
      <c r="S361" s="84"/>
      <c r="T361" s="85"/>
      <c r="U361" s="47"/>
      <c r="V361" s="47"/>
      <c r="W361" s="48" t="s">
        <v>70</v>
      </c>
      <c r="X361" s="76">
        <v>27</v>
      </c>
      <c r="Y361" s="77">
        <f>IFERROR(IF(X361="",0,CEILING((X361/$H361),1)*$H361),"")</f>
        <v>27</v>
      </c>
      <c r="Z361" s="52">
        <f>IFERROR(IF(Y361=0,"",ROUNDUP(Y361/H361,0)*0.01898),"")</f>
        <v>5.6940000000000004E-2</v>
      </c>
      <c r="AA361" s="53"/>
      <c r="AB361" s="54"/>
      <c r="AC361" s="55" t="s">
        <v>578</v>
      </c>
      <c r="AG361" s="78"/>
      <c r="AJ361" s="57"/>
      <c r="AK361" s="57">
        <v>0</v>
      </c>
      <c r="BB361" s="59" t="s">
        <v>1</v>
      </c>
      <c r="BM361" s="78">
        <f>IFERROR(X361*I361/H361,"0")</f>
        <v>28.556999999999999</v>
      </c>
      <c r="BN361" s="78">
        <f>IFERROR(Y361*I361/H361,"0")</f>
        <v>28.556999999999999</v>
      </c>
      <c r="BO361" s="78">
        <f>IFERROR(1/J361*(X361/H361),"0")</f>
        <v>4.6875E-2</v>
      </c>
      <c r="BP361" s="78">
        <f>IFERROR(1/J361*(Y361/H361),"0")</f>
        <v>4.6875E-2</v>
      </c>
    </row>
    <row r="362" spans="1:68" x14ac:dyDescent="0.2">
      <c r="A362" s="99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100"/>
      <c r="P362" s="91" t="s">
        <v>72</v>
      </c>
      <c r="Q362" s="92"/>
      <c r="R362" s="92"/>
      <c r="S362" s="92"/>
      <c r="T362" s="92"/>
      <c r="U362" s="92"/>
      <c r="V362" s="93"/>
      <c r="W362" s="49" t="s">
        <v>73</v>
      </c>
      <c r="X362" s="79">
        <f>IFERROR(X361/H361,"0")</f>
        <v>3</v>
      </c>
      <c r="Y362" s="79">
        <f>IFERROR(Y361/H361,"0")</f>
        <v>3</v>
      </c>
      <c r="Z362" s="79">
        <f>IFERROR(IF(Z361="",0,Z361),"0")</f>
        <v>5.6940000000000004E-2</v>
      </c>
      <c r="AA362" s="80"/>
      <c r="AB362" s="80"/>
      <c r="AC362" s="80"/>
    </row>
    <row r="363" spans="1:68" x14ac:dyDescent="0.2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100"/>
      <c r="P363" s="91" t="s">
        <v>72</v>
      </c>
      <c r="Q363" s="92"/>
      <c r="R363" s="92"/>
      <c r="S363" s="92"/>
      <c r="T363" s="92"/>
      <c r="U363" s="92"/>
      <c r="V363" s="93"/>
      <c r="W363" s="49" t="s">
        <v>70</v>
      </c>
      <c r="X363" s="79">
        <f>IFERROR(SUM(X361:X361),"0")</f>
        <v>27</v>
      </c>
      <c r="Y363" s="79">
        <f>IFERROR(SUM(Y361:Y361),"0")</f>
        <v>27</v>
      </c>
      <c r="Z363" s="49"/>
      <c r="AA363" s="80"/>
      <c r="AB363" s="80"/>
      <c r="AC363" s="80"/>
    </row>
    <row r="364" spans="1:68" ht="16.5" customHeight="1" x14ac:dyDescent="0.25">
      <c r="A364" s="94" t="s">
        <v>579</v>
      </c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65"/>
      <c r="AB364" s="65"/>
      <c r="AC364" s="65"/>
    </row>
    <row r="365" spans="1:68" ht="14.25" customHeight="1" x14ac:dyDescent="0.25">
      <c r="A365" s="89" t="s">
        <v>103</v>
      </c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66"/>
      <c r="AB365" s="66"/>
      <c r="AC365" s="66"/>
    </row>
    <row r="366" spans="1:68" ht="37.5" customHeight="1" x14ac:dyDescent="0.25">
      <c r="A366" s="24" t="s">
        <v>580</v>
      </c>
      <c r="B366" s="24" t="s">
        <v>581</v>
      </c>
      <c r="C366" s="25">
        <v>4301011873</v>
      </c>
      <c r="D366" s="86">
        <v>4680115881907</v>
      </c>
      <c r="E366" s="87"/>
      <c r="F366" s="75">
        <v>1.8</v>
      </c>
      <c r="G366" s="26">
        <v>6</v>
      </c>
      <c r="H366" s="75">
        <v>10.8</v>
      </c>
      <c r="I366" s="75">
        <v>11.234999999999999</v>
      </c>
      <c r="J366" s="26">
        <v>64</v>
      </c>
      <c r="K366" s="26" t="s">
        <v>106</v>
      </c>
      <c r="L366" s="26"/>
      <c r="M366" s="35" t="s">
        <v>68</v>
      </c>
      <c r="N366" s="35"/>
      <c r="O366" s="26">
        <v>60</v>
      </c>
      <c r="P366" s="8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84"/>
      <c r="R366" s="84"/>
      <c r="S366" s="84"/>
      <c r="T366" s="85"/>
      <c r="U366" s="47"/>
      <c r="V366" s="47"/>
      <c r="W366" s="48" t="s">
        <v>70</v>
      </c>
      <c r="X366" s="76">
        <v>0</v>
      </c>
      <c r="Y366" s="77">
        <f>IFERROR(IF(X366="",0,CEILING((X366/$H366),1)*$H366),"")</f>
        <v>0</v>
      </c>
      <c r="Z366" s="52" t="str">
        <f>IFERROR(IF(Y366=0,"",ROUNDUP(Y366/H366,0)*0.01898),"")</f>
        <v/>
      </c>
      <c r="AA366" s="53"/>
      <c r="AB366" s="54"/>
      <c r="AC366" s="55" t="s">
        <v>582</v>
      </c>
      <c r="AG366" s="78"/>
      <c r="AJ366" s="57"/>
      <c r="AK366" s="57">
        <v>0</v>
      </c>
      <c r="BB366" s="59" t="s">
        <v>1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 x14ac:dyDescent="0.25">
      <c r="A367" s="24" t="s">
        <v>583</v>
      </c>
      <c r="B367" s="24" t="s">
        <v>584</v>
      </c>
      <c r="C367" s="25">
        <v>4301011874</v>
      </c>
      <c r="D367" s="86">
        <v>4680115884892</v>
      </c>
      <c r="E367" s="87"/>
      <c r="F367" s="75">
        <v>1.8</v>
      </c>
      <c r="G367" s="26">
        <v>6</v>
      </c>
      <c r="H367" s="75">
        <v>10.8</v>
      </c>
      <c r="I367" s="75">
        <v>11.234999999999999</v>
      </c>
      <c r="J367" s="26">
        <v>64</v>
      </c>
      <c r="K367" s="26" t="s">
        <v>106</v>
      </c>
      <c r="L367" s="26"/>
      <c r="M367" s="35" t="s">
        <v>68</v>
      </c>
      <c r="N367" s="35"/>
      <c r="O367" s="26">
        <v>60</v>
      </c>
      <c r="P367" s="8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84"/>
      <c r="R367" s="84"/>
      <c r="S367" s="84"/>
      <c r="T367" s="85"/>
      <c r="U367" s="47"/>
      <c r="V367" s="47"/>
      <c r="W367" s="48" t="s">
        <v>70</v>
      </c>
      <c r="X367" s="76">
        <v>0</v>
      </c>
      <c r="Y367" s="77">
        <f>IFERROR(IF(X367="",0,CEILING((X367/$H367),1)*$H367),"")</f>
        <v>0</v>
      </c>
      <c r="Z367" s="52" t="str">
        <f>IFERROR(IF(Y367=0,"",ROUNDUP(Y367/H367,0)*0.01898),"")</f>
        <v/>
      </c>
      <c r="AA367" s="53"/>
      <c r="AB367" s="54"/>
      <c r="AC367" s="55" t="s">
        <v>585</v>
      </c>
      <c r="AG367" s="78"/>
      <c r="AJ367" s="57"/>
      <c r="AK367" s="57">
        <v>0</v>
      </c>
      <c r="BB367" s="59" t="s">
        <v>1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24" t="s">
        <v>586</v>
      </c>
      <c r="B368" s="24" t="s">
        <v>587</v>
      </c>
      <c r="C368" s="25">
        <v>4301011875</v>
      </c>
      <c r="D368" s="86">
        <v>4680115884885</v>
      </c>
      <c r="E368" s="87"/>
      <c r="F368" s="75">
        <v>0.8</v>
      </c>
      <c r="G368" s="26">
        <v>15</v>
      </c>
      <c r="H368" s="75">
        <v>12</v>
      </c>
      <c r="I368" s="75">
        <v>12.435</v>
      </c>
      <c r="J368" s="26">
        <v>64</v>
      </c>
      <c r="K368" s="26" t="s">
        <v>106</v>
      </c>
      <c r="L368" s="26"/>
      <c r="M368" s="35" t="s">
        <v>68</v>
      </c>
      <c r="N368" s="35"/>
      <c r="O368" s="26">
        <v>60</v>
      </c>
      <c r="P368" s="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84"/>
      <c r="R368" s="84"/>
      <c r="S368" s="84"/>
      <c r="T368" s="85"/>
      <c r="U368" s="47"/>
      <c r="V368" s="47"/>
      <c r="W368" s="48" t="s">
        <v>70</v>
      </c>
      <c r="X368" s="76">
        <v>0</v>
      </c>
      <c r="Y368" s="77">
        <f>IFERROR(IF(X368="",0,CEILING((X368/$H368),1)*$H368),"")</f>
        <v>0</v>
      </c>
      <c r="Z368" s="52" t="str">
        <f>IFERROR(IF(Y368=0,"",ROUNDUP(Y368/H368,0)*0.01898),"")</f>
        <v/>
      </c>
      <c r="AA368" s="53"/>
      <c r="AB368" s="54"/>
      <c r="AC368" s="55" t="s">
        <v>585</v>
      </c>
      <c r="AG368" s="78"/>
      <c r="AJ368" s="57"/>
      <c r="AK368" s="57">
        <v>0</v>
      </c>
      <c r="BB368" s="59" t="s">
        <v>1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24" t="s">
        <v>588</v>
      </c>
      <c r="B369" s="24" t="s">
        <v>589</v>
      </c>
      <c r="C369" s="25">
        <v>4301011871</v>
      </c>
      <c r="D369" s="86">
        <v>4680115884908</v>
      </c>
      <c r="E369" s="87"/>
      <c r="F369" s="75">
        <v>0.4</v>
      </c>
      <c r="G369" s="26">
        <v>10</v>
      </c>
      <c r="H369" s="75">
        <v>4</v>
      </c>
      <c r="I369" s="75">
        <v>4.21</v>
      </c>
      <c r="J369" s="26">
        <v>132</v>
      </c>
      <c r="K369" s="26" t="s">
        <v>111</v>
      </c>
      <c r="L369" s="26"/>
      <c r="M369" s="35" t="s">
        <v>68</v>
      </c>
      <c r="N369" s="35"/>
      <c r="O369" s="26">
        <v>60</v>
      </c>
      <c r="P369" s="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84"/>
      <c r="R369" s="84"/>
      <c r="S369" s="84"/>
      <c r="T369" s="85"/>
      <c r="U369" s="47"/>
      <c r="V369" s="47"/>
      <c r="W369" s="48" t="s">
        <v>70</v>
      </c>
      <c r="X369" s="76">
        <v>12</v>
      </c>
      <c r="Y369" s="77">
        <f>IFERROR(IF(X369="",0,CEILING((X369/$H369),1)*$H369),"")</f>
        <v>12</v>
      </c>
      <c r="Z369" s="52">
        <f>IFERROR(IF(Y369=0,"",ROUNDUP(Y369/H369,0)*0.00902),"")</f>
        <v>2.7060000000000001E-2</v>
      </c>
      <c r="AA369" s="53"/>
      <c r="AB369" s="54"/>
      <c r="AC369" s="55" t="s">
        <v>585</v>
      </c>
      <c r="AG369" s="78"/>
      <c r="AJ369" s="57"/>
      <c r="AK369" s="57">
        <v>0</v>
      </c>
      <c r="BB369" s="59" t="s">
        <v>1</v>
      </c>
      <c r="BM369" s="78">
        <f>IFERROR(X369*I369/H369,"0")</f>
        <v>12.629999999999999</v>
      </c>
      <c r="BN369" s="78">
        <f>IFERROR(Y369*I369/H369,"0")</f>
        <v>12.629999999999999</v>
      </c>
      <c r="BO369" s="78">
        <f>IFERROR(1/J369*(X369/H369),"0")</f>
        <v>2.2727272727272728E-2</v>
      </c>
      <c r="BP369" s="78">
        <f>IFERROR(1/J369*(Y369/H369),"0")</f>
        <v>2.2727272727272728E-2</v>
      </c>
    </row>
    <row r="370" spans="1:68" x14ac:dyDescent="0.2">
      <c r="A370" s="99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100"/>
      <c r="P370" s="91" t="s">
        <v>72</v>
      </c>
      <c r="Q370" s="92"/>
      <c r="R370" s="92"/>
      <c r="S370" s="92"/>
      <c r="T370" s="92"/>
      <c r="U370" s="92"/>
      <c r="V370" s="93"/>
      <c r="W370" s="49" t="s">
        <v>73</v>
      </c>
      <c r="X370" s="79">
        <f>IFERROR(X366/H366,"0")+IFERROR(X367/H367,"0")+IFERROR(X368/H368,"0")+IFERROR(X369/H369,"0")</f>
        <v>3</v>
      </c>
      <c r="Y370" s="79">
        <f>IFERROR(Y366/H366,"0")+IFERROR(Y367/H367,"0")+IFERROR(Y368/H368,"0")+IFERROR(Y369/H369,"0")</f>
        <v>3</v>
      </c>
      <c r="Z370" s="79">
        <f>IFERROR(IF(Z366="",0,Z366),"0")+IFERROR(IF(Z367="",0,Z367),"0")+IFERROR(IF(Z368="",0,Z368),"0")+IFERROR(IF(Z369="",0,Z369),"0")</f>
        <v>2.7060000000000001E-2</v>
      </c>
      <c r="AA370" s="80"/>
      <c r="AB370" s="80"/>
      <c r="AC370" s="80"/>
    </row>
    <row r="371" spans="1:68" x14ac:dyDescent="0.2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100"/>
      <c r="P371" s="91" t="s">
        <v>72</v>
      </c>
      <c r="Q371" s="92"/>
      <c r="R371" s="92"/>
      <c r="S371" s="92"/>
      <c r="T371" s="92"/>
      <c r="U371" s="92"/>
      <c r="V371" s="93"/>
      <c r="W371" s="49" t="s">
        <v>70</v>
      </c>
      <c r="X371" s="79">
        <f>IFERROR(SUM(X366:X369),"0")</f>
        <v>12</v>
      </c>
      <c r="Y371" s="79">
        <f>IFERROR(SUM(Y366:Y369),"0")</f>
        <v>12</v>
      </c>
      <c r="Z371" s="49"/>
      <c r="AA371" s="80"/>
      <c r="AB371" s="80"/>
      <c r="AC371" s="80"/>
    </row>
    <row r="372" spans="1:68" ht="14.25" customHeight="1" x14ac:dyDescent="0.25">
      <c r="A372" s="89" t="s">
        <v>64</v>
      </c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66"/>
      <c r="AB372" s="66"/>
      <c r="AC372" s="66"/>
    </row>
    <row r="373" spans="1:68" ht="27" customHeight="1" x14ac:dyDescent="0.25">
      <c r="A373" s="24" t="s">
        <v>590</v>
      </c>
      <c r="B373" s="24" t="s">
        <v>591</v>
      </c>
      <c r="C373" s="25">
        <v>4301031303</v>
      </c>
      <c r="D373" s="86">
        <v>4607091384802</v>
      </c>
      <c r="E373" s="87"/>
      <c r="F373" s="75">
        <v>0.73</v>
      </c>
      <c r="G373" s="26">
        <v>6</v>
      </c>
      <c r="H373" s="75">
        <v>4.38</v>
      </c>
      <c r="I373" s="75">
        <v>4.6500000000000004</v>
      </c>
      <c r="J373" s="26">
        <v>132</v>
      </c>
      <c r="K373" s="26" t="s">
        <v>111</v>
      </c>
      <c r="L373" s="26"/>
      <c r="M373" s="35" t="s">
        <v>68</v>
      </c>
      <c r="N373" s="35"/>
      <c r="O373" s="26">
        <v>35</v>
      </c>
      <c r="P373" s="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84"/>
      <c r="R373" s="84"/>
      <c r="S373" s="84"/>
      <c r="T373" s="85"/>
      <c r="U373" s="47"/>
      <c r="V373" s="47"/>
      <c r="W373" s="48" t="s">
        <v>70</v>
      </c>
      <c r="X373" s="76">
        <v>0</v>
      </c>
      <c r="Y373" s="77">
        <f>IFERROR(IF(X373="",0,CEILING((X373/$H373),1)*$H373),"")</f>
        <v>0</v>
      </c>
      <c r="Z373" s="52" t="str">
        <f>IFERROR(IF(Y373=0,"",ROUNDUP(Y373/H373,0)*0.00902),"")</f>
        <v/>
      </c>
      <c r="AA373" s="53"/>
      <c r="AB373" s="54"/>
      <c r="AC373" s="55" t="s">
        <v>592</v>
      </c>
      <c r="AG373" s="78"/>
      <c r="AJ373" s="57"/>
      <c r="AK373" s="57">
        <v>0</v>
      </c>
      <c r="BB373" s="59" t="s">
        <v>1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99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100"/>
      <c r="P374" s="91" t="s">
        <v>72</v>
      </c>
      <c r="Q374" s="92"/>
      <c r="R374" s="92"/>
      <c r="S374" s="92"/>
      <c r="T374" s="92"/>
      <c r="U374" s="92"/>
      <c r="V374" s="93"/>
      <c r="W374" s="49" t="s">
        <v>73</v>
      </c>
      <c r="X374" s="79">
        <f>IFERROR(X373/H373,"0")</f>
        <v>0</v>
      </c>
      <c r="Y374" s="79">
        <f>IFERROR(Y373/H373,"0")</f>
        <v>0</v>
      </c>
      <c r="Z374" s="79">
        <f>IFERROR(IF(Z373="",0,Z373),"0")</f>
        <v>0</v>
      </c>
      <c r="AA374" s="80"/>
      <c r="AB374" s="80"/>
      <c r="AC374" s="80"/>
    </row>
    <row r="375" spans="1:68" x14ac:dyDescent="0.2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100"/>
      <c r="P375" s="91" t="s">
        <v>72</v>
      </c>
      <c r="Q375" s="92"/>
      <c r="R375" s="92"/>
      <c r="S375" s="92"/>
      <c r="T375" s="92"/>
      <c r="U375" s="92"/>
      <c r="V375" s="93"/>
      <c r="W375" s="49" t="s">
        <v>70</v>
      </c>
      <c r="X375" s="79">
        <f>IFERROR(SUM(X373:X373),"0")</f>
        <v>0</v>
      </c>
      <c r="Y375" s="79">
        <f>IFERROR(SUM(Y373:Y373),"0")</f>
        <v>0</v>
      </c>
      <c r="Z375" s="49"/>
      <c r="AA375" s="80"/>
      <c r="AB375" s="80"/>
      <c r="AC375" s="80"/>
    </row>
    <row r="376" spans="1:68" ht="14.25" customHeight="1" x14ac:dyDescent="0.25">
      <c r="A376" s="89" t="s">
        <v>74</v>
      </c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66"/>
      <c r="AB376" s="66"/>
      <c r="AC376" s="66"/>
    </row>
    <row r="377" spans="1:68" ht="27" customHeight="1" x14ac:dyDescent="0.25">
      <c r="A377" s="24" t="s">
        <v>593</v>
      </c>
      <c r="B377" s="24" t="s">
        <v>594</v>
      </c>
      <c r="C377" s="25">
        <v>4301051899</v>
      </c>
      <c r="D377" s="86">
        <v>4607091384246</v>
      </c>
      <c r="E377" s="87"/>
      <c r="F377" s="75">
        <v>1.5</v>
      </c>
      <c r="G377" s="26">
        <v>6</v>
      </c>
      <c r="H377" s="75">
        <v>9</v>
      </c>
      <c r="I377" s="75">
        <v>9.5190000000000001</v>
      </c>
      <c r="J377" s="26">
        <v>64</v>
      </c>
      <c r="K377" s="26" t="s">
        <v>106</v>
      </c>
      <c r="L377" s="26"/>
      <c r="M377" s="35" t="s">
        <v>78</v>
      </c>
      <c r="N377" s="35"/>
      <c r="O377" s="26">
        <v>40</v>
      </c>
      <c r="P377" s="8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84"/>
      <c r="R377" s="84"/>
      <c r="S377" s="84"/>
      <c r="T377" s="85"/>
      <c r="U377" s="47"/>
      <c r="V377" s="47"/>
      <c r="W377" s="48" t="s">
        <v>70</v>
      </c>
      <c r="X377" s="76">
        <v>27</v>
      </c>
      <c r="Y377" s="77">
        <f>IFERROR(IF(X377="",0,CEILING((X377/$H377),1)*$H377),"")</f>
        <v>27</v>
      </c>
      <c r="Z377" s="52">
        <f>IFERROR(IF(Y377=0,"",ROUNDUP(Y377/H377,0)*0.01898),"")</f>
        <v>5.6940000000000004E-2</v>
      </c>
      <c r="AA377" s="53"/>
      <c r="AB377" s="54"/>
      <c r="AC377" s="55" t="s">
        <v>595</v>
      </c>
      <c r="AG377" s="78"/>
      <c r="AJ377" s="57"/>
      <c r="AK377" s="57">
        <v>0</v>
      </c>
      <c r="BB377" s="59" t="s">
        <v>1</v>
      </c>
      <c r="BM377" s="78">
        <f>IFERROR(X377*I377/H377,"0")</f>
        <v>28.556999999999999</v>
      </c>
      <c r="BN377" s="78">
        <f>IFERROR(Y377*I377/H377,"0")</f>
        <v>28.556999999999999</v>
      </c>
      <c r="BO377" s="78">
        <f>IFERROR(1/J377*(X377/H377),"0")</f>
        <v>4.6875E-2</v>
      </c>
      <c r="BP377" s="78">
        <f>IFERROR(1/J377*(Y377/H377),"0")</f>
        <v>4.6875E-2</v>
      </c>
    </row>
    <row r="378" spans="1:68" ht="27" customHeight="1" x14ac:dyDescent="0.25">
      <c r="A378" s="24" t="s">
        <v>596</v>
      </c>
      <c r="B378" s="24" t="s">
        <v>597</v>
      </c>
      <c r="C378" s="25">
        <v>4301051660</v>
      </c>
      <c r="D378" s="86">
        <v>4607091384253</v>
      </c>
      <c r="E378" s="87"/>
      <c r="F378" s="75">
        <v>0.4</v>
      </c>
      <c r="G378" s="26">
        <v>6</v>
      </c>
      <c r="H378" s="75">
        <v>2.4</v>
      </c>
      <c r="I378" s="75">
        <v>2.6640000000000001</v>
      </c>
      <c r="J378" s="26">
        <v>182</v>
      </c>
      <c r="K378" s="26" t="s">
        <v>77</v>
      </c>
      <c r="L378" s="26"/>
      <c r="M378" s="35" t="s">
        <v>78</v>
      </c>
      <c r="N378" s="35"/>
      <c r="O378" s="26">
        <v>40</v>
      </c>
      <c r="P378" s="8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84"/>
      <c r="R378" s="84"/>
      <c r="S378" s="84"/>
      <c r="T378" s="85"/>
      <c r="U378" s="47"/>
      <c r="V378" s="47"/>
      <c r="W378" s="48" t="s">
        <v>70</v>
      </c>
      <c r="X378" s="76">
        <v>0</v>
      </c>
      <c r="Y378" s="77">
        <f>IFERROR(IF(X378="",0,CEILING((X378/$H378),1)*$H378),"")</f>
        <v>0</v>
      </c>
      <c r="Z378" s="52" t="str">
        <f>IFERROR(IF(Y378=0,"",ROUNDUP(Y378/H378,0)*0.00651),"")</f>
        <v/>
      </c>
      <c r="AA378" s="53"/>
      <c r="AB378" s="54"/>
      <c r="AC378" s="55" t="s">
        <v>595</v>
      </c>
      <c r="AG378" s="78"/>
      <c r="AJ378" s="57"/>
      <c r="AK378" s="57">
        <v>0</v>
      </c>
      <c r="BB378" s="59" t="s">
        <v>1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99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100"/>
      <c r="P379" s="91" t="s">
        <v>72</v>
      </c>
      <c r="Q379" s="92"/>
      <c r="R379" s="92"/>
      <c r="S379" s="92"/>
      <c r="T379" s="92"/>
      <c r="U379" s="92"/>
      <c r="V379" s="93"/>
      <c r="W379" s="49" t="s">
        <v>73</v>
      </c>
      <c r="X379" s="79">
        <f>IFERROR(X377/H377,"0")+IFERROR(X378/H378,"0")</f>
        <v>3</v>
      </c>
      <c r="Y379" s="79">
        <f>IFERROR(Y377/H377,"0")+IFERROR(Y378/H378,"0")</f>
        <v>3</v>
      </c>
      <c r="Z379" s="79">
        <f>IFERROR(IF(Z377="",0,Z377),"0")+IFERROR(IF(Z378="",0,Z378),"0")</f>
        <v>5.6940000000000004E-2</v>
      </c>
      <c r="AA379" s="80"/>
      <c r="AB379" s="80"/>
      <c r="AC379" s="80"/>
    </row>
    <row r="380" spans="1:68" x14ac:dyDescent="0.2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100"/>
      <c r="P380" s="91" t="s">
        <v>72</v>
      </c>
      <c r="Q380" s="92"/>
      <c r="R380" s="92"/>
      <c r="S380" s="92"/>
      <c r="T380" s="92"/>
      <c r="U380" s="92"/>
      <c r="V380" s="93"/>
      <c r="W380" s="49" t="s">
        <v>70</v>
      </c>
      <c r="X380" s="79">
        <f>IFERROR(SUM(X377:X378),"0")</f>
        <v>27</v>
      </c>
      <c r="Y380" s="79">
        <f>IFERROR(SUM(Y377:Y378),"0")</f>
        <v>27</v>
      </c>
      <c r="Z380" s="49"/>
      <c r="AA380" s="80"/>
      <c r="AB380" s="80"/>
      <c r="AC380" s="80"/>
    </row>
    <row r="381" spans="1:68" ht="14.25" customHeight="1" x14ac:dyDescent="0.25">
      <c r="A381" s="89" t="s">
        <v>174</v>
      </c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66"/>
      <c r="AB381" s="66"/>
      <c r="AC381" s="66"/>
    </row>
    <row r="382" spans="1:68" ht="27" customHeight="1" x14ac:dyDescent="0.25">
      <c r="A382" s="24" t="s">
        <v>598</v>
      </c>
      <c r="B382" s="24" t="s">
        <v>599</v>
      </c>
      <c r="C382" s="25">
        <v>4301060441</v>
      </c>
      <c r="D382" s="86">
        <v>4607091389357</v>
      </c>
      <c r="E382" s="87"/>
      <c r="F382" s="75">
        <v>1.5</v>
      </c>
      <c r="G382" s="26">
        <v>6</v>
      </c>
      <c r="H382" s="75">
        <v>9</v>
      </c>
      <c r="I382" s="75">
        <v>9.4350000000000005</v>
      </c>
      <c r="J382" s="26">
        <v>64</v>
      </c>
      <c r="K382" s="26" t="s">
        <v>106</v>
      </c>
      <c r="L382" s="26"/>
      <c r="M382" s="35" t="s">
        <v>78</v>
      </c>
      <c r="N382" s="35"/>
      <c r="O382" s="26">
        <v>40</v>
      </c>
      <c r="P382" s="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84"/>
      <c r="R382" s="84"/>
      <c r="S382" s="84"/>
      <c r="T382" s="85"/>
      <c r="U382" s="47"/>
      <c r="V382" s="47"/>
      <c r="W382" s="48" t="s">
        <v>70</v>
      </c>
      <c r="X382" s="76">
        <v>18</v>
      </c>
      <c r="Y382" s="77">
        <f>IFERROR(IF(X382="",0,CEILING((X382/$H382),1)*$H382),"")</f>
        <v>18</v>
      </c>
      <c r="Z382" s="52">
        <f>IFERROR(IF(Y382=0,"",ROUNDUP(Y382/H382,0)*0.01898),"")</f>
        <v>3.7960000000000001E-2</v>
      </c>
      <c r="AA382" s="53"/>
      <c r="AB382" s="54"/>
      <c r="AC382" s="55" t="s">
        <v>600</v>
      </c>
      <c r="AG382" s="78"/>
      <c r="AJ382" s="57"/>
      <c r="AK382" s="57">
        <v>0</v>
      </c>
      <c r="BB382" s="59" t="s">
        <v>1</v>
      </c>
      <c r="BM382" s="78">
        <f>IFERROR(X382*I382/H382,"0")</f>
        <v>18.87</v>
      </c>
      <c r="BN382" s="78">
        <f>IFERROR(Y382*I382/H382,"0")</f>
        <v>18.87</v>
      </c>
      <c r="BO382" s="78">
        <f>IFERROR(1/J382*(X382/H382),"0")</f>
        <v>3.125E-2</v>
      </c>
      <c r="BP382" s="78">
        <f>IFERROR(1/J382*(Y382/H382),"0")</f>
        <v>3.125E-2</v>
      </c>
    </row>
    <row r="383" spans="1:68" x14ac:dyDescent="0.2">
      <c r="A383" s="99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100"/>
      <c r="P383" s="91" t="s">
        <v>72</v>
      </c>
      <c r="Q383" s="92"/>
      <c r="R383" s="92"/>
      <c r="S383" s="92"/>
      <c r="T383" s="92"/>
      <c r="U383" s="92"/>
      <c r="V383" s="93"/>
      <c r="W383" s="49" t="s">
        <v>73</v>
      </c>
      <c r="X383" s="79">
        <f>IFERROR(X382/H382,"0")</f>
        <v>2</v>
      </c>
      <c r="Y383" s="79">
        <f>IFERROR(Y382/H382,"0")</f>
        <v>2</v>
      </c>
      <c r="Z383" s="79">
        <f>IFERROR(IF(Z382="",0,Z382),"0")</f>
        <v>3.7960000000000001E-2</v>
      </c>
      <c r="AA383" s="80"/>
      <c r="AB383" s="80"/>
      <c r="AC383" s="80"/>
    </row>
    <row r="384" spans="1:68" x14ac:dyDescent="0.2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100"/>
      <c r="P384" s="91" t="s">
        <v>72</v>
      </c>
      <c r="Q384" s="92"/>
      <c r="R384" s="92"/>
      <c r="S384" s="92"/>
      <c r="T384" s="92"/>
      <c r="U384" s="92"/>
      <c r="V384" s="93"/>
      <c r="W384" s="49" t="s">
        <v>70</v>
      </c>
      <c r="X384" s="79">
        <f>IFERROR(SUM(X382:X382),"0")</f>
        <v>18</v>
      </c>
      <c r="Y384" s="79">
        <f>IFERROR(SUM(Y382:Y382),"0")</f>
        <v>18</v>
      </c>
      <c r="Z384" s="49"/>
      <c r="AA384" s="80"/>
      <c r="AB384" s="80"/>
      <c r="AC384" s="80"/>
    </row>
    <row r="385" spans="1:68" ht="27.75" customHeight="1" x14ac:dyDescent="0.2">
      <c r="A385" s="115" t="s">
        <v>601</v>
      </c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  <c r="AA385" s="51"/>
      <c r="AB385" s="51"/>
      <c r="AC385" s="51"/>
    </row>
    <row r="386" spans="1:68" ht="16.5" customHeight="1" x14ac:dyDescent="0.25">
      <c r="A386" s="94" t="s">
        <v>602</v>
      </c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65"/>
      <c r="AB386" s="65"/>
      <c r="AC386" s="65"/>
    </row>
    <row r="387" spans="1:68" ht="14.25" customHeight="1" x14ac:dyDescent="0.25">
      <c r="A387" s="89" t="s">
        <v>64</v>
      </c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66"/>
      <c r="AB387" s="66"/>
      <c r="AC387" s="66"/>
    </row>
    <row r="388" spans="1:68" ht="27" customHeight="1" x14ac:dyDescent="0.25">
      <c r="A388" s="24" t="s">
        <v>603</v>
      </c>
      <c r="B388" s="24" t="s">
        <v>604</v>
      </c>
      <c r="C388" s="25">
        <v>4301031405</v>
      </c>
      <c r="D388" s="86">
        <v>4680115886100</v>
      </c>
      <c r="E388" s="87"/>
      <c r="F388" s="75">
        <v>0.9</v>
      </c>
      <c r="G388" s="26">
        <v>6</v>
      </c>
      <c r="H388" s="75">
        <v>5.4</v>
      </c>
      <c r="I388" s="75">
        <v>5.61</v>
      </c>
      <c r="J388" s="26">
        <v>132</v>
      </c>
      <c r="K388" s="26" t="s">
        <v>111</v>
      </c>
      <c r="L388" s="26"/>
      <c r="M388" s="35" t="s">
        <v>68</v>
      </c>
      <c r="N388" s="35"/>
      <c r="O388" s="26">
        <v>50</v>
      </c>
      <c r="P388" s="8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84"/>
      <c r="R388" s="84"/>
      <c r="S388" s="84"/>
      <c r="T388" s="85"/>
      <c r="U388" s="47"/>
      <c r="V388" s="47"/>
      <c r="W388" s="48" t="s">
        <v>70</v>
      </c>
      <c r="X388" s="76">
        <v>16.2</v>
      </c>
      <c r="Y388" s="77">
        <f t="shared" ref="Y388:Y397" si="57">IFERROR(IF(X388="",0,CEILING((X388/$H388),1)*$H388),"")</f>
        <v>16.200000000000003</v>
      </c>
      <c r="Z388" s="52">
        <f>IFERROR(IF(Y388=0,"",ROUNDUP(Y388/H388,0)*0.00902),"")</f>
        <v>2.7060000000000001E-2</v>
      </c>
      <c r="AA388" s="53"/>
      <c r="AB388" s="54"/>
      <c r="AC388" s="55" t="s">
        <v>605</v>
      </c>
      <c r="AG388" s="78"/>
      <c r="AJ388" s="57"/>
      <c r="AK388" s="57">
        <v>0</v>
      </c>
      <c r="BB388" s="59" t="s">
        <v>1</v>
      </c>
      <c r="BM388" s="78">
        <f t="shared" ref="BM388:BM397" si="58">IFERROR(X388*I388/H388,"0")</f>
        <v>16.829999999999998</v>
      </c>
      <c r="BN388" s="78">
        <f t="shared" ref="BN388:BN397" si="59">IFERROR(Y388*I388/H388,"0")</f>
        <v>16.830000000000002</v>
      </c>
      <c r="BO388" s="78">
        <f t="shared" ref="BO388:BO397" si="60">IFERROR(1/J388*(X388/H388),"0")</f>
        <v>2.2727272727272724E-2</v>
      </c>
      <c r="BP388" s="78">
        <f t="shared" ref="BP388:BP397" si="61">IFERROR(1/J388*(Y388/H388),"0")</f>
        <v>2.2727272727272731E-2</v>
      </c>
    </row>
    <row r="389" spans="1:68" ht="27" customHeight="1" x14ac:dyDescent="0.25">
      <c r="A389" s="24" t="s">
        <v>606</v>
      </c>
      <c r="B389" s="24" t="s">
        <v>607</v>
      </c>
      <c r="C389" s="25">
        <v>4301031382</v>
      </c>
      <c r="D389" s="86">
        <v>4680115886117</v>
      </c>
      <c r="E389" s="87"/>
      <c r="F389" s="75">
        <v>0.9</v>
      </c>
      <c r="G389" s="26">
        <v>6</v>
      </c>
      <c r="H389" s="75">
        <v>5.4</v>
      </c>
      <c r="I389" s="75">
        <v>5.61</v>
      </c>
      <c r="J389" s="26">
        <v>132</v>
      </c>
      <c r="K389" s="26" t="s">
        <v>111</v>
      </c>
      <c r="L389" s="26"/>
      <c r="M389" s="35" t="s">
        <v>68</v>
      </c>
      <c r="N389" s="35"/>
      <c r="O389" s="26">
        <v>50</v>
      </c>
      <c r="P389" s="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84"/>
      <c r="R389" s="84"/>
      <c r="S389" s="84"/>
      <c r="T389" s="85"/>
      <c r="U389" s="47"/>
      <c r="V389" s="47"/>
      <c r="W389" s="48" t="s">
        <v>70</v>
      </c>
      <c r="X389" s="76">
        <v>0</v>
      </c>
      <c r="Y389" s="77">
        <f t="shared" si="57"/>
        <v>0</v>
      </c>
      <c r="Z389" s="52" t="str">
        <f>IFERROR(IF(Y389=0,"",ROUNDUP(Y389/H389,0)*0.00902),"")</f>
        <v/>
      </c>
      <c r="AA389" s="53"/>
      <c r="AB389" s="54"/>
      <c r="AC389" s="55" t="s">
        <v>608</v>
      </c>
      <c r="AG389" s="78"/>
      <c r="AJ389" s="57"/>
      <c r="AK389" s="57">
        <v>0</v>
      </c>
      <c r="BB389" s="59" t="s">
        <v>1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 x14ac:dyDescent="0.25">
      <c r="A390" s="24" t="s">
        <v>606</v>
      </c>
      <c r="B390" s="24" t="s">
        <v>609</v>
      </c>
      <c r="C390" s="25">
        <v>4301031406</v>
      </c>
      <c r="D390" s="86">
        <v>4680115886117</v>
      </c>
      <c r="E390" s="87"/>
      <c r="F390" s="75">
        <v>0.9</v>
      </c>
      <c r="G390" s="26">
        <v>6</v>
      </c>
      <c r="H390" s="75">
        <v>5.4</v>
      </c>
      <c r="I390" s="75">
        <v>5.61</v>
      </c>
      <c r="J390" s="26">
        <v>132</v>
      </c>
      <c r="K390" s="26" t="s">
        <v>111</v>
      </c>
      <c r="L390" s="26"/>
      <c r="M390" s="35" t="s">
        <v>68</v>
      </c>
      <c r="N390" s="35"/>
      <c r="O390" s="26">
        <v>50</v>
      </c>
      <c r="P390" s="8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84"/>
      <c r="R390" s="84"/>
      <c r="S390" s="84"/>
      <c r="T390" s="85"/>
      <c r="U390" s="47"/>
      <c r="V390" s="47"/>
      <c r="W390" s="48" t="s">
        <v>70</v>
      </c>
      <c r="X390" s="76">
        <v>0</v>
      </c>
      <c r="Y390" s="77">
        <f t="shared" si="57"/>
        <v>0</v>
      </c>
      <c r="Z390" s="52" t="str">
        <f>IFERROR(IF(Y390=0,"",ROUNDUP(Y390/H390,0)*0.00902),"")</f>
        <v/>
      </c>
      <c r="AA390" s="53"/>
      <c r="AB390" s="54"/>
      <c r="AC390" s="55" t="s">
        <v>608</v>
      </c>
      <c r="AG390" s="78"/>
      <c r="AJ390" s="57"/>
      <c r="AK390" s="57">
        <v>0</v>
      </c>
      <c r="BB390" s="59" t="s">
        <v>1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 x14ac:dyDescent="0.25">
      <c r="A391" s="24" t="s">
        <v>610</v>
      </c>
      <c r="B391" s="24" t="s">
        <v>611</v>
      </c>
      <c r="C391" s="25">
        <v>4301031402</v>
      </c>
      <c r="D391" s="86">
        <v>4680115886124</v>
      </c>
      <c r="E391" s="87"/>
      <c r="F391" s="75">
        <v>0.9</v>
      </c>
      <c r="G391" s="26">
        <v>6</v>
      </c>
      <c r="H391" s="75">
        <v>5.4</v>
      </c>
      <c r="I391" s="75">
        <v>5.61</v>
      </c>
      <c r="J391" s="26">
        <v>132</v>
      </c>
      <c r="K391" s="26" t="s">
        <v>111</v>
      </c>
      <c r="L391" s="26"/>
      <c r="M391" s="35" t="s">
        <v>68</v>
      </c>
      <c r="N391" s="35"/>
      <c r="O391" s="26">
        <v>50</v>
      </c>
      <c r="P391" s="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84"/>
      <c r="R391" s="84"/>
      <c r="S391" s="84"/>
      <c r="T391" s="85"/>
      <c r="U391" s="47"/>
      <c r="V391" s="47"/>
      <c r="W391" s="48" t="s">
        <v>70</v>
      </c>
      <c r="X391" s="76">
        <v>16.2</v>
      </c>
      <c r="Y391" s="77">
        <f t="shared" si="57"/>
        <v>16.200000000000003</v>
      </c>
      <c r="Z391" s="52">
        <f>IFERROR(IF(Y391=0,"",ROUNDUP(Y391/H391,0)*0.00902),"")</f>
        <v>2.7060000000000001E-2</v>
      </c>
      <c r="AA391" s="53"/>
      <c r="AB391" s="54"/>
      <c r="AC391" s="55" t="s">
        <v>612</v>
      </c>
      <c r="AG391" s="78"/>
      <c r="AJ391" s="57"/>
      <c r="AK391" s="57">
        <v>0</v>
      </c>
      <c r="BB391" s="59" t="s">
        <v>1</v>
      </c>
      <c r="BM391" s="78">
        <f t="shared" si="58"/>
        <v>16.829999999999998</v>
      </c>
      <c r="BN391" s="78">
        <f t="shared" si="59"/>
        <v>16.830000000000002</v>
      </c>
      <c r="BO391" s="78">
        <f t="shared" si="60"/>
        <v>2.2727272727272724E-2</v>
      </c>
      <c r="BP391" s="78">
        <f t="shared" si="61"/>
        <v>2.2727272727272731E-2</v>
      </c>
    </row>
    <row r="392" spans="1:68" ht="27" customHeight="1" x14ac:dyDescent="0.25">
      <c r="A392" s="24" t="s">
        <v>613</v>
      </c>
      <c r="B392" s="24" t="s">
        <v>614</v>
      </c>
      <c r="C392" s="25">
        <v>4301031366</v>
      </c>
      <c r="D392" s="86">
        <v>4680115883147</v>
      </c>
      <c r="E392" s="87"/>
      <c r="F392" s="75">
        <v>0.28000000000000003</v>
      </c>
      <c r="G392" s="26">
        <v>6</v>
      </c>
      <c r="H392" s="75">
        <v>1.68</v>
      </c>
      <c r="I392" s="75">
        <v>1.81</v>
      </c>
      <c r="J392" s="26">
        <v>234</v>
      </c>
      <c r="K392" s="26" t="s">
        <v>67</v>
      </c>
      <c r="L392" s="26"/>
      <c r="M392" s="35" t="s">
        <v>68</v>
      </c>
      <c r="N392" s="35"/>
      <c r="O392" s="26">
        <v>50</v>
      </c>
      <c r="P392" s="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84"/>
      <c r="R392" s="84"/>
      <c r="S392" s="84"/>
      <c r="T392" s="85"/>
      <c r="U392" s="47"/>
      <c r="V392" s="47"/>
      <c r="W392" s="48" t="s">
        <v>70</v>
      </c>
      <c r="X392" s="76"/>
      <c r="Y392" s="77">
        <f t="shared" si="57"/>
        <v>0</v>
      </c>
      <c r="Z392" s="52" t="str">
        <f t="shared" ref="Z392:Z397" si="62">IFERROR(IF(Y392=0,"",ROUNDUP(Y392/H392,0)*0.00502),"")</f>
        <v/>
      </c>
      <c r="AA392" s="53"/>
      <c r="AB392" s="54"/>
      <c r="AC392" s="55" t="s">
        <v>605</v>
      </c>
      <c r="AG392" s="78"/>
      <c r="AJ392" s="57"/>
      <c r="AK392" s="57">
        <v>0</v>
      </c>
      <c r="BB392" s="59" t="s">
        <v>1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customHeight="1" x14ac:dyDescent="0.25">
      <c r="A393" s="24" t="s">
        <v>615</v>
      </c>
      <c r="B393" s="24" t="s">
        <v>616</v>
      </c>
      <c r="C393" s="25">
        <v>4301031362</v>
      </c>
      <c r="D393" s="86">
        <v>4607091384338</v>
      </c>
      <c r="E393" s="87"/>
      <c r="F393" s="75">
        <v>0.35</v>
      </c>
      <c r="G393" s="26">
        <v>6</v>
      </c>
      <c r="H393" s="75">
        <v>2.1</v>
      </c>
      <c r="I393" s="75">
        <v>2.23</v>
      </c>
      <c r="J393" s="26">
        <v>234</v>
      </c>
      <c r="K393" s="26" t="s">
        <v>67</v>
      </c>
      <c r="L393" s="26"/>
      <c r="M393" s="35" t="s">
        <v>68</v>
      </c>
      <c r="N393" s="35"/>
      <c r="O393" s="26">
        <v>50</v>
      </c>
      <c r="P393" s="8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84"/>
      <c r="R393" s="84"/>
      <c r="S393" s="84"/>
      <c r="T393" s="85"/>
      <c r="U393" s="47"/>
      <c r="V393" s="47"/>
      <c r="W393" s="48" t="s">
        <v>70</v>
      </c>
      <c r="X393" s="76">
        <v>6.3</v>
      </c>
      <c r="Y393" s="77">
        <f t="shared" si="57"/>
        <v>6.3000000000000007</v>
      </c>
      <c r="Z393" s="52">
        <f t="shared" si="62"/>
        <v>1.506E-2</v>
      </c>
      <c r="AA393" s="53"/>
      <c r="AB393" s="54"/>
      <c r="AC393" s="55" t="s">
        <v>605</v>
      </c>
      <c r="AG393" s="78"/>
      <c r="AJ393" s="57"/>
      <c r="AK393" s="57">
        <v>0</v>
      </c>
      <c r="BB393" s="59" t="s">
        <v>1</v>
      </c>
      <c r="BM393" s="78">
        <f t="shared" si="58"/>
        <v>6.6899999999999995</v>
      </c>
      <c r="BN393" s="78">
        <f t="shared" si="59"/>
        <v>6.69</v>
      </c>
      <c r="BO393" s="78">
        <f t="shared" si="60"/>
        <v>1.2820512820512822E-2</v>
      </c>
      <c r="BP393" s="78">
        <f t="shared" si="61"/>
        <v>1.2820512820512822E-2</v>
      </c>
    </row>
    <row r="394" spans="1:68" ht="37.5" customHeight="1" x14ac:dyDescent="0.25">
      <c r="A394" s="24" t="s">
        <v>617</v>
      </c>
      <c r="B394" s="24" t="s">
        <v>618</v>
      </c>
      <c r="C394" s="25">
        <v>4301031361</v>
      </c>
      <c r="D394" s="86">
        <v>4607091389524</v>
      </c>
      <c r="E394" s="87"/>
      <c r="F394" s="75">
        <v>0.35</v>
      </c>
      <c r="G394" s="26">
        <v>6</v>
      </c>
      <c r="H394" s="75">
        <v>2.1</v>
      </c>
      <c r="I394" s="75">
        <v>2.23</v>
      </c>
      <c r="J394" s="26">
        <v>234</v>
      </c>
      <c r="K394" s="26" t="s">
        <v>67</v>
      </c>
      <c r="L394" s="26"/>
      <c r="M394" s="35" t="s">
        <v>68</v>
      </c>
      <c r="N394" s="35"/>
      <c r="O394" s="26">
        <v>50</v>
      </c>
      <c r="P394" s="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84"/>
      <c r="R394" s="84"/>
      <c r="S394" s="84"/>
      <c r="T394" s="85"/>
      <c r="U394" s="47"/>
      <c r="V394" s="47"/>
      <c r="W394" s="48" t="s">
        <v>70</v>
      </c>
      <c r="X394" s="76">
        <v>0</v>
      </c>
      <c r="Y394" s="77">
        <f t="shared" si="57"/>
        <v>0</v>
      </c>
      <c r="Z394" s="52" t="str">
        <f t="shared" si="62"/>
        <v/>
      </c>
      <c r="AA394" s="53"/>
      <c r="AB394" s="54"/>
      <c r="AC394" s="55" t="s">
        <v>619</v>
      </c>
      <c r="AG394" s="78"/>
      <c r="AJ394" s="57"/>
      <c r="AK394" s="57">
        <v>0</v>
      </c>
      <c r="BB394" s="59" t="s">
        <v>1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 x14ac:dyDescent="0.25">
      <c r="A395" s="24" t="s">
        <v>620</v>
      </c>
      <c r="B395" s="24" t="s">
        <v>621</v>
      </c>
      <c r="C395" s="25">
        <v>4301031364</v>
      </c>
      <c r="D395" s="86">
        <v>4680115883161</v>
      </c>
      <c r="E395" s="87"/>
      <c r="F395" s="75">
        <v>0.28000000000000003</v>
      </c>
      <c r="G395" s="26">
        <v>6</v>
      </c>
      <c r="H395" s="75">
        <v>1.68</v>
      </c>
      <c r="I395" s="75">
        <v>1.81</v>
      </c>
      <c r="J395" s="26">
        <v>234</v>
      </c>
      <c r="K395" s="26" t="s">
        <v>67</v>
      </c>
      <c r="L395" s="26"/>
      <c r="M395" s="35" t="s">
        <v>68</v>
      </c>
      <c r="N395" s="35"/>
      <c r="O395" s="26">
        <v>50</v>
      </c>
      <c r="P395" s="8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84"/>
      <c r="R395" s="84"/>
      <c r="S395" s="84"/>
      <c r="T395" s="85"/>
      <c r="U395" s="47"/>
      <c r="V395" s="47"/>
      <c r="W395" s="48" t="s">
        <v>70</v>
      </c>
      <c r="X395" s="76">
        <v>0</v>
      </c>
      <c r="Y395" s="77">
        <f t="shared" si="57"/>
        <v>0</v>
      </c>
      <c r="Z395" s="52" t="str">
        <f t="shared" si="62"/>
        <v/>
      </c>
      <c r="AA395" s="53"/>
      <c r="AB395" s="54"/>
      <c r="AC395" s="55" t="s">
        <v>622</v>
      </c>
      <c r="AG395" s="78"/>
      <c r="AJ395" s="57"/>
      <c r="AK395" s="57">
        <v>0</v>
      </c>
      <c r="BB395" s="59" t="s">
        <v>1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24" t="s">
        <v>623</v>
      </c>
      <c r="B396" s="24" t="s">
        <v>624</v>
      </c>
      <c r="C396" s="25">
        <v>4301031358</v>
      </c>
      <c r="D396" s="86">
        <v>4607091389531</v>
      </c>
      <c r="E396" s="87"/>
      <c r="F396" s="75">
        <v>0.35</v>
      </c>
      <c r="G396" s="26">
        <v>6</v>
      </c>
      <c r="H396" s="75">
        <v>2.1</v>
      </c>
      <c r="I396" s="75">
        <v>2.23</v>
      </c>
      <c r="J396" s="26">
        <v>234</v>
      </c>
      <c r="K396" s="26" t="s">
        <v>67</v>
      </c>
      <c r="L396" s="26"/>
      <c r="M396" s="35" t="s">
        <v>68</v>
      </c>
      <c r="N396" s="35"/>
      <c r="O396" s="26">
        <v>50</v>
      </c>
      <c r="P396" s="8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84"/>
      <c r="R396" s="84"/>
      <c r="S396" s="84"/>
      <c r="T396" s="85"/>
      <c r="U396" s="47"/>
      <c r="V396" s="47"/>
      <c r="W396" s="48" t="s">
        <v>70</v>
      </c>
      <c r="X396" s="76">
        <v>6.3</v>
      </c>
      <c r="Y396" s="77">
        <f t="shared" si="57"/>
        <v>6.3000000000000007</v>
      </c>
      <c r="Z396" s="52">
        <f t="shared" si="62"/>
        <v>1.506E-2</v>
      </c>
      <c r="AA396" s="53"/>
      <c r="AB396" s="54"/>
      <c r="AC396" s="55" t="s">
        <v>625</v>
      </c>
      <c r="AG396" s="78"/>
      <c r="AJ396" s="57"/>
      <c r="AK396" s="57">
        <v>0</v>
      </c>
      <c r="BB396" s="59" t="s">
        <v>1</v>
      </c>
      <c r="BM396" s="78">
        <f t="shared" si="58"/>
        <v>6.6899999999999995</v>
      </c>
      <c r="BN396" s="78">
        <f t="shared" si="59"/>
        <v>6.69</v>
      </c>
      <c r="BO396" s="78">
        <f t="shared" si="60"/>
        <v>1.2820512820512822E-2</v>
      </c>
      <c r="BP396" s="78">
        <f t="shared" si="61"/>
        <v>1.2820512820512822E-2</v>
      </c>
    </row>
    <row r="397" spans="1:68" ht="37.5" customHeight="1" x14ac:dyDescent="0.25">
      <c r="A397" s="24" t="s">
        <v>626</v>
      </c>
      <c r="B397" s="24" t="s">
        <v>627</v>
      </c>
      <c r="C397" s="25">
        <v>4301031360</v>
      </c>
      <c r="D397" s="86">
        <v>4607091384345</v>
      </c>
      <c r="E397" s="87"/>
      <c r="F397" s="75">
        <v>0.35</v>
      </c>
      <c r="G397" s="26">
        <v>6</v>
      </c>
      <c r="H397" s="75">
        <v>2.1</v>
      </c>
      <c r="I397" s="75">
        <v>2.23</v>
      </c>
      <c r="J397" s="26">
        <v>234</v>
      </c>
      <c r="K397" s="26" t="s">
        <v>67</v>
      </c>
      <c r="L397" s="26"/>
      <c r="M397" s="35" t="s">
        <v>68</v>
      </c>
      <c r="N397" s="35"/>
      <c r="O397" s="26">
        <v>50</v>
      </c>
      <c r="P397" s="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84"/>
      <c r="R397" s="84"/>
      <c r="S397" s="84"/>
      <c r="T397" s="85"/>
      <c r="U397" s="47"/>
      <c r="V397" s="47"/>
      <c r="W397" s="48" t="s">
        <v>70</v>
      </c>
      <c r="X397" s="76">
        <v>0</v>
      </c>
      <c r="Y397" s="77">
        <f t="shared" si="57"/>
        <v>0</v>
      </c>
      <c r="Z397" s="52" t="str">
        <f t="shared" si="62"/>
        <v/>
      </c>
      <c r="AA397" s="53"/>
      <c r="AB397" s="54"/>
      <c r="AC397" s="55" t="s">
        <v>622</v>
      </c>
      <c r="AG397" s="78"/>
      <c r="AJ397" s="57"/>
      <c r="AK397" s="57">
        <v>0</v>
      </c>
      <c r="BB397" s="59" t="s">
        <v>1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x14ac:dyDescent="0.2">
      <c r="A398" s="99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100"/>
      <c r="P398" s="91" t="s">
        <v>72</v>
      </c>
      <c r="Q398" s="92"/>
      <c r="R398" s="92"/>
      <c r="S398" s="92"/>
      <c r="T398" s="92"/>
      <c r="U398" s="92"/>
      <c r="V398" s="93"/>
      <c r="W398" s="49" t="s">
        <v>73</v>
      </c>
      <c r="X398" s="79">
        <f>IFERROR(X388/H388,"0")+IFERROR(X389/H389,"0")+IFERROR(X390/H390,"0")+IFERROR(X391/H391,"0")+IFERROR(X392/H392,"0")+IFERROR(X393/H393,"0")+IFERROR(X394/H394,"0")+IFERROR(X395/H395,"0")+IFERROR(X396/H396,"0")+IFERROR(X397/H397,"0")</f>
        <v>12</v>
      </c>
      <c r="Y398" s="79">
        <f>IFERROR(Y388/H388,"0")+IFERROR(Y389/H389,"0")+IFERROR(Y390/H390,"0")+IFERROR(Y391/H391,"0")+IFERROR(Y392/H392,"0")+IFERROR(Y393/H393,"0")+IFERROR(Y394/H394,"0")+IFERROR(Y395/H395,"0")+IFERROR(Y396/H396,"0")+IFERROR(Y397/H397,"0")</f>
        <v>12</v>
      </c>
      <c r="Z398" s="79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8.4240000000000009E-2</v>
      </c>
      <c r="AA398" s="80"/>
      <c r="AB398" s="80"/>
      <c r="AC398" s="80"/>
    </row>
    <row r="399" spans="1:68" x14ac:dyDescent="0.2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100"/>
      <c r="P399" s="91" t="s">
        <v>72</v>
      </c>
      <c r="Q399" s="92"/>
      <c r="R399" s="92"/>
      <c r="S399" s="92"/>
      <c r="T399" s="92"/>
      <c r="U399" s="92"/>
      <c r="V399" s="93"/>
      <c r="W399" s="49" t="s">
        <v>70</v>
      </c>
      <c r="X399" s="79">
        <f>IFERROR(SUM(X388:X397),"0")</f>
        <v>44.999999999999993</v>
      </c>
      <c r="Y399" s="79">
        <f>IFERROR(SUM(Y388:Y397),"0")</f>
        <v>45</v>
      </c>
      <c r="Z399" s="49"/>
      <c r="AA399" s="80"/>
      <c r="AB399" s="80"/>
      <c r="AC399" s="80"/>
    </row>
    <row r="400" spans="1:68" ht="14.25" customHeight="1" x14ac:dyDescent="0.25">
      <c r="A400" s="89" t="s">
        <v>74</v>
      </c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66"/>
      <c r="AB400" s="66"/>
      <c r="AC400" s="66"/>
    </row>
    <row r="401" spans="1:68" ht="27" customHeight="1" x14ac:dyDescent="0.25">
      <c r="A401" s="24" t="s">
        <v>628</v>
      </c>
      <c r="B401" s="24" t="s">
        <v>629</v>
      </c>
      <c r="C401" s="25">
        <v>4301051284</v>
      </c>
      <c r="D401" s="86">
        <v>4607091384352</v>
      </c>
      <c r="E401" s="87"/>
      <c r="F401" s="75">
        <v>0.6</v>
      </c>
      <c r="G401" s="26">
        <v>4</v>
      </c>
      <c r="H401" s="75">
        <v>2.4</v>
      </c>
      <c r="I401" s="75">
        <v>2.6459999999999999</v>
      </c>
      <c r="J401" s="26">
        <v>132</v>
      </c>
      <c r="K401" s="26" t="s">
        <v>111</v>
      </c>
      <c r="L401" s="26"/>
      <c r="M401" s="35" t="s">
        <v>78</v>
      </c>
      <c r="N401" s="35"/>
      <c r="O401" s="26">
        <v>45</v>
      </c>
      <c r="P401" s="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84"/>
      <c r="R401" s="84"/>
      <c r="S401" s="84"/>
      <c r="T401" s="85"/>
      <c r="U401" s="47"/>
      <c r="V401" s="47"/>
      <c r="W401" s="48" t="s">
        <v>70</v>
      </c>
      <c r="X401" s="76">
        <v>7.2</v>
      </c>
      <c r="Y401" s="77">
        <f>IFERROR(IF(X401="",0,CEILING((X401/$H401),1)*$H401),"")</f>
        <v>7.1999999999999993</v>
      </c>
      <c r="Z401" s="52">
        <f>IFERROR(IF(Y401=0,"",ROUNDUP(Y401/H401,0)*0.00902),"")</f>
        <v>2.7060000000000001E-2</v>
      </c>
      <c r="AA401" s="53"/>
      <c r="AB401" s="54"/>
      <c r="AC401" s="55" t="s">
        <v>630</v>
      </c>
      <c r="AG401" s="78"/>
      <c r="AJ401" s="57"/>
      <c r="AK401" s="57">
        <v>0</v>
      </c>
      <c r="BB401" s="59" t="s">
        <v>1</v>
      </c>
      <c r="BM401" s="78">
        <f>IFERROR(X401*I401/H401,"0")</f>
        <v>7.9380000000000006</v>
      </c>
      <c r="BN401" s="78">
        <f>IFERROR(Y401*I401/H401,"0")</f>
        <v>7.9379999999999997</v>
      </c>
      <c r="BO401" s="78">
        <f>IFERROR(1/J401*(X401/H401),"0")</f>
        <v>2.2727272727272728E-2</v>
      </c>
      <c r="BP401" s="78">
        <f>IFERROR(1/J401*(Y401/H401),"0")</f>
        <v>2.2727272727272728E-2</v>
      </c>
    </row>
    <row r="402" spans="1:68" ht="27" customHeight="1" x14ac:dyDescent="0.25">
      <c r="A402" s="24" t="s">
        <v>631</v>
      </c>
      <c r="B402" s="24" t="s">
        <v>632</v>
      </c>
      <c r="C402" s="25">
        <v>4301051431</v>
      </c>
      <c r="D402" s="86">
        <v>4607091389654</v>
      </c>
      <c r="E402" s="87"/>
      <c r="F402" s="75">
        <v>0.33</v>
      </c>
      <c r="G402" s="26">
        <v>6</v>
      </c>
      <c r="H402" s="75">
        <v>1.98</v>
      </c>
      <c r="I402" s="75">
        <v>2.238</v>
      </c>
      <c r="J402" s="26">
        <v>182</v>
      </c>
      <c r="K402" s="26" t="s">
        <v>77</v>
      </c>
      <c r="L402" s="26"/>
      <c r="M402" s="35" t="s">
        <v>78</v>
      </c>
      <c r="N402" s="35"/>
      <c r="O402" s="26">
        <v>45</v>
      </c>
      <c r="P402" s="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84"/>
      <c r="R402" s="84"/>
      <c r="S402" s="84"/>
      <c r="T402" s="85"/>
      <c r="U402" s="47"/>
      <c r="V402" s="47"/>
      <c r="W402" s="48" t="s">
        <v>70</v>
      </c>
      <c r="X402" s="76">
        <v>0</v>
      </c>
      <c r="Y402" s="77">
        <f>IFERROR(IF(X402="",0,CEILING((X402/$H402),1)*$H402),"")</f>
        <v>0</v>
      </c>
      <c r="Z402" s="52" t="str">
        <f>IFERROR(IF(Y402=0,"",ROUNDUP(Y402/H402,0)*0.00651),"")</f>
        <v/>
      </c>
      <c r="AA402" s="53"/>
      <c r="AB402" s="54"/>
      <c r="AC402" s="55" t="s">
        <v>633</v>
      </c>
      <c r="AG402" s="78"/>
      <c r="AJ402" s="57"/>
      <c r="AK402" s="57">
        <v>0</v>
      </c>
      <c r="BB402" s="59" t="s">
        <v>1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99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100"/>
      <c r="P403" s="91" t="s">
        <v>72</v>
      </c>
      <c r="Q403" s="92"/>
      <c r="R403" s="92"/>
      <c r="S403" s="92"/>
      <c r="T403" s="92"/>
      <c r="U403" s="92"/>
      <c r="V403" s="93"/>
      <c r="W403" s="49" t="s">
        <v>73</v>
      </c>
      <c r="X403" s="79">
        <f>IFERROR(X401/H401,"0")+IFERROR(X402/H402,"0")</f>
        <v>3</v>
      </c>
      <c r="Y403" s="79">
        <f>IFERROR(Y401/H401,"0")+IFERROR(Y402/H402,"0")</f>
        <v>3</v>
      </c>
      <c r="Z403" s="79">
        <f>IFERROR(IF(Z401="",0,Z401),"0")+IFERROR(IF(Z402="",0,Z402),"0")</f>
        <v>2.7060000000000001E-2</v>
      </c>
      <c r="AA403" s="80"/>
      <c r="AB403" s="80"/>
      <c r="AC403" s="80"/>
    </row>
    <row r="404" spans="1:68" x14ac:dyDescent="0.2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100"/>
      <c r="P404" s="91" t="s">
        <v>72</v>
      </c>
      <c r="Q404" s="92"/>
      <c r="R404" s="92"/>
      <c r="S404" s="92"/>
      <c r="T404" s="92"/>
      <c r="U404" s="92"/>
      <c r="V404" s="93"/>
      <c r="W404" s="49" t="s">
        <v>70</v>
      </c>
      <c r="X404" s="79">
        <f>IFERROR(SUM(X401:X402),"0")</f>
        <v>7.2</v>
      </c>
      <c r="Y404" s="79">
        <f>IFERROR(SUM(Y401:Y402),"0")</f>
        <v>7.1999999999999993</v>
      </c>
      <c r="Z404" s="49"/>
      <c r="AA404" s="80"/>
      <c r="AB404" s="80"/>
      <c r="AC404" s="80"/>
    </row>
    <row r="405" spans="1:68" ht="16.5" customHeight="1" x14ac:dyDescent="0.25">
      <c r="A405" s="94" t="s">
        <v>634</v>
      </c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65"/>
      <c r="AB405" s="65"/>
      <c r="AC405" s="65"/>
    </row>
    <row r="406" spans="1:68" ht="14.25" customHeight="1" x14ac:dyDescent="0.25">
      <c r="A406" s="89" t="s">
        <v>139</v>
      </c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66"/>
      <c r="AB406" s="66"/>
      <c r="AC406" s="66"/>
    </row>
    <row r="407" spans="1:68" ht="27" customHeight="1" x14ac:dyDescent="0.25">
      <c r="A407" s="24" t="s">
        <v>635</v>
      </c>
      <c r="B407" s="24" t="s">
        <v>636</v>
      </c>
      <c r="C407" s="25">
        <v>4301020319</v>
      </c>
      <c r="D407" s="86">
        <v>4680115885240</v>
      </c>
      <c r="E407" s="87"/>
      <c r="F407" s="75">
        <v>0.35</v>
      </c>
      <c r="G407" s="26">
        <v>6</v>
      </c>
      <c r="H407" s="75">
        <v>2.1</v>
      </c>
      <c r="I407" s="75">
        <v>2.31</v>
      </c>
      <c r="J407" s="26">
        <v>182</v>
      </c>
      <c r="K407" s="26" t="s">
        <v>77</v>
      </c>
      <c r="L407" s="26"/>
      <c r="M407" s="35" t="s">
        <v>68</v>
      </c>
      <c r="N407" s="35"/>
      <c r="O407" s="26">
        <v>40</v>
      </c>
      <c r="P407" s="8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84"/>
      <c r="R407" s="84"/>
      <c r="S407" s="84"/>
      <c r="T407" s="85"/>
      <c r="U407" s="47"/>
      <c r="V407" s="47"/>
      <c r="W407" s="48" t="s">
        <v>70</v>
      </c>
      <c r="X407" s="76"/>
      <c r="Y407" s="77">
        <f>IFERROR(IF(X407="",0,CEILING((X407/$H407),1)*$H407),"")</f>
        <v>0</v>
      </c>
      <c r="Z407" s="52" t="str">
        <f>IFERROR(IF(Y407=0,"",ROUNDUP(Y407/H407,0)*0.00651),"")</f>
        <v/>
      </c>
      <c r="AA407" s="53"/>
      <c r="AB407" s="54"/>
      <c r="AC407" s="55" t="s">
        <v>637</v>
      </c>
      <c r="AG407" s="78"/>
      <c r="AJ407" s="57"/>
      <c r="AK407" s="57">
        <v>0</v>
      </c>
      <c r="BB407" s="59" t="s">
        <v>1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99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100"/>
      <c r="P408" s="91" t="s">
        <v>72</v>
      </c>
      <c r="Q408" s="92"/>
      <c r="R408" s="92"/>
      <c r="S408" s="92"/>
      <c r="T408" s="92"/>
      <c r="U408" s="92"/>
      <c r="V408" s="93"/>
      <c r="W408" s="49" t="s">
        <v>73</v>
      </c>
      <c r="X408" s="79">
        <f>IFERROR(X407/H407,"0")</f>
        <v>0</v>
      </c>
      <c r="Y408" s="79">
        <f>IFERROR(Y407/H407,"0")</f>
        <v>0</v>
      </c>
      <c r="Z408" s="79">
        <f>IFERROR(IF(Z407="",0,Z407),"0")</f>
        <v>0</v>
      </c>
      <c r="AA408" s="80"/>
      <c r="AB408" s="80"/>
      <c r="AC408" s="80"/>
    </row>
    <row r="409" spans="1:68" x14ac:dyDescent="0.2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100"/>
      <c r="P409" s="91" t="s">
        <v>72</v>
      </c>
      <c r="Q409" s="92"/>
      <c r="R409" s="92"/>
      <c r="S409" s="92"/>
      <c r="T409" s="92"/>
      <c r="U409" s="92"/>
      <c r="V409" s="93"/>
      <c r="W409" s="49" t="s">
        <v>70</v>
      </c>
      <c r="X409" s="79">
        <f>IFERROR(SUM(X407:X407),"0")</f>
        <v>0</v>
      </c>
      <c r="Y409" s="79">
        <f>IFERROR(SUM(Y407:Y407),"0")</f>
        <v>0</v>
      </c>
      <c r="Z409" s="49"/>
      <c r="AA409" s="80"/>
      <c r="AB409" s="80"/>
      <c r="AC409" s="80"/>
    </row>
    <row r="410" spans="1:68" ht="14.25" customHeight="1" x14ac:dyDescent="0.25">
      <c r="A410" s="89" t="s">
        <v>64</v>
      </c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66"/>
      <c r="AB410" s="66"/>
      <c r="AC410" s="66"/>
    </row>
    <row r="411" spans="1:68" ht="27" customHeight="1" x14ac:dyDescent="0.25">
      <c r="A411" s="24" t="s">
        <v>638</v>
      </c>
      <c r="B411" s="24" t="s">
        <v>639</v>
      </c>
      <c r="C411" s="25">
        <v>4301031403</v>
      </c>
      <c r="D411" s="86">
        <v>4680115886094</v>
      </c>
      <c r="E411" s="87"/>
      <c r="F411" s="75">
        <v>0.9</v>
      </c>
      <c r="G411" s="26">
        <v>6</v>
      </c>
      <c r="H411" s="75">
        <v>5.4</v>
      </c>
      <c r="I411" s="75">
        <v>5.61</v>
      </c>
      <c r="J411" s="26">
        <v>132</v>
      </c>
      <c r="K411" s="26" t="s">
        <v>111</v>
      </c>
      <c r="L411" s="26"/>
      <c r="M411" s="35" t="s">
        <v>107</v>
      </c>
      <c r="N411" s="35"/>
      <c r="O411" s="26">
        <v>50</v>
      </c>
      <c r="P411" s="8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84"/>
      <c r="R411" s="84"/>
      <c r="S411" s="84"/>
      <c r="T411" s="85"/>
      <c r="U411" s="47"/>
      <c r="V411" s="47"/>
      <c r="W411" s="48" t="s">
        <v>70</v>
      </c>
      <c r="X411" s="76">
        <v>32.4</v>
      </c>
      <c r="Y411" s="77">
        <f>IFERROR(IF(X411="",0,CEILING((X411/$H411),1)*$H411),"")</f>
        <v>32.400000000000006</v>
      </c>
      <c r="Z411" s="52">
        <f>IFERROR(IF(Y411=0,"",ROUNDUP(Y411/H411,0)*0.00902),"")</f>
        <v>5.4120000000000001E-2</v>
      </c>
      <c r="AA411" s="53"/>
      <c r="AB411" s="54"/>
      <c r="AC411" s="55" t="s">
        <v>640</v>
      </c>
      <c r="AG411" s="78"/>
      <c r="AJ411" s="57"/>
      <c r="AK411" s="57">
        <v>0</v>
      </c>
      <c r="BB411" s="59" t="s">
        <v>1</v>
      </c>
      <c r="BM411" s="78">
        <f>IFERROR(X411*I411/H411,"0")</f>
        <v>33.659999999999997</v>
      </c>
      <c r="BN411" s="78">
        <f>IFERROR(Y411*I411/H411,"0")</f>
        <v>33.660000000000004</v>
      </c>
      <c r="BO411" s="78">
        <f>IFERROR(1/J411*(X411/H411),"0")</f>
        <v>4.5454545454545449E-2</v>
      </c>
      <c r="BP411" s="78">
        <f>IFERROR(1/J411*(Y411/H411),"0")</f>
        <v>4.5454545454545463E-2</v>
      </c>
    </row>
    <row r="412" spans="1:68" ht="27" customHeight="1" x14ac:dyDescent="0.25">
      <c r="A412" s="24" t="s">
        <v>641</v>
      </c>
      <c r="B412" s="24" t="s">
        <v>642</v>
      </c>
      <c r="C412" s="25">
        <v>4301031363</v>
      </c>
      <c r="D412" s="86">
        <v>4607091389425</v>
      </c>
      <c r="E412" s="87"/>
      <c r="F412" s="75">
        <v>0.35</v>
      </c>
      <c r="G412" s="26">
        <v>6</v>
      </c>
      <c r="H412" s="75">
        <v>2.1</v>
      </c>
      <c r="I412" s="75">
        <v>2.23</v>
      </c>
      <c r="J412" s="26">
        <v>234</v>
      </c>
      <c r="K412" s="26" t="s">
        <v>67</v>
      </c>
      <c r="L412" s="26"/>
      <c r="M412" s="35" t="s">
        <v>68</v>
      </c>
      <c r="N412" s="35"/>
      <c r="O412" s="26">
        <v>50</v>
      </c>
      <c r="P412" s="8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84"/>
      <c r="R412" s="84"/>
      <c r="S412" s="84"/>
      <c r="T412" s="85"/>
      <c r="U412" s="47"/>
      <c r="V412" s="47"/>
      <c r="W412" s="48" t="s">
        <v>70</v>
      </c>
      <c r="X412" s="76">
        <v>8.4</v>
      </c>
      <c r="Y412" s="77">
        <f>IFERROR(IF(X412="",0,CEILING((X412/$H412),1)*$H412),"")</f>
        <v>8.4</v>
      </c>
      <c r="Z412" s="52">
        <f>IFERROR(IF(Y412=0,"",ROUNDUP(Y412/H412,0)*0.00502),"")</f>
        <v>2.0080000000000001E-2</v>
      </c>
      <c r="AA412" s="53"/>
      <c r="AB412" s="54"/>
      <c r="AC412" s="55" t="s">
        <v>643</v>
      </c>
      <c r="AG412" s="78"/>
      <c r="AJ412" s="57"/>
      <c r="AK412" s="57">
        <v>0</v>
      </c>
      <c r="BB412" s="59" t="s">
        <v>1</v>
      </c>
      <c r="BM412" s="78">
        <f>IFERROR(X412*I412/H412,"0")</f>
        <v>8.92</v>
      </c>
      <c r="BN412" s="78">
        <f>IFERROR(Y412*I412/H412,"0")</f>
        <v>8.92</v>
      </c>
      <c r="BO412" s="78">
        <f>IFERROR(1/J412*(X412/H412),"0")</f>
        <v>1.7094017094017096E-2</v>
      </c>
      <c r="BP412" s="78">
        <f>IFERROR(1/J412*(Y412/H412),"0")</f>
        <v>1.7094017094017096E-2</v>
      </c>
    </row>
    <row r="413" spans="1:68" ht="27" customHeight="1" x14ac:dyDescent="0.25">
      <c r="A413" s="24" t="s">
        <v>644</v>
      </c>
      <c r="B413" s="24" t="s">
        <v>645</v>
      </c>
      <c r="C413" s="25">
        <v>4301031373</v>
      </c>
      <c r="D413" s="86">
        <v>4680115880771</v>
      </c>
      <c r="E413" s="87"/>
      <c r="F413" s="75">
        <v>0.28000000000000003</v>
      </c>
      <c r="G413" s="26">
        <v>6</v>
      </c>
      <c r="H413" s="75">
        <v>1.68</v>
      </c>
      <c r="I413" s="75">
        <v>1.81</v>
      </c>
      <c r="J413" s="26">
        <v>234</v>
      </c>
      <c r="K413" s="26" t="s">
        <v>67</v>
      </c>
      <c r="L413" s="26"/>
      <c r="M413" s="35" t="s">
        <v>68</v>
      </c>
      <c r="N413" s="35"/>
      <c r="O413" s="26">
        <v>50</v>
      </c>
      <c r="P413" s="8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84"/>
      <c r="R413" s="84"/>
      <c r="S413" s="84"/>
      <c r="T413" s="85"/>
      <c r="U413" s="47"/>
      <c r="V413" s="47"/>
      <c r="W413" s="48" t="s">
        <v>70</v>
      </c>
      <c r="X413" s="76">
        <v>0</v>
      </c>
      <c r="Y413" s="77">
        <f>IFERROR(IF(X413="",0,CEILING((X413/$H413),1)*$H413),"")</f>
        <v>0</v>
      </c>
      <c r="Z413" s="52" t="str">
        <f>IFERROR(IF(Y413=0,"",ROUNDUP(Y413/H413,0)*0.00502),"")</f>
        <v/>
      </c>
      <c r="AA413" s="53"/>
      <c r="AB413" s="54"/>
      <c r="AC413" s="55" t="s">
        <v>646</v>
      </c>
      <c r="AG413" s="78"/>
      <c r="AJ413" s="57"/>
      <c r="AK413" s="57">
        <v>0</v>
      </c>
      <c r="BB413" s="59" t="s">
        <v>1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24" t="s">
        <v>647</v>
      </c>
      <c r="B414" s="24" t="s">
        <v>648</v>
      </c>
      <c r="C414" s="25">
        <v>4301031359</v>
      </c>
      <c r="D414" s="86">
        <v>4607091389500</v>
      </c>
      <c r="E414" s="87"/>
      <c r="F414" s="75">
        <v>0.35</v>
      </c>
      <c r="G414" s="26">
        <v>6</v>
      </c>
      <c r="H414" s="75">
        <v>2.1</v>
      </c>
      <c r="I414" s="75">
        <v>2.23</v>
      </c>
      <c r="J414" s="26">
        <v>234</v>
      </c>
      <c r="K414" s="26" t="s">
        <v>67</v>
      </c>
      <c r="L414" s="26"/>
      <c r="M414" s="35" t="s">
        <v>68</v>
      </c>
      <c r="N414" s="35"/>
      <c r="O414" s="26">
        <v>50</v>
      </c>
      <c r="P414" s="8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84"/>
      <c r="R414" s="84"/>
      <c r="S414" s="84"/>
      <c r="T414" s="85"/>
      <c r="U414" s="47"/>
      <c r="V414" s="47"/>
      <c r="W414" s="48" t="s">
        <v>70</v>
      </c>
      <c r="X414" s="76">
        <v>0</v>
      </c>
      <c r="Y414" s="77">
        <f>IFERROR(IF(X414="",0,CEILING((X414/$H414),1)*$H414),"")</f>
        <v>0</v>
      </c>
      <c r="Z414" s="52" t="str">
        <f>IFERROR(IF(Y414=0,"",ROUNDUP(Y414/H414,0)*0.00502),"")</f>
        <v/>
      </c>
      <c r="AA414" s="53"/>
      <c r="AB414" s="54"/>
      <c r="AC414" s="55" t="s">
        <v>646</v>
      </c>
      <c r="AG414" s="78"/>
      <c r="AJ414" s="57"/>
      <c r="AK414" s="57">
        <v>0</v>
      </c>
      <c r="BB414" s="59" t="s">
        <v>1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99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100"/>
      <c r="P415" s="91" t="s">
        <v>72</v>
      </c>
      <c r="Q415" s="92"/>
      <c r="R415" s="92"/>
      <c r="S415" s="92"/>
      <c r="T415" s="92"/>
      <c r="U415" s="92"/>
      <c r="V415" s="93"/>
      <c r="W415" s="49" t="s">
        <v>73</v>
      </c>
      <c r="X415" s="79">
        <f>IFERROR(X411/H411,"0")+IFERROR(X412/H412,"0")+IFERROR(X413/H413,"0")+IFERROR(X414/H414,"0")</f>
        <v>10</v>
      </c>
      <c r="Y415" s="79">
        <f>IFERROR(Y411/H411,"0")+IFERROR(Y412/H412,"0")+IFERROR(Y413/H413,"0")+IFERROR(Y414/H414,"0")</f>
        <v>10</v>
      </c>
      <c r="Z415" s="79">
        <f>IFERROR(IF(Z411="",0,Z411),"0")+IFERROR(IF(Z412="",0,Z412),"0")+IFERROR(IF(Z413="",0,Z413),"0")+IFERROR(IF(Z414="",0,Z414),"0")</f>
        <v>7.4200000000000002E-2</v>
      </c>
      <c r="AA415" s="80"/>
      <c r="AB415" s="80"/>
      <c r="AC415" s="80"/>
    </row>
    <row r="416" spans="1:68" x14ac:dyDescent="0.2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100"/>
      <c r="P416" s="91" t="s">
        <v>72</v>
      </c>
      <c r="Q416" s="92"/>
      <c r="R416" s="92"/>
      <c r="S416" s="92"/>
      <c r="T416" s="92"/>
      <c r="U416" s="92"/>
      <c r="V416" s="93"/>
      <c r="W416" s="49" t="s">
        <v>70</v>
      </c>
      <c r="X416" s="79">
        <f>IFERROR(SUM(X411:X414),"0")</f>
        <v>40.799999999999997</v>
      </c>
      <c r="Y416" s="79">
        <f>IFERROR(SUM(Y411:Y414),"0")</f>
        <v>40.800000000000004</v>
      </c>
      <c r="Z416" s="49"/>
      <c r="AA416" s="80"/>
      <c r="AB416" s="80"/>
      <c r="AC416" s="80"/>
    </row>
    <row r="417" spans="1:68" ht="16.5" customHeight="1" x14ac:dyDescent="0.25">
      <c r="A417" s="94" t="s">
        <v>649</v>
      </c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65"/>
      <c r="AB417" s="65"/>
      <c r="AC417" s="65"/>
    </row>
    <row r="418" spans="1:68" ht="14.25" customHeight="1" x14ac:dyDescent="0.25">
      <c r="A418" s="89" t="s">
        <v>64</v>
      </c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66"/>
      <c r="AB418" s="66"/>
      <c r="AC418" s="66"/>
    </row>
    <row r="419" spans="1:68" ht="27" customHeight="1" x14ac:dyDescent="0.25">
      <c r="A419" s="24" t="s">
        <v>650</v>
      </c>
      <c r="B419" s="24" t="s">
        <v>651</v>
      </c>
      <c r="C419" s="25">
        <v>4301031347</v>
      </c>
      <c r="D419" s="86">
        <v>4680115885110</v>
      </c>
      <c r="E419" s="87"/>
      <c r="F419" s="75">
        <v>0.2</v>
      </c>
      <c r="G419" s="26">
        <v>6</v>
      </c>
      <c r="H419" s="75">
        <v>1.2</v>
      </c>
      <c r="I419" s="75">
        <v>2.1</v>
      </c>
      <c r="J419" s="26">
        <v>182</v>
      </c>
      <c r="K419" s="26" t="s">
        <v>77</v>
      </c>
      <c r="L419" s="26"/>
      <c r="M419" s="35" t="s">
        <v>68</v>
      </c>
      <c r="N419" s="35"/>
      <c r="O419" s="26">
        <v>50</v>
      </c>
      <c r="P419" s="8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84"/>
      <c r="R419" s="84"/>
      <c r="S419" s="84"/>
      <c r="T419" s="85"/>
      <c r="U419" s="47"/>
      <c r="V419" s="47"/>
      <c r="W419" s="48" t="s">
        <v>70</v>
      </c>
      <c r="X419" s="76">
        <v>0</v>
      </c>
      <c r="Y419" s="77">
        <f>IFERROR(IF(X419="",0,CEILING((X419/$H419),1)*$H419),"")</f>
        <v>0</v>
      </c>
      <c r="Z419" s="52" t="str">
        <f>IFERROR(IF(Y419=0,"",ROUNDUP(Y419/H419,0)*0.00651),"")</f>
        <v/>
      </c>
      <c r="AA419" s="53"/>
      <c r="AB419" s="54"/>
      <c r="AC419" s="55" t="s">
        <v>652</v>
      </c>
      <c r="AG419" s="78"/>
      <c r="AJ419" s="57"/>
      <c r="AK419" s="57">
        <v>0</v>
      </c>
      <c r="BB419" s="59" t="s">
        <v>1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99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100"/>
      <c r="P420" s="91" t="s">
        <v>72</v>
      </c>
      <c r="Q420" s="92"/>
      <c r="R420" s="92"/>
      <c r="S420" s="92"/>
      <c r="T420" s="92"/>
      <c r="U420" s="92"/>
      <c r="V420" s="93"/>
      <c r="W420" s="49" t="s">
        <v>73</v>
      </c>
      <c r="X420" s="79">
        <f>IFERROR(X419/H419,"0")</f>
        <v>0</v>
      </c>
      <c r="Y420" s="79">
        <f>IFERROR(Y419/H419,"0")</f>
        <v>0</v>
      </c>
      <c r="Z420" s="79">
        <f>IFERROR(IF(Z419="",0,Z419),"0")</f>
        <v>0</v>
      </c>
      <c r="AA420" s="80"/>
      <c r="AB420" s="80"/>
      <c r="AC420" s="80"/>
    </row>
    <row r="421" spans="1:68" x14ac:dyDescent="0.2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100"/>
      <c r="P421" s="91" t="s">
        <v>72</v>
      </c>
      <c r="Q421" s="92"/>
      <c r="R421" s="92"/>
      <c r="S421" s="92"/>
      <c r="T421" s="92"/>
      <c r="U421" s="92"/>
      <c r="V421" s="93"/>
      <c r="W421" s="49" t="s">
        <v>70</v>
      </c>
      <c r="X421" s="79">
        <f>IFERROR(SUM(X419:X419),"0")</f>
        <v>0</v>
      </c>
      <c r="Y421" s="79">
        <f>IFERROR(SUM(Y419:Y419),"0")</f>
        <v>0</v>
      </c>
      <c r="Z421" s="49"/>
      <c r="AA421" s="80"/>
      <c r="AB421" s="80"/>
      <c r="AC421" s="80"/>
    </row>
    <row r="422" spans="1:68" ht="16.5" customHeight="1" x14ac:dyDescent="0.25">
      <c r="A422" s="94" t="s">
        <v>653</v>
      </c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65"/>
      <c r="AB422" s="65"/>
      <c r="AC422" s="65"/>
    </row>
    <row r="423" spans="1:68" ht="14.25" customHeight="1" x14ac:dyDescent="0.25">
      <c r="A423" s="89" t="s">
        <v>64</v>
      </c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66"/>
      <c r="AB423" s="66"/>
      <c r="AC423" s="66"/>
    </row>
    <row r="424" spans="1:68" ht="27" customHeight="1" x14ac:dyDescent="0.25">
      <c r="A424" s="24" t="s">
        <v>654</v>
      </c>
      <c r="B424" s="24" t="s">
        <v>655</v>
      </c>
      <c r="C424" s="25">
        <v>4301031261</v>
      </c>
      <c r="D424" s="86">
        <v>4680115885103</v>
      </c>
      <c r="E424" s="87"/>
      <c r="F424" s="75">
        <v>0.27</v>
      </c>
      <c r="G424" s="26">
        <v>6</v>
      </c>
      <c r="H424" s="75">
        <v>1.62</v>
      </c>
      <c r="I424" s="75">
        <v>1.8</v>
      </c>
      <c r="J424" s="26">
        <v>182</v>
      </c>
      <c r="K424" s="26" t="s">
        <v>77</v>
      </c>
      <c r="L424" s="26"/>
      <c r="M424" s="35" t="s">
        <v>68</v>
      </c>
      <c r="N424" s="35"/>
      <c r="O424" s="26">
        <v>40</v>
      </c>
      <c r="P424" s="8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84"/>
      <c r="R424" s="84"/>
      <c r="S424" s="84"/>
      <c r="T424" s="85"/>
      <c r="U424" s="47"/>
      <c r="V424" s="47"/>
      <c r="W424" s="48" t="s">
        <v>70</v>
      </c>
      <c r="X424" s="76">
        <v>0</v>
      </c>
      <c r="Y424" s="77">
        <f>IFERROR(IF(X424="",0,CEILING((X424/$H424),1)*$H424),"")</f>
        <v>0</v>
      </c>
      <c r="Z424" s="52" t="str">
        <f>IFERROR(IF(Y424=0,"",ROUNDUP(Y424/H424,0)*0.00651),"")</f>
        <v/>
      </c>
      <c r="AA424" s="53"/>
      <c r="AB424" s="54"/>
      <c r="AC424" s="55" t="s">
        <v>656</v>
      </c>
      <c r="AG424" s="78"/>
      <c r="AJ424" s="57"/>
      <c r="AK424" s="57">
        <v>0</v>
      </c>
      <c r="BB424" s="59" t="s">
        <v>1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99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100"/>
      <c r="P425" s="91" t="s">
        <v>72</v>
      </c>
      <c r="Q425" s="92"/>
      <c r="R425" s="92"/>
      <c r="S425" s="92"/>
      <c r="T425" s="92"/>
      <c r="U425" s="92"/>
      <c r="V425" s="93"/>
      <c r="W425" s="49" t="s">
        <v>73</v>
      </c>
      <c r="X425" s="79">
        <f>IFERROR(X424/H424,"0")</f>
        <v>0</v>
      </c>
      <c r="Y425" s="79">
        <f>IFERROR(Y424/H424,"0")</f>
        <v>0</v>
      </c>
      <c r="Z425" s="79">
        <f>IFERROR(IF(Z424="",0,Z424),"0")</f>
        <v>0</v>
      </c>
      <c r="AA425" s="80"/>
      <c r="AB425" s="80"/>
      <c r="AC425" s="80"/>
    </row>
    <row r="426" spans="1:68" x14ac:dyDescent="0.2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100"/>
      <c r="P426" s="91" t="s">
        <v>72</v>
      </c>
      <c r="Q426" s="92"/>
      <c r="R426" s="92"/>
      <c r="S426" s="92"/>
      <c r="T426" s="92"/>
      <c r="U426" s="92"/>
      <c r="V426" s="93"/>
      <c r="W426" s="49" t="s">
        <v>70</v>
      </c>
      <c r="X426" s="79">
        <f>IFERROR(SUM(X424:X424),"0")</f>
        <v>0</v>
      </c>
      <c r="Y426" s="79">
        <f>IFERROR(SUM(Y424:Y424),"0")</f>
        <v>0</v>
      </c>
      <c r="Z426" s="49"/>
      <c r="AA426" s="80"/>
      <c r="AB426" s="80"/>
      <c r="AC426" s="80"/>
    </row>
    <row r="427" spans="1:68" ht="27.75" customHeight="1" x14ac:dyDescent="0.2">
      <c r="A427" s="115" t="s">
        <v>657</v>
      </c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  <c r="AA427" s="51"/>
      <c r="AB427" s="51"/>
      <c r="AC427" s="51"/>
    </row>
    <row r="428" spans="1:68" ht="16.5" customHeight="1" x14ac:dyDescent="0.25">
      <c r="A428" s="94" t="s">
        <v>657</v>
      </c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65"/>
      <c r="AB428" s="65"/>
      <c r="AC428" s="65"/>
    </row>
    <row r="429" spans="1:68" ht="14.25" customHeight="1" x14ac:dyDescent="0.25">
      <c r="A429" s="89" t="s">
        <v>103</v>
      </c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66"/>
      <c r="AB429" s="66"/>
      <c r="AC429" s="66"/>
    </row>
    <row r="430" spans="1:68" ht="27" customHeight="1" x14ac:dyDescent="0.25">
      <c r="A430" s="24" t="s">
        <v>658</v>
      </c>
      <c r="B430" s="24" t="s">
        <v>659</v>
      </c>
      <c r="C430" s="25">
        <v>4301011795</v>
      </c>
      <c r="D430" s="86">
        <v>4607091389067</v>
      </c>
      <c r="E430" s="87"/>
      <c r="F430" s="75">
        <v>0.88</v>
      </c>
      <c r="G430" s="26">
        <v>6</v>
      </c>
      <c r="H430" s="75">
        <v>5.28</v>
      </c>
      <c r="I430" s="75">
        <v>5.64</v>
      </c>
      <c r="J430" s="26">
        <v>104</v>
      </c>
      <c r="K430" s="26" t="s">
        <v>106</v>
      </c>
      <c r="L430" s="26"/>
      <c r="M430" s="35" t="s">
        <v>107</v>
      </c>
      <c r="N430" s="35"/>
      <c r="O430" s="26">
        <v>60</v>
      </c>
      <c r="P430" s="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84"/>
      <c r="R430" s="84"/>
      <c r="S430" s="84"/>
      <c r="T430" s="85"/>
      <c r="U430" s="47"/>
      <c r="V430" s="47"/>
      <c r="W430" s="48" t="s">
        <v>70</v>
      </c>
      <c r="X430" s="76">
        <v>15.84</v>
      </c>
      <c r="Y430" s="77">
        <f t="shared" ref="Y430:Y444" si="63">IFERROR(IF(X430="",0,CEILING((X430/$H430),1)*$H430),"")</f>
        <v>15.84</v>
      </c>
      <c r="Z430" s="52">
        <f t="shared" ref="Z430:Z436" si="64">IFERROR(IF(Y430=0,"",ROUNDUP(Y430/H430,0)*0.01196),"")</f>
        <v>3.5880000000000002E-2</v>
      </c>
      <c r="AA430" s="53"/>
      <c r="AB430" s="54"/>
      <c r="AC430" s="55" t="s">
        <v>660</v>
      </c>
      <c r="AG430" s="78"/>
      <c r="AJ430" s="57"/>
      <c r="AK430" s="57">
        <v>0</v>
      </c>
      <c r="BB430" s="59" t="s">
        <v>1</v>
      </c>
      <c r="BM430" s="78">
        <f t="shared" ref="BM430:BM444" si="65">IFERROR(X430*I430/H430,"0")</f>
        <v>16.919999999999998</v>
      </c>
      <c r="BN430" s="78">
        <f t="shared" ref="BN430:BN444" si="66">IFERROR(Y430*I430/H430,"0")</f>
        <v>16.919999999999998</v>
      </c>
      <c r="BO430" s="78">
        <f t="shared" ref="BO430:BO444" si="67">IFERROR(1/J430*(X430/H430),"0")</f>
        <v>2.8846153846153848E-2</v>
      </c>
      <c r="BP430" s="78">
        <f t="shared" ref="BP430:BP444" si="68">IFERROR(1/J430*(Y430/H430),"0")</f>
        <v>2.8846153846153848E-2</v>
      </c>
    </row>
    <row r="431" spans="1:68" ht="27" customHeight="1" x14ac:dyDescent="0.25">
      <c r="A431" s="24" t="s">
        <v>661</v>
      </c>
      <c r="B431" s="24" t="s">
        <v>662</v>
      </c>
      <c r="C431" s="25">
        <v>4301011961</v>
      </c>
      <c r="D431" s="86">
        <v>4680115885271</v>
      </c>
      <c r="E431" s="87"/>
      <c r="F431" s="75">
        <v>0.88</v>
      </c>
      <c r="G431" s="26">
        <v>6</v>
      </c>
      <c r="H431" s="75">
        <v>5.28</v>
      </c>
      <c r="I431" s="75">
        <v>5.64</v>
      </c>
      <c r="J431" s="26">
        <v>104</v>
      </c>
      <c r="K431" s="26" t="s">
        <v>106</v>
      </c>
      <c r="L431" s="26"/>
      <c r="M431" s="35" t="s">
        <v>107</v>
      </c>
      <c r="N431" s="35"/>
      <c r="O431" s="26">
        <v>60</v>
      </c>
      <c r="P431" s="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84"/>
      <c r="R431" s="84"/>
      <c r="S431" s="84"/>
      <c r="T431" s="85"/>
      <c r="U431" s="47"/>
      <c r="V431" s="47"/>
      <c r="W431" s="48" t="s">
        <v>70</v>
      </c>
      <c r="X431" s="76">
        <v>10.56</v>
      </c>
      <c r="Y431" s="77">
        <f t="shared" si="63"/>
        <v>10.56</v>
      </c>
      <c r="Z431" s="52">
        <f t="shared" si="64"/>
        <v>2.392E-2</v>
      </c>
      <c r="AA431" s="53"/>
      <c r="AB431" s="54"/>
      <c r="AC431" s="55" t="s">
        <v>663</v>
      </c>
      <c r="AG431" s="78"/>
      <c r="AJ431" s="57"/>
      <c r="AK431" s="57">
        <v>0</v>
      </c>
      <c r="BB431" s="59" t="s">
        <v>1</v>
      </c>
      <c r="BM431" s="78">
        <f t="shared" si="65"/>
        <v>11.28</v>
      </c>
      <c r="BN431" s="78">
        <f t="shared" si="66"/>
        <v>11.28</v>
      </c>
      <c r="BO431" s="78">
        <f t="shared" si="67"/>
        <v>1.9230769230769232E-2</v>
      </c>
      <c r="BP431" s="78">
        <f t="shared" si="68"/>
        <v>1.9230769230769232E-2</v>
      </c>
    </row>
    <row r="432" spans="1:68" ht="27" customHeight="1" x14ac:dyDescent="0.25">
      <c r="A432" s="24" t="s">
        <v>664</v>
      </c>
      <c r="B432" s="24" t="s">
        <v>665</v>
      </c>
      <c r="C432" s="25">
        <v>4301011376</v>
      </c>
      <c r="D432" s="86">
        <v>4680115885226</v>
      </c>
      <c r="E432" s="87"/>
      <c r="F432" s="75">
        <v>0.88</v>
      </c>
      <c r="G432" s="26">
        <v>6</v>
      </c>
      <c r="H432" s="75">
        <v>5.28</v>
      </c>
      <c r="I432" s="75">
        <v>5.64</v>
      </c>
      <c r="J432" s="26">
        <v>104</v>
      </c>
      <c r="K432" s="26" t="s">
        <v>106</v>
      </c>
      <c r="L432" s="26"/>
      <c r="M432" s="35" t="s">
        <v>78</v>
      </c>
      <c r="N432" s="35"/>
      <c r="O432" s="26">
        <v>60</v>
      </c>
      <c r="P432" s="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84"/>
      <c r="R432" s="84"/>
      <c r="S432" s="84"/>
      <c r="T432" s="85"/>
      <c r="U432" s="47"/>
      <c r="V432" s="47"/>
      <c r="W432" s="48" t="s">
        <v>70</v>
      </c>
      <c r="X432" s="76">
        <v>15.64</v>
      </c>
      <c r="Y432" s="77">
        <f t="shared" si="63"/>
        <v>15.84</v>
      </c>
      <c r="Z432" s="52">
        <f t="shared" si="64"/>
        <v>3.5880000000000002E-2</v>
      </c>
      <c r="AA432" s="53"/>
      <c r="AB432" s="54"/>
      <c r="AC432" s="55" t="s">
        <v>666</v>
      </c>
      <c r="AG432" s="78"/>
      <c r="AJ432" s="57"/>
      <c r="AK432" s="57">
        <v>0</v>
      </c>
      <c r="BB432" s="59" t="s">
        <v>1</v>
      </c>
      <c r="BM432" s="78">
        <f t="shared" si="65"/>
        <v>16.706363636363633</v>
      </c>
      <c r="BN432" s="78">
        <f t="shared" si="66"/>
        <v>16.919999999999998</v>
      </c>
      <c r="BO432" s="78">
        <f t="shared" si="67"/>
        <v>2.8481934731934732E-2</v>
      </c>
      <c r="BP432" s="78">
        <f t="shared" si="68"/>
        <v>2.8846153846153848E-2</v>
      </c>
    </row>
    <row r="433" spans="1:68" ht="27" customHeight="1" x14ac:dyDescent="0.25">
      <c r="A433" s="24" t="s">
        <v>667</v>
      </c>
      <c r="B433" s="24" t="s">
        <v>668</v>
      </c>
      <c r="C433" s="25">
        <v>4301012145</v>
      </c>
      <c r="D433" s="86">
        <v>4607091383522</v>
      </c>
      <c r="E433" s="87"/>
      <c r="F433" s="75">
        <v>0.88</v>
      </c>
      <c r="G433" s="26">
        <v>6</v>
      </c>
      <c r="H433" s="75">
        <v>5.28</v>
      </c>
      <c r="I433" s="75">
        <v>5.64</v>
      </c>
      <c r="J433" s="26">
        <v>104</v>
      </c>
      <c r="K433" s="26" t="s">
        <v>106</v>
      </c>
      <c r="L433" s="26"/>
      <c r="M433" s="35" t="s">
        <v>107</v>
      </c>
      <c r="N433" s="35"/>
      <c r="O433" s="26">
        <v>60</v>
      </c>
      <c r="P433" s="123" t="s">
        <v>669</v>
      </c>
      <c r="Q433" s="84"/>
      <c r="R433" s="84"/>
      <c r="S433" s="84"/>
      <c r="T433" s="85"/>
      <c r="U433" s="47"/>
      <c r="V433" s="47"/>
      <c r="W433" s="48" t="s">
        <v>70</v>
      </c>
      <c r="X433" s="76">
        <v>15.64</v>
      </c>
      <c r="Y433" s="77">
        <f t="shared" si="63"/>
        <v>15.84</v>
      </c>
      <c r="Z433" s="52">
        <f t="shared" si="64"/>
        <v>3.5880000000000002E-2</v>
      </c>
      <c r="AA433" s="53"/>
      <c r="AB433" s="54"/>
      <c r="AC433" s="55" t="s">
        <v>670</v>
      </c>
      <c r="AG433" s="78"/>
      <c r="AJ433" s="57"/>
      <c r="AK433" s="57">
        <v>0</v>
      </c>
      <c r="BB433" s="59" t="s">
        <v>1</v>
      </c>
      <c r="BM433" s="78">
        <f t="shared" si="65"/>
        <v>16.706363636363633</v>
      </c>
      <c r="BN433" s="78">
        <f t="shared" si="66"/>
        <v>16.919999999999998</v>
      </c>
      <c r="BO433" s="78">
        <f t="shared" si="67"/>
        <v>2.8481934731934732E-2</v>
      </c>
      <c r="BP433" s="78">
        <f t="shared" si="68"/>
        <v>2.8846153846153848E-2</v>
      </c>
    </row>
    <row r="434" spans="1:68" ht="16.5" customHeight="1" x14ac:dyDescent="0.25">
      <c r="A434" s="24" t="s">
        <v>671</v>
      </c>
      <c r="B434" s="24" t="s">
        <v>672</v>
      </c>
      <c r="C434" s="25">
        <v>4301011774</v>
      </c>
      <c r="D434" s="86">
        <v>4680115884502</v>
      </c>
      <c r="E434" s="87"/>
      <c r="F434" s="75">
        <v>0.88</v>
      </c>
      <c r="G434" s="26">
        <v>6</v>
      </c>
      <c r="H434" s="75">
        <v>5.28</v>
      </c>
      <c r="I434" s="75">
        <v>5.64</v>
      </c>
      <c r="J434" s="26">
        <v>104</v>
      </c>
      <c r="K434" s="26" t="s">
        <v>106</v>
      </c>
      <c r="L434" s="26"/>
      <c r="M434" s="35" t="s">
        <v>107</v>
      </c>
      <c r="N434" s="35"/>
      <c r="O434" s="26">
        <v>60</v>
      </c>
      <c r="P434" s="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84"/>
      <c r="R434" s="84"/>
      <c r="S434" s="84"/>
      <c r="T434" s="85"/>
      <c r="U434" s="47"/>
      <c r="V434" s="47"/>
      <c r="W434" s="48" t="s">
        <v>70</v>
      </c>
      <c r="X434" s="76">
        <v>0</v>
      </c>
      <c r="Y434" s="77">
        <f t="shared" si="63"/>
        <v>0</v>
      </c>
      <c r="Z434" s="52" t="str">
        <f t="shared" si="64"/>
        <v/>
      </c>
      <c r="AA434" s="53"/>
      <c r="AB434" s="54"/>
      <c r="AC434" s="55" t="s">
        <v>673</v>
      </c>
      <c r="AG434" s="78"/>
      <c r="AJ434" s="57"/>
      <c r="AK434" s="57">
        <v>0</v>
      </c>
      <c r="BB434" s="59" t="s">
        <v>1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 x14ac:dyDescent="0.25">
      <c r="A435" s="24" t="s">
        <v>674</v>
      </c>
      <c r="B435" s="24" t="s">
        <v>675</v>
      </c>
      <c r="C435" s="25">
        <v>4301011771</v>
      </c>
      <c r="D435" s="86">
        <v>4607091389104</v>
      </c>
      <c r="E435" s="87"/>
      <c r="F435" s="75">
        <v>0.88</v>
      </c>
      <c r="G435" s="26">
        <v>6</v>
      </c>
      <c r="H435" s="75">
        <v>5.28</v>
      </c>
      <c r="I435" s="75">
        <v>5.64</v>
      </c>
      <c r="J435" s="26">
        <v>104</v>
      </c>
      <c r="K435" s="26" t="s">
        <v>106</v>
      </c>
      <c r="L435" s="26"/>
      <c r="M435" s="35" t="s">
        <v>107</v>
      </c>
      <c r="N435" s="35"/>
      <c r="O435" s="26">
        <v>60</v>
      </c>
      <c r="P435" s="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84"/>
      <c r="R435" s="84"/>
      <c r="S435" s="84"/>
      <c r="T435" s="85"/>
      <c r="U435" s="47"/>
      <c r="V435" s="47"/>
      <c r="W435" s="48" t="s">
        <v>70</v>
      </c>
      <c r="X435" s="76">
        <v>15.64</v>
      </c>
      <c r="Y435" s="77">
        <f t="shared" si="63"/>
        <v>15.84</v>
      </c>
      <c r="Z435" s="52">
        <f t="shared" si="64"/>
        <v>3.5880000000000002E-2</v>
      </c>
      <c r="AA435" s="53"/>
      <c r="AB435" s="54"/>
      <c r="AC435" s="55" t="s">
        <v>676</v>
      </c>
      <c r="AG435" s="78"/>
      <c r="AJ435" s="57"/>
      <c r="AK435" s="57">
        <v>0</v>
      </c>
      <c r="BB435" s="59" t="s">
        <v>1</v>
      </c>
      <c r="BM435" s="78">
        <f t="shared" si="65"/>
        <v>16.706363636363633</v>
      </c>
      <c r="BN435" s="78">
        <f t="shared" si="66"/>
        <v>16.919999999999998</v>
      </c>
      <c r="BO435" s="78">
        <f t="shared" si="67"/>
        <v>2.8481934731934732E-2</v>
      </c>
      <c r="BP435" s="78">
        <f t="shared" si="68"/>
        <v>2.8846153846153848E-2</v>
      </c>
    </row>
    <row r="436" spans="1:68" ht="16.5" customHeight="1" x14ac:dyDescent="0.25">
      <c r="A436" s="24" t="s">
        <v>677</v>
      </c>
      <c r="B436" s="24" t="s">
        <v>678</v>
      </c>
      <c r="C436" s="25">
        <v>4301011799</v>
      </c>
      <c r="D436" s="86">
        <v>4680115884519</v>
      </c>
      <c r="E436" s="87"/>
      <c r="F436" s="75">
        <v>0.88</v>
      </c>
      <c r="G436" s="26">
        <v>6</v>
      </c>
      <c r="H436" s="75">
        <v>5.28</v>
      </c>
      <c r="I436" s="75">
        <v>5.64</v>
      </c>
      <c r="J436" s="26">
        <v>104</v>
      </c>
      <c r="K436" s="26" t="s">
        <v>106</v>
      </c>
      <c r="L436" s="26"/>
      <c r="M436" s="35" t="s">
        <v>78</v>
      </c>
      <c r="N436" s="35"/>
      <c r="O436" s="26">
        <v>60</v>
      </c>
      <c r="P436" s="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84"/>
      <c r="R436" s="84"/>
      <c r="S436" s="84"/>
      <c r="T436" s="85"/>
      <c r="U436" s="47"/>
      <c r="V436" s="47"/>
      <c r="W436" s="48" t="s">
        <v>70</v>
      </c>
      <c r="X436" s="76">
        <v>10.56</v>
      </c>
      <c r="Y436" s="77">
        <f t="shared" si="63"/>
        <v>10.56</v>
      </c>
      <c r="Z436" s="52">
        <f t="shared" si="64"/>
        <v>2.392E-2</v>
      </c>
      <c r="AA436" s="53"/>
      <c r="AB436" s="54"/>
      <c r="AC436" s="55" t="s">
        <v>679</v>
      </c>
      <c r="AG436" s="78"/>
      <c r="AJ436" s="57"/>
      <c r="AK436" s="57">
        <v>0</v>
      </c>
      <c r="BB436" s="59" t="s">
        <v>1</v>
      </c>
      <c r="BM436" s="78">
        <f t="shared" si="65"/>
        <v>11.28</v>
      </c>
      <c r="BN436" s="78">
        <f t="shared" si="66"/>
        <v>11.28</v>
      </c>
      <c r="BO436" s="78">
        <f t="shared" si="67"/>
        <v>1.9230769230769232E-2</v>
      </c>
      <c r="BP436" s="78">
        <f t="shared" si="68"/>
        <v>1.9230769230769232E-2</v>
      </c>
    </row>
    <row r="437" spans="1:68" ht="27" customHeight="1" x14ac:dyDescent="0.25">
      <c r="A437" s="24" t="s">
        <v>680</v>
      </c>
      <c r="B437" s="24" t="s">
        <v>681</v>
      </c>
      <c r="C437" s="25">
        <v>4301012125</v>
      </c>
      <c r="D437" s="86">
        <v>4680115886391</v>
      </c>
      <c r="E437" s="87"/>
      <c r="F437" s="75">
        <v>0.4</v>
      </c>
      <c r="G437" s="26">
        <v>6</v>
      </c>
      <c r="H437" s="75">
        <v>2.4</v>
      </c>
      <c r="I437" s="75">
        <v>2.58</v>
      </c>
      <c r="J437" s="26">
        <v>182</v>
      </c>
      <c r="K437" s="26" t="s">
        <v>77</v>
      </c>
      <c r="L437" s="26"/>
      <c r="M437" s="35" t="s">
        <v>78</v>
      </c>
      <c r="N437" s="35"/>
      <c r="O437" s="26">
        <v>60</v>
      </c>
      <c r="P437" s="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84"/>
      <c r="R437" s="84"/>
      <c r="S437" s="84"/>
      <c r="T437" s="85"/>
      <c r="U437" s="47"/>
      <c r="V437" s="47"/>
      <c r="W437" s="48" t="s">
        <v>70</v>
      </c>
      <c r="X437" s="76">
        <v>0</v>
      </c>
      <c r="Y437" s="77">
        <f t="shared" si="63"/>
        <v>0</v>
      </c>
      <c r="Z437" s="52" t="str">
        <f>IFERROR(IF(Y437=0,"",ROUNDUP(Y437/H437,0)*0.00651),"")</f>
        <v/>
      </c>
      <c r="AA437" s="53"/>
      <c r="AB437" s="54"/>
      <c r="AC437" s="55" t="s">
        <v>660</v>
      </c>
      <c r="AG437" s="78"/>
      <c r="AJ437" s="57"/>
      <c r="AK437" s="57">
        <v>0</v>
      </c>
      <c r="BB437" s="59" t="s">
        <v>1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24" t="s">
        <v>682</v>
      </c>
      <c r="B438" s="24" t="s">
        <v>683</v>
      </c>
      <c r="C438" s="25">
        <v>4301011778</v>
      </c>
      <c r="D438" s="86">
        <v>4680115880603</v>
      </c>
      <c r="E438" s="87"/>
      <c r="F438" s="75">
        <v>0.6</v>
      </c>
      <c r="G438" s="26">
        <v>6</v>
      </c>
      <c r="H438" s="75">
        <v>3.6</v>
      </c>
      <c r="I438" s="75">
        <v>3.81</v>
      </c>
      <c r="J438" s="26">
        <v>132</v>
      </c>
      <c r="K438" s="26" t="s">
        <v>111</v>
      </c>
      <c r="L438" s="26"/>
      <c r="M438" s="35" t="s">
        <v>107</v>
      </c>
      <c r="N438" s="35"/>
      <c r="O438" s="26">
        <v>60</v>
      </c>
      <c r="P438" s="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84"/>
      <c r="R438" s="84"/>
      <c r="S438" s="84"/>
      <c r="T438" s="85"/>
      <c r="U438" s="47"/>
      <c r="V438" s="47"/>
      <c r="W438" s="48" t="s">
        <v>70</v>
      </c>
      <c r="X438" s="76">
        <v>0</v>
      </c>
      <c r="Y438" s="77">
        <f t="shared" si="63"/>
        <v>0</v>
      </c>
      <c r="Z438" s="52" t="str">
        <f>IFERROR(IF(Y438=0,"",ROUNDUP(Y438/H438,0)*0.00902),"")</f>
        <v/>
      </c>
      <c r="AA438" s="53"/>
      <c r="AB438" s="54"/>
      <c r="AC438" s="55" t="s">
        <v>660</v>
      </c>
      <c r="AG438" s="78"/>
      <c r="AJ438" s="57"/>
      <c r="AK438" s="57">
        <v>0</v>
      </c>
      <c r="BB438" s="59" t="s">
        <v>1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24" t="s">
        <v>682</v>
      </c>
      <c r="B439" s="24" t="s">
        <v>684</v>
      </c>
      <c r="C439" s="25">
        <v>4301012035</v>
      </c>
      <c r="D439" s="86">
        <v>4680115880603</v>
      </c>
      <c r="E439" s="87"/>
      <c r="F439" s="75">
        <v>0.6</v>
      </c>
      <c r="G439" s="26">
        <v>8</v>
      </c>
      <c r="H439" s="75">
        <v>4.8</v>
      </c>
      <c r="I439" s="75">
        <v>6.93</v>
      </c>
      <c r="J439" s="26">
        <v>132</v>
      </c>
      <c r="K439" s="26" t="s">
        <v>111</v>
      </c>
      <c r="L439" s="26"/>
      <c r="M439" s="35" t="s">
        <v>107</v>
      </c>
      <c r="N439" s="35"/>
      <c r="O439" s="26">
        <v>60</v>
      </c>
      <c r="P439" s="8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84"/>
      <c r="R439" s="84"/>
      <c r="S439" s="84"/>
      <c r="T439" s="85"/>
      <c r="U439" s="47"/>
      <c r="V439" s="47"/>
      <c r="W439" s="48" t="s">
        <v>70</v>
      </c>
      <c r="X439" s="76">
        <v>0</v>
      </c>
      <c r="Y439" s="77">
        <f t="shared" si="63"/>
        <v>0</v>
      </c>
      <c r="Z439" s="52" t="str">
        <f>IFERROR(IF(Y439=0,"",ROUNDUP(Y439/H439,0)*0.00902),"")</f>
        <v/>
      </c>
      <c r="AA439" s="53"/>
      <c r="AB439" s="54"/>
      <c r="AC439" s="55" t="s">
        <v>660</v>
      </c>
      <c r="AG439" s="78"/>
      <c r="AJ439" s="57"/>
      <c r="AK439" s="57">
        <v>0</v>
      </c>
      <c r="BB439" s="59" t="s">
        <v>1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 x14ac:dyDescent="0.25">
      <c r="A440" s="24" t="s">
        <v>685</v>
      </c>
      <c r="B440" s="24" t="s">
        <v>686</v>
      </c>
      <c r="C440" s="25">
        <v>4301012146</v>
      </c>
      <c r="D440" s="86">
        <v>4607091389999</v>
      </c>
      <c r="E440" s="87"/>
      <c r="F440" s="75">
        <v>0.6</v>
      </c>
      <c r="G440" s="26">
        <v>8</v>
      </c>
      <c r="H440" s="75">
        <v>4.8</v>
      </c>
      <c r="I440" s="75">
        <v>5.01</v>
      </c>
      <c r="J440" s="26">
        <v>132</v>
      </c>
      <c r="K440" s="26" t="s">
        <v>111</v>
      </c>
      <c r="L440" s="26"/>
      <c r="M440" s="35" t="s">
        <v>107</v>
      </c>
      <c r="N440" s="35"/>
      <c r="O440" s="26">
        <v>60</v>
      </c>
      <c r="P440" s="123" t="s">
        <v>687</v>
      </c>
      <c r="Q440" s="84"/>
      <c r="R440" s="84"/>
      <c r="S440" s="84"/>
      <c r="T440" s="85"/>
      <c r="U440" s="47"/>
      <c r="V440" s="47"/>
      <c r="W440" s="48" t="s">
        <v>70</v>
      </c>
      <c r="X440" s="76">
        <v>0</v>
      </c>
      <c r="Y440" s="77">
        <f t="shared" si="63"/>
        <v>0</v>
      </c>
      <c r="Z440" s="52" t="str">
        <f>IFERROR(IF(Y440=0,"",ROUNDUP(Y440/H440,0)*0.00902),"")</f>
        <v/>
      </c>
      <c r="AA440" s="53"/>
      <c r="AB440" s="54"/>
      <c r="AC440" s="55" t="s">
        <v>670</v>
      </c>
      <c r="AG440" s="78"/>
      <c r="AJ440" s="57"/>
      <c r="AK440" s="57">
        <v>0</v>
      </c>
      <c r="BB440" s="59" t="s">
        <v>1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24" t="s">
        <v>688</v>
      </c>
      <c r="B441" s="24" t="s">
        <v>689</v>
      </c>
      <c r="C441" s="25">
        <v>4301012036</v>
      </c>
      <c r="D441" s="86">
        <v>4680115882782</v>
      </c>
      <c r="E441" s="87"/>
      <c r="F441" s="75">
        <v>0.6</v>
      </c>
      <c r="G441" s="26">
        <v>8</v>
      </c>
      <c r="H441" s="75">
        <v>4.8</v>
      </c>
      <c r="I441" s="75">
        <v>6.96</v>
      </c>
      <c r="J441" s="26">
        <v>120</v>
      </c>
      <c r="K441" s="26" t="s">
        <v>111</v>
      </c>
      <c r="L441" s="26"/>
      <c r="M441" s="35" t="s">
        <v>107</v>
      </c>
      <c r="N441" s="35"/>
      <c r="O441" s="26">
        <v>60</v>
      </c>
      <c r="P441" s="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84"/>
      <c r="R441" s="84"/>
      <c r="S441" s="84"/>
      <c r="T441" s="85"/>
      <c r="U441" s="47"/>
      <c r="V441" s="47"/>
      <c r="W441" s="48" t="s">
        <v>70</v>
      </c>
      <c r="X441" s="76">
        <v>0</v>
      </c>
      <c r="Y441" s="77">
        <f t="shared" si="63"/>
        <v>0</v>
      </c>
      <c r="Z441" s="52" t="str">
        <f>IFERROR(IF(Y441=0,"",ROUNDUP(Y441/H441,0)*0.00937),"")</f>
        <v/>
      </c>
      <c r="AA441" s="53"/>
      <c r="AB441" s="54"/>
      <c r="AC441" s="55" t="s">
        <v>663</v>
      </c>
      <c r="AG441" s="78"/>
      <c r="AJ441" s="57"/>
      <c r="AK441" s="57">
        <v>0</v>
      </c>
      <c r="BB441" s="59" t="s">
        <v>1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 x14ac:dyDescent="0.25">
      <c r="A442" s="24" t="s">
        <v>690</v>
      </c>
      <c r="B442" s="24" t="s">
        <v>691</v>
      </c>
      <c r="C442" s="25">
        <v>4301012050</v>
      </c>
      <c r="D442" s="86">
        <v>4680115885479</v>
      </c>
      <c r="E442" s="87"/>
      <c r="F442" s="75">
        <v>0.4</v>
      </c>
      <c r="G442" s="26">
        <v>6</v>
      </c>
      <c r="H442" s="75">
        <v>2.4</v>
      </c>
      <c r="I442" s="75">
        <v>2.58</v>
      </c>
      <c r="J442" s="26">
        <v>182</v>
      </c>
      <c r="K442" s="26" t="s">
        <v>77</v>
      </c>
      <c r="L442" s="26"/>
      <c r="M442" s="35" t="s">
        <v>107</v>
      </c>
      <c r="N442" s="35"/>
      <c r="O442" s="26">
        <v>60</v>
      </c>
      <c r="P442" s="8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84"/>
      <c r="R442" s="84"/>
      <c r="S442" s="84"/>
      <c r="T442" s="85"/>
      <c r="U442" s="47"/>
      <c r="V442" s="47"/>
      <c r="W442" s="48" t="s">
        <v>70</v>
      </c>
      <c r="X442" s="76">
        <v>0</v>
      </c>
      <c r="Y442" s="77">
        <f t="shared" si="63"/>
        <v>0</v>
      </c>
      <c r="Z442" s="52" t="str">
        <f>IFERROR(IF(Y442=0,"",ROUNDUP(Y442/H442,0)*0.00651),"")</f>
        <v/>
      </c>
      <c r="AA442" s="53"/>
      <c r="AB442" s="54"/>
      <c r="AC442" s="55" t="s">
        <v>676</v>
      </c>
      <c r="AG442" s="78"/>
      <c r="AJ442" s="57"/>
      <c r="AK442" s="57">
        <v>0</v>
      </c>
      <c r="BB442" s="59" t="s">
        <v>1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24" t="s">
        <v>692</v>
      </c>
      <c r="B443" s="24" t="s">
        <v>693</v>
      </c>
      <c r="C443" s="25">
        <v>4301011784</v>
      </c>
      <c r="D443" s="86">
        <v>4607091389982</v>
      </c>
      <c r="E443" s="87"/>
      <c r="F443" s="75">
        <v>0.6</v>
      </c>
      <c r="G443" s="26">
        <v>6</v>
      </c>
      <c r="H443" s="75">
        <v>3.6</v>
      </c>
      <c r="I443" s="75">
        <v>3.81</v>
      </c>
      <c r="J443" s="26">
        <v>132</v>
      </c>
      <c r="K443" s="26" t="s">
        <v>111</v>
      </c>
      <c r="L443" s="26"/>
      <c r="M443" s="35" t="s">
        <v>107</v>
      </c>
      <c r="N443" s="35"/>
      <c r="O443" s="26">
        <v>60</v>
      </c>
      <c r="P443" s="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84"/>
      <c r="R443" s="84"/>
      <c r="S443" s="84"/>
      <c r="T443" s="85"/>
      <c r="U443" s="47"/>
      <c r="V443" s="47"/>
      <c r="W443" s="48" t="s">
        <v>70</v>
      </c>
      <c r="X443" s="76">
        <v>0</v>
      </c>
      <c r="Y443" s="77">
        <f t="shared" si="63"/>
        <v>0</v>
      </c>
      <c r="Z443" s="52" t="str">
        <f>IFERROR(IF(Y443=0,"",ROUNDUP(Y443/H443,0)*0.00902),"")</f>
        <v/>
      </c>
      <c r="AA443" s="53"/>
      <c r="AB443" s="54"/>
      <c r="AC443" s="55" t="s">
        <v>676</v>
      </c>
      <c r="AG443" s="78"/>
      <c r="AJ443" s="57"/>
      <c r="AK443" s="57">
        <v>0</v>
      </c>
      <c r="BB443" s="59" t="s">
        <v>1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24" t="s">
        <v>692</v>
      </c>
      <c r="B444" s="24" t="s">
        <v>694</v>
      </c>
      <c r="C444" s="25">
        <v>4301012034</v>
      </c>
      <c r="D444" s="86">
        <v>4607091389982</v>
      </c>
      <c r="E444" s="87"/>
      <c r="F444" s="75">
        <v>0.6</v>
      </c>
      <c r="G444" s="26">
        <v>8</v>
      </c>
      <c r="H444" s="75">
        <v>4.8</v>
      </c>
      <c r="I444" s="75">
        <v>6.96</v>
      </c>
      <c r="J444" s="26">
        <v>120</v>
      </c>
      <c r="K444" s="26" t="s">
        <v>111</v>
      </c>
      <c r="L444" s="26"/>
      <c r="M444" s="35" t="s">
        <v>107</v>
      </c>
      <c r="N444" s="35"/>
      <c r="O444" s="26">
        <v>60</v>
      </c>
      <c r="P444" s="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84"/>
      <c r="R444" s="84"/>
      <c r="S444" s="84"/>
      <c r="T444" s="85"/>
      <c r="U444" s="47"/>
      <c r="V444" s="47"/>
      <c r="W444" s="48" t="s">
        <v>70</v>
      </c>
      <c r="X444" s="76">
        <v>0</v>
      </c>
      <c r="Y444" s="77">
        <f t="shared" si="63"/>
        <v>0</v>
      </c>
      <c r="Z444" s="52" t="str">
        <f>IFERROR(IF(Y444=0,"",ROUNDUP(Y444/H444,0)*0.00937),"")</f>
        <v/>
      </c>
      <c r="AA444" s="53"/>
      <c r="AB444" s="54"/>
      <c r="AC444" s="55" t="s">
        <v>676</v>
      </c>
      <c r="AG444" s="78"/>
      <c r="AJ444" s="57"/>
      <c r="AK444" s="57">
        <v>0</v>
      </c>
      <c r="BB444" s="59" t="s">
        <v>1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x14ac:dyDescent="0.2">
      <c r="A445" s="99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100"/>
      <c r="P445" s="91" t="s">
        <v>72</v>
      </c>
      <c r="Q445" s="92"/>
      <c r="R445" s="92"/>
      <c r="S445" s="92"/>
      <c r="T445" s="92"/>
      <c r="U445" s="92"/>
      <c r="V445" s="93"/>
      <c r="W445" s="49" t="s">
        <v>73</v>
      </c>
      <c r="X445" s="79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15.886363636363637</v>
      </c>
      <c r="Y445" s="79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16</v>
      </c>
      <c r="Z445" s="79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0.19136</v>
      </c>
      <c r="AA445" s="80"/>
      <c r="AB445" s="80"/>
      <c r="AC445" s="80"/>
    </row>
    <row r="446" spans="1:68" x14ac:dyDescent="0.2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100"/>
      <c r="P446" s="91" t="s">
        <v>72</v>
      </c>
      <c r="Q446" s="92"/>
      <c r="R446" s="92"/>
      <c r="S446" s="92"/>
      <c r="T446" s="92"/>
      <c r="U446" s="92"/>
      <c r="V446" s="93"/>
      <c r="W446" s="49" t="s">
        <v>70</v>
      </c>
      <c r="X446" s="79">
        <f>IFERROR(SUM(X430:X444),"0")</f>
        <v>83.88</v>
      </c>
      <c r="Y446" s="79">
        <f>IFERROR(SUM(Y430:Y444),"0")</f>
        <v>84.48</v>
      </c>
      <c r="Z446" s="49"/>
      <c r="AA446" s="80"/>
      <c r="AB446" s="80"/>
      <c r="AC446" s="80"/>
    </row>
    <row r="447" spans="1:68" ht="14.25" customHeight="1" x14ac:dyDescent="0.25">
      <c r="A447" s="89" t="s">
        <v>139</v>
      </c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66"/>
      <c r="AB447" s="66"/>
      <c r="AC447" s="66"/>
    </row>
    <row r="448" spans="1:68" ht="16.5" customHeight="1" x14ac:dyDescent="0.25">
      <c r="A448" s="24" t="s">
        <v>695</v>
      </c>
      <c r="B448" s="24" t="s">
        <v>696</v>
      </c>
      <c r="C448" s="25">
        <v>4301020334</v>
      </c>
      <c r="D448" s="86">
        <v>4607091388930</v>
      </c>
      <c r="E448" s="87"/>
      <c r="F448" s="75">
        <v>0.88</v>
      </c>
      <c r="G448" s="26">
        <v>6</v>
      </c>
      <c r="H448" s="75">
        <v>5.28</v>
      </c>
      <c r="I448" s="75">
        <v>5.64</v>
      </c>
      <c r="J448" s="26">
        <v>104</v>
      </c>
      <c r="K448" s="26" t="s">
        <v>106</v>
      </c>
      <c r="L448" s="26"/>
      <c r="M448" s="35" t="s">
        <v>78</v>
      </c>
      <c r="N448" s="35"/>
      <c r="O448" s="26">
        <v>70</v>
      </c>
      <c r="P448" s="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84"/>
      <c r="R448" s="84"/>
      <c r="S448" s="84"/>
      <c r="T448" s="85"/>
      <c r="U448" s="47"/>
      <c r="V448" s="47"/>
      <c r="W448" s="48" t="s">
        <v>70</v>
      </c>
      <c r="X448" s="76">
        <v>15.64</v>
      </c>
      <c r="Y448" s="77">
        <f>IFERROR(IF(X448="",0,CEILING((X448/$H448),1)*$H448),"")</f>
        <v>15.84</v>
      </c>
      <c r="Z448" s="52">
        <f>IFERROR(IF(Y448=0,"",ROUNDUP(Y448/H448,0)*0.01196),"")</f>
        <v>3.5880000000000002E-2</v>
      </c>
      <c r="AA448" s="53"/>
      <c r="AB448" s="54"/>
      <c r="AC448" s="55" t="s">
        <v>697</v>
      </c>
      <c r="AG448" s="78"/>
      <c r="AJ448" s="57"/>
      <c r="AK448" s="57">
        <v>0</v>
      </c>
      <c r="BB448" s="59" t="s">
        <v>1</v>
      </c>
      <c r="BM448" s="78">
        <f>IFERROR(X448*I448/H448,"0")</f>
        <v>16.706363636363633</v>
      </c>
      <c r="BN448" s="78">
        <f>IFERROR(Y448*I448/H448,"0")</f>
        <v>16.919999999999998</v>
      </c>
      <c r="BO448" s="78">
        <f>IFERROR(1/J448*(X448/H448),"0")</f>
        <v>2.8481934731934732E-2</v>
      </c>
      <c r="BP448" s="78">
        <f>IFERROR(1/J448*(Y448/H448),"0")</f>
        <v>2.8846153846153848E-2</v>
      </c>
    </row>
    <row r="449" spans="1:68" ht="16.5" customHeight="1" x14ac:dyDescent="0.25">
      <c r="A449" s="24" t="s">
        <v>698</v>
      </c>
      <c r="B449" s="24" t="s">
        <v>699</v>
      </c>
      <c r="C449" s="25">
        <v>4301020384</v>
      </c>
      <c r="D449" s="86">
        <v>4680115886407</v>
      </c>
      <c r="E449" s="87"/>
      <c r="F449" s="75">
        <v>0.4</v>
      </c>
      <c r="G449" s="26">
        <v>6</v>
      </c>
      <c r="H449" s="75">
        <v>2.4</v>
      </c>
      <c r="I449" s="75">
        <v>2.58</v>
      </c>
      <c r="J449" s="26">
        <v>182</v>
      </c>
      <c r="K449" s="26" t="s">
        <v>77</v>
      </c>
      <c r="L449" s="26"/>
      <c r="M449" s="35" t="s">
        <v>78</v>
      </c>
      <c r="N449" s="35"/>
      <c r="O449" s="26">
        <v>70</v>
      </c>
      <c r="P449" s="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84"/>
      <c r="R449" s="84"/>
      <c r="S449" s="84"/>
      <c r="T449" s="85"/>
      <c r="U449" s="47"/>
      <c r="V449" s="47"/>
      <c r="W449" s="48" t="s">
        <v>70</v>
      </c>
      <c r="X449" s="76">
        <v>0</v>
      </c>
      <c r="Y449" s="77">
        <f>IFERROR(IF(X449="",0,CEILING((X449/$H449),1)*$H449),"")</f>
        <v>0</v>
      </c>
      <c r="Z449" s="52" t="str">
        <f>IFERROR(IF(Y449=0,"",ROUNDUP(Y449/H449,0)*0.00651),"")</f>
        <v/>
      </c>
      <c r="AA449" s="53"/>
      <c r="AB449" s="54"/>
      <c r="AC449" s="55" t="s">
        <v>697</v>
      </c>
      <c r="AG449" s="78"/>
      <c r="AJ449" s="57"/>
      <c r="AK449" s="57">
        <v>0</v>
      </c>
      <c r="BB449" s="59" t="s">
        <v>1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24" t="s">
        <v>700</v>
      </c>
      <c r="B450" s="24" t="s">
        <v>701</v>
      </c>
      <c r="C450" s="25">
        <v>4301020385</v>
      </c>
      <c r="D450" s="86">
        <v>4680115880054</v>
      </c>
      <c r="E450" s="87"/>
      <c r="F450" s="75">
        <v>0.6</v>
      </c>
      <c r="G450" s="26">
        <v>8</v>
      </c>
      <c r="H450" s="75">
        <v>4.8</v>
      </c>
      <c r="I450" s="75">
        <v>6.93</v>
      </c>
      <c r="J450" s="26">
        <v>132</v>
      </c>
      <c r="K450" s="26" t="s">
        <v>111</v>
      </c>
      <c r="L450" s="26"/>
      <c r="M450" s="35" t="s">
        <v>107</v>
      </c>
      <c r="N450" s="35"/>
      <c r="O450" s="26">
        <v>70</v>
      </c>
      <c r="P450" s="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84"/>
      <c r="R450" s="84"/>
      <c r="S450" s="84"/>
      <c r="T450" s="85"/>
      <c r="U450" s="47"/>
      <c r="V450" s="47"/>
      <c r="W450" s="48" t="s">
        <v>70</v>
      </c>
      <c r="X450" s="76">
        <v>0</v>
      </c>
      <c r="Y450" s="77">
        <f>IFERROR(IF(X450="",0,CEILING((X450/$H450),1)*$H450),"")</f>
        <v>0</v>
      </c>
      <c r="Z450" s="52" t="str">
        <f>IFERROR(IF(Y450=0,"",ROUNDUP(Y450/H450,0)*0.00902),"")</f>
        <v/>
      </c>
      <c r="AA450" s="53"/>
      <c r="AB450" s="54"/>
      <c r="AC450" s="55" t="s">
        <v>697</v>
      </c>
      <c r="AG450" s="78"/>
      <c r="AJ450" s="57"/>
      <c r="AK450" s="57">
        <v>0</v>
      </c>
      <c r="BB450" s="59" t="s">
        <v>1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99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100"/>
      <c r="P451" s="91" t="s">
        <v>72</v>
      </c>
      <c r="Q451" s="92"/>
      <c r="R451" s="92"/>
      <c r="S451" s="92"/>
      <c r="T451" s="92"/>
      <c r="U451" s="92"/>
      <c r="V451" s="93"/>
      <c r="W451" s="49" t="s">
        <v>73</v>
      </c>
      <c r="X451" s="79">
        <f>IFERROR(X448/H448,"0")+IFERROR(X449/H449,"0")+IFERROR(X450/H450,"0")</f>
        <v>2.9621212121212119</v>
      </c>
      <c r="Y451" s="79">
        <f>IFERROR(Y448/H448,"0")+IFERROR(Y449/H449,"0")+IFERROR(Y450/H450,"0")</f>
        <v>3</v>
      </c>
      <c r="Z451" s="79">
        <f>IFERROR(IF(Z448="",0,Z448),"0")+IFERROR(IF(Z449="",0,Z449),"0")+IFERROR(IF(Z450="",0,Z450),"0")</f>
        <v>3.5880000000000002E-2</v>
      </c>
      <c r="AA451" s="80"/>
      <c r="AB451" s="80"/>
      <c r="AC451" s="80"/>
    </row>
    <row r="452" spans="1:68" x14ac:dyDescent="0.2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100"/>
      <c r="P452" s="91" t="s">
        <v>72</v>
      </c>
      <c r="Q452" s="92"/>
      <c r="R452" s="92"/>
      <c r="S452" s="92"/>
      <c r="T452" s="92"/>
      <c r="U452" s="92"/>
      <c r="V452" s="93"/>
      <c r="W452" s="49" t="s">
        <v>70</v>
      </c>
      <c r="X452" s="79">
        <f>IFERROR(SUM(X448:X450),"0")</f>
        <v>15.64</v>
      </c>
      <c r="Y452" s="79">
        <f>IFERROR(SUM(Y448:Y450),"0")</f>
        <v>15.84</v>
      </c>
      <c r="Z452" s="49"/>
      <c r="AA452" s="80"/>
      <c r="AB452" s="80"/>
      <c r="AC452" s="80"/>
    </row>
    <row r="453" spans="1:68" ht="14.25" customHeight="1" x14ac:dyDescent="0.25">
      <c r="A453" s="89" t="s">
        <v>64</v>
      </c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66"/>
      <c r="AB453" s="66"/>
      <c r="AC453" s="66"/>
    </row>
    <row r="454" spans="1:68" ht="27" customHeight="1" x14ac:dyDescent="0.25">
      <c r="A454" s="24" t="s">
        <v>702</v>
      </c>
      <c r="B454" s="24" t="s">
        <v>703</v>
      </c>
      <c r="C454" s="25">
        <v>4301031349</v>
      </c>
      <c r="D454" s="86">
        <v>4680115883116</v>
      </c>
      <c r="E454" s="87"/>
      <c r="F454" s="75">
        <v>0.88</v>
      </c>
      <c r="G454" s="26">
        <v>6</v>
      </c>
      <c r="H454" s="75">
        <v>5.28</v>
      </c>
      <c r="I454" s="75">
        <v>5.64</v>
      </c>
      <c r="J454" s="26">
        <v>104</v>
      </c>
      <c r="K454" s="26" t="s">
        <v>106</v>
      </c>
      <c r="L454" s="26"/>
      <c r="M454" s="35" t="s">
        <v>107</v>
      </c>
      <c r="N454" s="35"/>
      <c r="O454" s="26">
        <v>70</v>
      </c>
      <c r="P454" s="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84"/>
      <c r="R454" s="84"/>
      <c r="S454" s="84"/>
      <c r="T454" s="85"/>
      <c r="U454" s="47"/>
      <c r="V454" s="47"/>
      <c r="W454" s="48" t="s">
        <v>70</v>
      </c>
      <c r="X454" s="76">
        <v>15.64</v>
      </c>
      <c r="Y454" s="77">
        <f t="shared" ref="Y454:Y460" si="69">IFERROR(IF(X454="",0,CEILING((X454/$H454),1)*$H454),"")</f>
        <v>15.84</v>
      </c>
      <c r="Z454" s="52">
        <f>IFERROR(IF(Y454=0,"",ROUNDUP(Y454/H454,0)*0.01196),"")</f>
        <v>3.5880000000000002E-2</v>
      </c>
      <c r="AA454" s="53"/>
      <c r="AB454" s="54"/>
      <c r="AC454" s="55" t="s">
        <v>704</v>
      </c>
      <c r="AG454" s="78"/>
      <c r="AJ454" s="57"/>
      <c r="AK454" s="57">
        <v>0</v>
      </c>
      <c r="BB454" s="59" t="s">
        <v>1</v>
      </c>
      <c r="BM454" s="78">
        <f t="shared" ref="BM454:BM460" si="70">IFERROR(X454*I454/H454,"0")</f>
        <v>16.706363636363633</v>
      </c>
      <c r="BN454" s="78">
        <f t="shared" ref="BN454:BN460" si="71">IFERROR(Y454*I454/H454,"0")</f>
        <v>16.919999999999998</v>
      </c>
      <c r="BO454" s="78">
        <f t="shared" ref="BO454:BO460" si="72">IFERROR(1/J454*(X454/H454),"0")</f>
        <v>2.8481934731934732E-2</v>
      </c>
      <c r="BP454" s="78">
        <f t="shared" ref="BP454:BP460" si="73">IFERROR(1/J454*(Y454/H454),"0")</f>
        <v>2.8846153846153848E-2</v>
      </c>
    </row>
    <row r="455" spans="1:68" ht="27" customHeight="1" x14ac:dyDescent="0.25">
      <c r="A455" s="24" t="s">
        <v>705</v>
      </c>
      <c r="B455" s="24" t="s">
        <v>706</v>
      </c>
      <c r="C455" s="25">
        <v>4301031350</v>
      </c>
      <c r="D455" s="86">
        <v>4680115883093</v>
      </c>
      <c r="E455" s="87"/>
      <c r="F455" s="75">
        <v>0.88</v>
      </c>
      <c r="G455" s="26">
        <v>6</v>
      </c>
      <c r="H455" s="75">
        <v>5.28</v>
      </c>
      <c r="I455" s="75">
        <v>5.64</v>
      </c>
      <c r="J455" s="26">
        <v>104</v>
      </c>
      <c r="K455" s="26" t="s">
        <v>106</v>
      </c>
      <c r="L455" s="26"/>
      <c r="M455" s="35" t="s">
        <v>68</v>
      </c>
      <c r="N455" s="35"/>
      <c r="O455" s="26">
        <v>70</v>
      </c>
      <c r="P455" s="8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84"/>
      <c r="R455" s="84"/>
      <c r="S455" s="84"/>
      <c r="T455" s="85"/>
      <c r="U455" s="47"/>
      <c r="V455" s="47"/>
      <c r="W455" s="48" t="s">
        <v>70</v>
      </c>
      <c r="X455" s="76">
        <v>15.64</v>
      </c>
      <c r="Y455" s="77">
        <f t="shared" si="69"/>
        <v>15.84</v>
      </c>
      <c r="Z455" s="52">
        <f>IFERROR(IF(Y455=0,"",ROUNDUP(Y455/H455,0)*0.01196),"")</f>
        <v>3.5880000000000002E-2</v>
      </c>
      <c r="AA455" s="53"/>
      <c r="AB455" s="54"/>
      <c r="AC455" s="55" t="s">
        <v>707</v>
      </c>
      <c r="AG455" s="78"/>
      <c r="AJ455" s="57"/>
      <c r="AK455" s="57">
        <v>0</v>
      </c>
      <c r="BB455" s="59" t="s">
        <v>1</v>
      </c>
      <c r="BM455" s="78">
        <f t="shared" si="70"/>
        <v>16.706363636363633</v>
      </c>
      <c r="BN455" s="78">
        <f t="shared" si="71"/>
        <v>16.919999999999998</v>
      </c>
      <c r="BO455" s="78">
        <f t="shared" si="72"/>
        <v>2.8481934731934732E-2</v>
      </c>
      <c r="BP455" s="78">
        <f t="shared" si="73"/>
        <v>2.8846153846153848E-2</v>
      </c>
    </row>
    <row r="456" spans="1:68" ht="27" customHeight="1" x14ac:dyDescent="0.25">
      <c r="A456" s="24" t="s">
        <v>708</v>
      </c>
      <c r="B456" s="24" t="s">
        <v>709</v>
      </c>
      <c r="C456" s="25">
        <v>4301031353</v>
      </c>
      <c r="D456" s="86">
        <v>4680115883109</v>
      </c>
      <c r="E456" s="87"/>
      <c r="F456" s="75">
        <v>0.88</v>
      </c>
      <c r="G456" s="26">
        <v>6</v>
      </c>
      <c r="H456" s="75">
        <v>5.28</v>
      </c>
      <c r="I456" s="75">
        <v>5.64</v>
      </c>
      <c r="J456" s="26">
        <v>104</v>
      </c>
      <c r="K456" s="26" t="s">
        <v>106</v>
      </c>
      <c r="L456" s="26"/>
      <c r="M456" s="35" t="s">
        <v>68</v>
      </c>
      <c r="N456" s="35"/>
      <c r="O456" s="26">
        <v>70</v>
      </c>
      <c r="P456" s="8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84"/>
      <c r="R456" s="84"/>
      <c r="S456" s="84"/>
      <c r="T456" s="85"/>
      <c r="U456" s="47"/>
      <c r="V456" s="47"/>
      <c r="W456" s="48" t="s">
        <v>70</v>
      </c>
      <c r="X456" s="76">
        <v>15.64</v>
      </c>
      <c r="Y456" s="77">
        <f t="shared" si="69"/>
        <v>15.84</v>
      </c>
      <c r="Z456" s="52">
        <f>IFERROR(IF(Y456=0,"",ROUNDUP(Y456/H456,0)*0.01196),"")</f>
        <v>3.5880000000000002E-2</v>
      </c>
      <c r="AA456" s="53"/>
      <c r="AB456" s="54"/>
      <c r="AC456" s="55" t="s">
        <v>710</v>
      </c>
      <c r="AG456" s="78"/>
      <c r="AJ456" s="57"/>
      <c r="AK456" s="57">
        <v>0</v>
      </c>
      <c r="BB456" s="59" t="s">
        <v>1</v>
      </c>
      <c r="BM456" s="78">
        <f t="shared" si="70"/>
        <v>16.706363636363633</v>
      </c>
      <c r="BN456" s="78">
        <f t="shared" si="71"/>
        <v>16.919999999999998</v>
      </c>
      <c r="BO456" s="78">
        <f t="shared" si="72"/>
        <v>2.8481934731934732E-2</v>
      </c>
      <c r="BP456" s="78">
        <f t="shared" si="73"/>
        <v>2.8846153846153848E-2</v>
      </c>
    </row>
    <row r="457" spans="1:68" ht="27" customHeight="1" x14ac:dyDescent="0.25">
      <c r="A457" s="24" t="s">
        <v>711</v>
      </c>
      <c r="B457" s="24" t="s">
        <v>712</v>
      </c>
      <c r="C457" s="25">
        <v>4301031351</v>
      </c>
      <c r="D457" s="86">
        <v>4680115882072</v>
      </c>
      <c r="E457" s="87"/>
      <c r="F457" s="75">
        <v>0.6</v>
      </c>
      <c r="G457" s="26">
        <v>6</v>
      </c>
      <c r="H457" s="75">
        <v>3.6</v>
      </c>
      <c r="I457" s="75">
        <v>3.81</v>
      </c>
      <c r="J457" s="26">
        <v>132</v>
      </c>
      <c r="K457" s="26" t="s">
        <v>111</v>
      </c>
      <c r="L457" s="26"/>
      <c r="M457" s="35" t="s">
        <v>107</v>
      </c>
      <c r="N457" s="35"/>
      <c r="O457" s="26">
        <v>70</v>
      </c>
      <c r="P457" s="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84"/>
      <c r="R457" s="84"/>
      <c r="S457" s="84"/>
      <c r="T457" s="85"/>
      <c r="U457" s="47"/>
      <c r="V457" s="47"/>
      <c r="W457" s="48" t="s">
        <v>70</v>
      </c>
      <c r="X457" s="76">
        <v>0</v>
      </c>
      <c r="Y457" s="77">
        <f t="shared" si="69"/>
        <v>0</v>
      </c>
      <c r="Z457" s="52" t="str">
        <f>IFERROR(IF(Y457=0,"",ROUNDUP(Y457/H457,0)*0.00902),"")</f>
        <v/>
      </c>
      <c r="AA457" s="53"/>
      <c r="AB457" s="54"/>
      <c r="AC457" s="55" t="s">
        <v>704</v>
      </c>
      <c r="AG457" s="78"/>
      <c r="AJ457" s="57"/>
      <c r="AK457" s="57">
        <v>0</v>
      </c>
      <c r="BB457" s="59" t="s">
        <v>1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customHeight="1" x14ac:dyDescent="0.25">
      <c r="A458" s="24" t="s">
        <v>711</v>
      </c>
      <c r="B458" s="24" t="s">
        <v>713</v>
      </c>
      <c r="C458" s="25">
        <v>4301031419</v>
      </c>
      <c r="D458" s="86">
        <v>4680115882072</v>
      </c>
      <c r="E458" s="87"/>
      <c r="F458" s="75">
        <v>0.6</v>
      </c>
      <c r="G458" s="26">
        <v>8</v>
      </c>
      <c r="H458" s="75">
        <v>4.8</v>
      </c>
      <c r="I458" s="75">
        <v>6.93</v>
      </c>
      <c r="J458" s="26">
        <v>132</v>
      </c>
      <c r="K458" s="26" t="s">
        <v>111</v>
      </c>
      <c r="L458" s="26"/>
      <c r="M458" s="35" t="s">
        <v>107</v>
      </c>
      <c r="N458" s="35"/>
      <c r="O458" s="26">
        <v>70</v>
      </c>
      <c r="P458" s="8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84"/>
      <c r="R458" s="84"/>
      <c r="S458" s="84"/>
      <c r="T458" s="85"/>
      <c r="U458" s="47"/>
      <c r="V458" s="47"/>
      <c r="W458" s="48" t="s">
        <v>70</v>
      </c>
      <c r="X458" s="76">
        <v>0</v>
      </c>
      <c r="Y458" s="77">
        <f t="shared" si="69"/>
        <v>0</v>
      </c>
      <c r="Z458" s="52" t="str">
        <f>IFERROR(IF(Y458=0,"",ROUNDUP(Y458/H458,0)*0.00902),"")</f>
        <v/>
      </c>
      <c r="AA458" s="53"/>
      <c r="AB458" s="54"/>
      <c r="AC458" s="55" t="s">
        <v>704</v>
      </c>
      <c r="AG458" s="78"/>
      <c r="AJ458" s="57"/>
      <c r="AK458" s="57">
        <v>0</v>
      </c>
      <c r="BB458" s="59" t="s">
        <v>1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24" t="s">
        <v>714</v>
      </c>
      <c r="B459" s="24" t="s">
        <v>715</v>
      </c>
      <c r="C459" s="25">
        <v>4301031418</v>
      </c>
      <c r="D459" s="86">
        <v>4680115882102</v>
      </c>
      <c r="E459" s="87"/>
      <c r="F459" s="75">
        <v>0.6</v>
      </c>
      <c r="G459" s="26">
        <v>8</v>
      </c>
      <c r="H459" s="75">
        <v>4.8</v>
      </c>
      <c r="I459" s="75">
        <v>6.69</v>
      </c>
      <c r="J459" s="26">
        <v>132</v>
      </c>
      <c r="K459" s="26" t="s">
        <v>111</v>
      </c>
      <c r="L459" s="26"/>
      <c r="M459" s="35" t="s">
        <v>68</v>
      </c>
      <c r="N459" s="35"/>
      <c r="O459" s="26">
        <v>70</v>
      </c>
      <c r="P459" s="8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84"/>
      <c r="R459" s="84"/>
      <c r="S459" s="84"/>
      <c r="T459" s="85"/>
      <c r="U459" s="47"/>
      <c r="V459" s="47"/>
      <c r="W459" s="48" t="s">
        <v>70</v>
      </c>
      <c r="X459" s="76">
        <v>0</v>
      </c>
      <c r="Y459" s="77">
        <f t="shared" si="69"/>
        <v>0</v>
      </c>
      <c r="Z459" s="52" t="str">
        <f>IFERROR(IF(Y459=0,"",ROUNDUP(Y459/H459,0)*0.00902),"")</f>
        <v/>
      </c>
      <c r="AA459" s="53"/>
      <c r="AB459" s="54"/>
      <c r="AC459" s="55" t="s">
        <v>707</v>
      </c>
      <c r="AG459" s="78"/>
      <c r="AJ459" s="57"/>
      <c r="AK459" s="57">
        <v>0</v>
      </c>
      <c r="BB459" s="59" t="s">
        <v>1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customHeight="1" x14ac:dyDescent="0.25">
      <c r="A460" s="24" t="s">
        <v>716</v>
      </c>
      <c r="B460" s="24" t="s">
        <v>717</v>
      </c>
      <c r="C460" s="25">
        <v>4301031417</v>
      </c>
      <c r="D460" s="86">
        <v>4680115882096</v>
      </c>
      <c r="E460" s="87"/>
      <c r="F460" s="75">
        <v>0.6</v>
      </c>
      <c r="G460" s="26">
        <v>8</v>
      </c>
      <c r="H460" s="75">
        <v>4.8</v>
      </c>
      <c r="I460" s="75">
        <v>6.69</v>
      </c>
      <c r="J460" s="26">
        <v>132</v>
      </c>
      <c r="K460" s="26" t="s">
        <v>111</v>
      </c>
      <c r="L460" s="26"/>
      <c r="M460" s="35" t="s">
        <v>68</v>
      </c>
      <c r="N460" s="35"/>
      <c r="O460" s="26">
        <v>70</v>
      </c>
      <c r="P460" s="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84"/>
      <c r="R460" s="84"/>
      <c r="S460" s="84"/>
      <c r="T460" s="85"/>
      <c r="U460" s="47"/>
      <c r="V460" s="47"/>
      <c r="W460" s="48" t="s">
        <v>70</v>
      </c>
      <c r="X460" s="76">
        <v>0</v>
      </c>
      <c r="Y460" s="77">
        <f t="shared" si="69"/>
        <v>0</v>
      </c>
      <c r="Z460" s="52" t="str">
        <f>IFERROR(IF(Y460=0,"",ROUNDUP(Y460/H460,0)*0.00902),"")</f>
        <v/>
      </c>
      <c r="AA460" s="53"/>
      <c r="AB460" s="54"/>
      <c r="AC460" s="55" t="s">
        <v>710</v>
      </c>
      <c r="AG460" s="78"/>
      <c r="AJ460" s="57"/>
      <c r="AK460" s="57">
        <v>0</v>
      </c>
      <c r="BB460" s="59" t="s">
        <v>1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x14ac:dyDescent="0.2">
      <c r="A461" s="99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100"/>
      <c r="P461" s="91" t="s">
        <v>72</v>
      </c>
      <c r="Q461" s="92"/>
      <c r="R461" s="92"/>
      <c r="S461" s="92"/>
      <c r="T461" s="92"/>
      <c r="U461" s="92"/>
      <c r="V461" s="93"/>
      <c r="W461" s="49" t="s">
        <v>73</v>
      </c>
      <c r="X461" s="79">
        <f>IFERROR(X454/H454,"0")+IFERROR(X455/H455,"0")+IFERROR(X456/H456,"0")+IFERROR(X457/H457,"0")+IFERROR(X458/H458,"0")+IFERROR(X459/H459,"0")+IFERROR(X460/H460,"0")</f>
        <v>8.8863636363636367</v>
      </c>
      <c r="Y461" s="79">
        <f>IFERROR(Y454/H454,"0")+IFERROR(Y455/H455,"0")+IFERROR(Y456/H456,"0")+IFERROR(Y457/H457,"0")+IFERROR(Y458/H458,"0")+IFERROR(Y459/H459,"0")+IFERROR(Y460/H460,"0")</f>
        <v>9</v>
      </c>
      <c r="Z461" s="79">
        <f>IFERROR(IF(Z454="",0,Z454),"0")+IFERROR(IF(Z455="",0,Z455),"0")+IFERROR(IF(Z456="",0,Z456),"0")+IFERROR(IF(Z457="",0,Z457),"0")+IFERROR(IF(Z458="",0,Z458),"0")+IFERROR(IF(Z459="",0,Z459),"0")+IFERROR(IF(Z460="",0,Z460),"0")</f>
        <v>0.10764000000000001</v>
      </c>
      <c r="AA461" s="80"/>
      <c r="AB461" s="80"/>
      <c r="AC461" s="80"/>
    </row>
    <row r="462" spans="1:68" x14ac:dyDescent="0.2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100"/>
      <c r="P462" s="91" t="s">
        <v>72</v>
      </c>
      <c r="Q462" s="92"/>
      <c r="R462" s="92"/>
      <c r="S462" s="92"/>
      <c r="T462" s="92"/>
      <c r="U462" s="92"/>
      <c r="V462" s="93"/>
      <c r="W462" s="49" t="s">
        <v>70</v>
      </c>
      <c r="X462" s="79">
        <f>IFERROR(SUM(X454:X460),"0")</f>
        <v>46.92</v>
      </c>
      <c r="Y462" s="79">
        <f>IFERROR(SUM(Y454:Y460),"0")</f>
        <v>47.519999999999996</v>
      </c>
      <c r="Z462" s="49"/>
      <c r="AA462" s="80"/>
      <c r="AB462" s="80"/>
      <c r="AC462" s="80"/>
    </row>
    <row r="463" spans="1:68" ht="14.25" customHeight="1" x14ac:dyDescent="0.25">
      <c r="A463" s="89" t="s">
        <v>74</v>
      </c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66"/>
      <c r="AB463" s="66"/>
      <c r="AC463" s="66"/>
    </row>
    <row r="464" spans="1:68" ht="16.5" customHeight="1" x14ac:dyDescent="0.25">
      <c r="A464" s="24" t="s">
        <v>718</v>
      </c>
      <c r="B464" s="24" t="s">
        <v>719</v>
      </c>
      <c r="C464" s="25">
        <v>4301051232</v>
      </c>
      <c r="D464" s="86">
        <v>4607091383409</v>
      </c>
      <c r="E464" s="87"/>
      <c r="F464" s="75">
        <v>1.3</v>
      </c>
      <c r="G464" s="26">
        <v>6</v>
      </c>
      <c r="H464" s="75">
        <v>7.8</v>
      </c>
      <c r="I464" s="75">
        <v>8.3010000000000002</v>
      </c>
      <c r="J464" s="26">
        <v>64</v>
      </c>
      <c r="K464" s="26" t="s">
        <v>106</v>
      </c>
      <c r="L464" s="26"/>
      <c r="M464" s="35" t="s">
        <v>78</v>
      </c>
      <c r="N464" s="35"/>
      <c r="O464" s="26">
        <v>45</v>
      </c>
      <c r="P464" s="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84"/>
      <c r="R464" s="84"/>
      <c r="S464" s="84"/>
      <c r="T464" s="85"/>
      <c r="U464" s="47"/>
      <c r="V464" s="47"/>
      <c r="W464" s="48" t="s">
        <v>70</v>
      </c>
      <c r="X464" s="76">
        <v>15.6</v>
      </c>
      <c r="Y464" s="77">
        <f>IFERROR(IF(X464="",0,CEILING((X464/$H464),1)*$H464),"")</f>
        <v>15.6</v>
      </c>
      <c r="Z464" s="52">
        <f>IFERROR(IF(Y464=0,"",ROUNDUP(Y464/H464,0)*0.01898),"")</f>
        <v>3.7960000000000001E-2</v>
      </c>
      <c r="AA464" s="53"/>
      <c r="AB464" s="54"/>
      <c r="AC464" s="55" t="s">
        <v>720</v>
      </c>
      <c r="AG464" s="78"/>
      <c r="AJ464" s="57"/>
      <c r="AK464" s="57">
        <v>0</v>
      </c>
      <c r="BB464" s="59" t="s">
        <v>1</v>
      </c>
      <c r="BM464" s="78">
        <f>IFERROR(X464*I464/H464,"0")</f>
        <v>16.602</v>
      </c>
      <c r="BN464" s="78">
        <f>IFERROR(Y464*I464/H464,"0")</f>
        <v>16.602</v>
      </c>
      <c r="BO464" s="78">
        <f>IFERROR(1/J464*(X464/H464),"0")</f>
        <v>3.125E-2</v>
      </c>
      <c r="BP464" s="78">
        <f>IFERROR(1/J464*(Y464/H464),"0")</f>
        <v>3.125E-2</v>
      </c>
    </row>
    <row r="465" spans="1:68" ht="16.5" customHeight="1" x14ac:dyDescent="0.25">
      <c r="A465" s="24" t="s">
        <v>721</v>
      </c>
      <c r="B465" s="24" t="s">
        <v>722</v>
      </c>
      <c r="C465" s="25">
        <v>4301051233</v>
      </c>
      <c r="D465" s="86">
        <v>4607091383416</v>
      </c>
      <c r="E465" s="87"/>
      <c r="F465" s="75">
        <v>1.3</v>
      </c>
      <c r="G465" s="26">
        <v>6</v>
      </c>
      <c r="H465" s="75">
        <v>7.8</v>
      </c>
      <c r="I465" s="75">
        <v>8.3010000000000002</v>
      </c>
      <c r="J465" s="26">
        <v>64</v>
      </c>
      <c r="K465" s="26" t="s">
        <v>106</v>
      </c>
      <c r="L465" s="26"/>
      <c r="M465" s="35" t="s">
        <v>78</v>
      </c>
      <c r="N465" s="35"/>
      <c r="O465" s="26">
        <v>45</v>
      </c>
      <c r="P465" s="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84"/>
      <c r="R465" s="84"/>
      <c r="S465" s="84"/>
      <c r="T465" s="85"/>
      <c r="U465" s="47"/>
      <c r="V465" s="47"/>
      <c r="W465" s="48" t="s">
        <v>70</v>
      </c>
      <c r="X465" s="76">
        <v>15.6</v>
      </c>
      <c r="Y465" s="77">
        <f>IFERROR(IF(X465="",0,CEILING((X465/$H465),1)*$H465),"")</f>
        <v>15.6</v>
      </c>
      <c r="Z465" s="52">
        <f>IFERROR(IF(Y465=0,"",ROUNDUP(Y465/H465,0)*0.01898),"")</f>
        <v>3.7960000000000001E-2</v>
      </c>
      <c r="AA465" s="53"/>
      <c r="AB465" s="54"/>
      <c r="AC465" s="55" t="s">
        <v>723</v>
      </c>
      <c r="AG465" s="78"/>
      <c r="AJ465" s="57"/>
      <c r="AK465" s="57">
        <v>0</v>
      </c>
      <c r="BB465" s="59" t="s">
        <v>1</v>
      </c>
      <c r="BM465" s="78">
        <f>IFERROR(X465*I465/H465,"0")</f>
        <v>16.602</v>
      </c>
      <c r="BN465" s="78">
        <f>IFERROR(Y465*I465/H465,"0")</f>
        <v>16.602</v>
      </c>
      <c r="BO465" s="78">
        <f>IFERROR(1/J465*(X465/H465),"0")</f>
        <v>3.125E-2</v>
      </c>
      <c r="BP465" s="78">
        <f>IFERROR(1/J465*(Y465/H465),"0")</f>
        <v>3.125E-2</v>
      </c>
    </row>
    <row r="466" spans="1:68" ht="27" customHeight="1" x14ac:dyDescent="0.25">
      <c r="A466" s="24" t="s">
        <v>724</v>
      </c>
      <c r="B466" s="24" t="s">
        <v>725</v>
      </c>
      <c r="C466" s="25">
        <v>4301051064</v>
      </c>
      <c r="D466" s="86">
        <v>4680115883536</v>
      </c>
      <c r="E466" s="87"/>
      <c r="F466" s="75">
        <v>0.3</v>
      </c>
      <c r="G466" s="26">
        <v>6</v>
      </c>
      <c r="H466" s="75">
        <v>1.8</v>
      </c>
      <c r="I466" s="75">
        <v>2.0459999999999998</v>
      </c>
      <c r="J466" s="26">
        <v>182</v>
      </c>
      <c r="K466" s="26" t="s">
        <v>77</v>
      </c>
      <c r="L466" s="26"/>
      <c r="M466" s="35" t="s">
        <v>78</v>
      </c>
      <c r="N466" s="35"/>
      <c r="O466" s="26">
        <v>45</v>
      </c>
      <c r="P466" s="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84"/>
      <c r="R466" s="84"/>
      <c r="S466" s="84"/>
      <c r="T466" s="85"/>
      <c r="U466" s="47"/>
      <c r="V466" s="47"/>
      <c r="W466" s="48" t="s">
        <v>70</v>
      </c>
      <c r="X466" s="76">
        <v>0</v>
      </c>
      <c r="Y466" s="77">
        <f>IFERROR(IF(X466="",0,CEILING((X466/$H466),1)*$H466),"")</f>
        <v>0</v>
      </c>
      <c r="Z466" s="52" t="str">
        <f>IFERROR(IF(Y466=0,"",ROUNDUP(Y466/H466,0)*0.00651),"")</f>
        <v/>
      </c>
      <c r="AA466" s="53"/>
      <c r="AB466" s="54"/>
      <c r="AC466" s="55" t="s">
        <v>726</v>
      </c>
      <c r="AG466" s="78"/>
      <c r="AJ466" s="57"/>
      <c r="AK466" s="57">
        <v>0</v>
      </c>
      <c r="BB466" s="59" t="s">
        <v>1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99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100"/>
      <c r="P467" s="91" t="s">
        <v>72</v>
      </c>
      <c r="Q467" s="92"/>
      <c r="R467" s="92"/>
      <c r="S467" s="92"/>
      <c r="T467" s="92"/>
      <c r="U467" s="92"/>
      <c r="V467" s="93"/>
      <c r="W467" s="49" t="s">
        <v>73</v>
      </c>
      <c r="X467" s="79">
        <f>IFERROR(X464/H464,"0")+IFERROR(X465/H465,"0")+IFERROR(X466/H466,"0")</f>
        <v>4</v>
      </c>
      <c r="Y467" s="79">
        <f>IFERROR(Y464/H464,"0")+IFERROR(Y465/H465,"0")+IFERROR(Y466/H466,"0")</f>
        <v>4</v>
      </c>
      <c r="Z467" s="79">
        <f>IFERROR(IF(Z464="",0,Z464),"0")+IFERROR(IF(Z465="",0,Z465),"0")+IFERROR(IF(Z466="",0,Z466),"0")</f>
        <v>7.5920000000000001E-2</v>
      </c>
      <c r="AA467" s="80"/>
      <c r="AB467" s="80"/>
      <c r="AC467" s="80"/>
    </row>
    <row r="468" spans="1:68" x14ac:dyDescent="0.2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100"/>
      <c r="P468" s="91" t="s">
        <v>72</v>
      </c>
      <c r="Q468" s="92"/>
      <c r="R468" s="92"/>
      <c r="S468" s="92"/>
      <c r="T468" s="92"/>
      <c r="U468" s="92"/>
      <c r="V468" s="93"/>
      <c r="W468" s="49" t="s">
        <v>70</v>
      </c>
      <c r="X468" s="79">
        <f>IFERROR(SUM(X464:X466),"0")</f>
        <v>31.2</v>
      </c>
      <c r="Y468" s="79">
        <f>IFERROR(SUM(Y464:Y466),"0")</f>
        <v>31.2</v>
      </c>
      <c r="Z468" s="49"/>
      <c r="AA468" s="80"/>
      <c r="AB468" s="80"/>
      <c r="AC468" s="80"/>
    </row>
    <row r="469" spans="1:68" ht="27.75" customHeight="1" x14ac:dyDescent="0.2">
      <c r="A469" s="115" t="s">
        <v>727</v>
      </c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  <c r="AA469" s="51"/>
      <c r="AB469" s="51"/>
      <c r="AC469" s="51"/>
    </row>
    <row r="470" spans="1:68" ht="16.5" customHeight="1" x14ac:dyDescent="0.25">
      <c r="A470" s="94" t="s">
        <v>727</v>
      </c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65"/>
      <c r="AB470" s="65"/>
      <c r="AC470" s="65"/>
    </row>
    <row r="471" spans="1:68" ht="14.25" customHeight="1" x14ac:dyDescent="0.25">
      <c r="A471" s="89" t="s">
        <v>103</v>
      </c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66"/>
      <c r="AB471" s="66"/>
      <c r="AC471" s="66"/>
    </row>
    <row r="472" spans="1:68" ht="27" customHeight="1" x14ac:dyDescent="0.25">
      <c r="A472" s="24" t="s">
        <v>728</v>
      </c>
      <c r="B472" s="24" t="s">
        <v>729</v>
      </c>
      <c r="C472" s="25">
        <v>4301011763</v>
      </c>
      <c r="D472" s="86">
        <v>4640242181011</v>
      </c>
      <c r="E472" s="87"/>
      <c r="F472" s="75">
        <v>1.35</v>
      </c>
      <c r="G472" s="26">
        <v>8</v>
      </c>
      <c r="H472" s="75">
        <v>10.8</v>
      </c>
      <c r="I472" s="75">
        <v>11.234999999999999</v>
      </c>
      <c r="J472" s="26">
        <v>64</v>
      </c>
      <c r="K472" s="26" t="s">
        <v>106</v>
      </c>
      <c r="L472" s="26"/>
      <c r="M472" s="35" t="s">
        <v>78</v>
      </c>
      <c r="N472" s="35"/>
      <c r="O472" s="26">
        <v>55</v>
      </c>
      <c r="P472" s="123" t="s">
        <v>730</v>
      </c>
      <c r="Q472" s="84"/>
      <c r="R472" s="84"/>
      <c r="S472" s="84"/>
      <c r="T472" s="85"/>
      <c r="U472" s="47"/>
      <c r="V472" s="47"/>
      <c r="W472" s="48" t="s">
        <v>70</v>
      </c>
      <c r="X472" s="76">
        <v>0</v>
      </c>
      <c r="Y472" s="77">
        <f>IFERROR(IF(X472="",0,CEILING((X472/$H472),1)*$H472),"")</f>
        <v>0</v>
      </c>
      <c r="Z472" s="52" t="str">
        <f>IFERROR(IF(Y472=0,"",ROUNDUP(Y472/H472,0)*0.01898),"")</f>
        <v/>
      </c>
      <c r="AA472" s="53"/>
      <c r="AB472" s="54"/>
      <c r="AC472" s="55" t="s">
        <v>731</v>
      </c>
      <c r="AG472" s="78"/>
      <c r="AJ472" s="57"/>
      <c r="AK472" s="57">
        <v>0</v>
      </c>
      <c r="BB472" s="59" t="s">
        <v>1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24" t="s">
        <v>732</v>
      </c>
      <c r="B473" s="24" t="s">
        <v>733</v>
      </c>
      <c r="C473" s="25">
        <v>4301011585</v>
      </c>
      <c r="D473" s="86">
        <v>4640242180441</v>
      </c>
      <c r="E473" s="87"/>
      <c r="F473" s="75">
        <v>1.5</v>
      </c>
      <c r="G473" s="26">
        <v>8</v>
      </c>
      <c r="H473" s="75">
        <v>12</v>
      </c>
      <c r="I473" s="75">
        <v>12.435</v>
      </c>
      <c r="J473" s="26">
        <v>64</v>
      </c>
      <c r="K473" s="26" t="s">
        <v>106</v>
      </c>
      <c r="L473" s="26"/>
      <c r="M473" s="35" t="s">
        <v>107</v>
      </c>
      <c r="N473" s="35"/>
      <c r="O473" s="26">
        <v>50</v>
      </c>
      <c r="P473" s="123" t="s">
        <v>734</v>
      </c>
      <c r="Q473" s="84"/>
      <c r="R473" s="84"/>
      <c r="S473" s="84"/>
      <c r="T473" s="85"/>
      <c r="U473" s="47"/>
      <c r="V473" s="47"/>
      <c r="W473" s="48" t="s">
        <v>70</v>
      </c>
      <c r="X473" s="76">
        <v>0</v>
      </c>
      <c r="Y473" s="77">
        <f>IFERROR(IF(X473="",0,CEILING((X473/$H473),1)*$H473),"")</f>
        <v>0</v>
      </c>
      <c r="Z473" s="52" t="str">
        <f>IFERROR(IF(Y473=0,"",ROUNDUP(Y473/H473,0)*0.01898),"")</f>
        <v/>
      </c>
      <c r="AA473" s="53"/>
      <c r="AB473" s="54"/>
      <c r="AC473" s="55" t="s">
        <v>735</v>
      </c>
      <c r="AG473" s="78"/>
      <c r="AJ473" s="57"/>
      <c r="AK473" s="57">
        <v>0</v>
      </c>
      <c r="BB473" s="59" t="s">
        <v>1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24" t="s">
        <v>736</v>
      </c>
      <c r="B474" s="24" t="s">
        <v>737</v>
      </c>
      <c r="C474" s="25">
        <v>4301011584</v>
      </c>
      <c r="D474" s="86">
        <v>4640242180564</v>
      </c>
      <c r="E474" s="87"/>
      <c r="F474" s="75">
        <v>1.5</v>
      </c>
      <c r="G474" s="26">
        <v>8</v>
      </c>
      <c r="H474" s="75">
        <v>12</v>
      </c>
      <c r="I474" s="75">
        <v>12.435</v>
      </c>
      <c r="J474" s="26">
        <v>64</v>
      </c>
      <c r="K474" s="26" t="s">
        <v>106</v>
      </c>
      <c r="L474" s="26"/>
      <c r="M474" s="35" t="s">
        <v>107</v>
      </c>
      <c r="N474" s="35"/>
      <c r="O474" s="26">
        <v>50</v>
      </c>
      <c r="P474" s="123" t="s">
        <v>738</v>
      </c>
      <c r="Q474" s="84"/>
      <c r="R474" s="84"/>
      <c r="S474" s="84"/>
      <c r="T474" s="85"/>
      <c r="U474" s="47"/>
      <c r="V474" s="47"/>
      <c r="W474" s="48" t="s">
        <v>70</v>
      </c>
      <c r="X474" s="76">
        <v>0</v>
      </c>
      <c r="Y474" s="77">
        <f>IFERROR(IF(X474="",0,CEILING((X474/$H474),1)*$H474),"")</f>
        <v>0</v>
      </c>
      <c r="Z474" s="52" t="str">
        <f>IFERROR(IF(Y474=0,"",ROUNDUP(Y474/H474,0)*0.01898),"")</f>
        <v/>
      </c>
      <c r="AA474" s="53"/>
      <c r="AB474" s="54"/>
      <c r="AC474" s="55" t="s">
        <v>739</v>
      </c>
      <c r="AG474" s="78"/>
      <c r="AJ474" s="57"/>
      <c r="AK474" s="57">
        <v>0</v>
      </c>
      <c r="BB474" s="59" t="s">
        <v>1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24" t="s">
        <v>740</v>
      </c>
      <c r="B475" s="24" t="s">
        <v>741</v>
      </c>
      <c r="C475" s="25">
        <v>4301011764</v>
      </c>
      <c r="D475" s="86">
        <v>4640242181189</v>
      </c>
      <c r="E475" s="87"/>
      <c r="F475" s="75">
        <v>0.4</v>
      </c>
      <c r="G475" s="26">
        <v>10</v>
      </c>
      <c r="H475" s="75">
        <v>4</v>
      </c>
      <c r="I475" s="75">
        <v>4.21</v>
      </c>
      <c r="J475" s="26">
        <v>132</v>
      </c>
      <c r="K475" s="26" t="s">
        <v>111</v>
      </c>
      <c r="L475" s="26"/>
      <c r="M475" s="35" t="s">
        <v>78</v>
      </c>
      <c r="N475" s="35"/>
      <c r="O475" s="26">
        <v>55</v>
      </c>
      <c r="P475" s="123" t="s">
        <v>742</v>
      </c>
      <c r="Q475" s="84"/>
      <c r="R475" s="84"/>
      <c r="S475" s="84"/>
      <c r="T475" s="85"/>
      <c r="U475" s="47"/>
      <c r="V475" s="47"/>
      <c r="W475" s="48" t="s">
        <v>70</v>
      </c>
      <c r="X475" s="76">
        <v>0</v>
      </c>
      <c r="Y475" s="77">
        <f>IFERROR(IF(X475="",0,CEILING((X475/$H475),1)*$H475),"")</f>
        <v>0</v>
      </c>
      <c r="Z475" s="52" t="str">
        <f>IFERROR(IF(Y475=0,"",ROUNDUP(Y475/H475,0)*0.00902),"")</f>
        <v/>
      </c>
      <c r="AA475" s="53"/>
      <c r="AB475" s="54"/>
      <c r="AC475" s="55" t="s">
        <v>731</v>
      </c>
      <c r="AG475" s="78"/>
      <c r="AJ475" s="57"/>
      <c r="AK475" s="57">
        <v>0</v>
      </c>
      <c r="BB475" s="59" t="s">
        <v>1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99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100"/>
      <c r="P476" s="91" t="s">
        <v>72</v>
      </c>
      <c r="Q476" s="92"/>
      <c r="R476" s="92"/>
      <c r="S476" s="92"/>
      <c r="T476" s="92"/>
      <c r="U476" s="92"/>
      <c r="V476" s="93"/>
      <c r="W476" s="49" t="s">
        <v>73</v>
      </c>
      <c r="X476" s="79">
        <f>IFERROR(X472/H472,"0")+IFERROR(X473/H473,"0")+IFERROR(X474/H474,"0")+IFERROR(X475/H475,"0")</f>
        <v>0</v>
      </c>
      <c r="Y476" s="79">
        <f>IFERROR(Y472/H472,"0")+IFERROR(Y473/H473,"0")+IFERROR(Y474/H474,"0")+IFERROR(Y475/H475,"0")</f>
        <v>0</v>
      </c>
      <c r="Z476" s="79">
        <f>IFERROR(IF(Z472="",0,Z472),"0")+IFERROR(IF(Z473="",0,Z473),"0")+IFERROR(IF(Z474="",0,Z474),"0")+IFERROR(IF(Z475="",0,Z475),"0")</f>
        <v>0</v>
      </c>
      <c r="AA476" s="80"/>
      <c r="AB476" s="80"/>
      <c r="AC476" s="80"/>
    </row>
    <row r="477" spans="1:68" x14ac:dyDescent="0.2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100"/>
      <c r="P477" s="91" t="s">
        <v>72</v>
      </c>
      <c r="Q477" s="92"/>
      <c r="R477" s="92"/>
      <c r="S477" s="92"/>
      <c r="T477" s="92"/>
      <c r="U477" s="92"/>
      <c r="V477" s="93"/>
      <c r="W477" s="49" t="s">
        <v>70</v>
      </c>
      <c r="X477" s="79">
        <f>IFERROR(SUM(X472:X475),"0")</f>
        <v>0</v>
      </c>
      <c r="Y477" s="79">
        <f>IFERROR(SUM(Y472:Y475),"0")</f>
        <v>0</v>
      </c>
      <c r="Z477" s="49"/>
      <c r="AA477" s="80"/>
      <c r="AB477" s="80"/>
      <c r="AC477" s="80"/>
    </row>
    <row r="478" spans="1:68" ht="14.25" customHeight="1" x14ac:dyDescent="0.25">
      <c r="A478" s="89" t="s">
        <v>139</v>
      </c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66"/>
      <c r="AB478" s="66"/>
      <c r="AC478" s="66"/>
    </row>
    <row r="479" spans="1:68" ht="27" customHeight="1" x14ac:dyDescent="0.25">
      <c r="A479" s="24" t="s">
        <v>743</v>
      </c>
      <c r="B479" s="24" t="s">
        <v>744</v>
      </c>
      <c r="C479" s="25">
        <v>4301020269</v>
      </c>
      <c r="D479" s="86">
        <v>4640242180519</v>
      </c>
      <c r="E479" s="87"/>
      <c r="F479" s="75">
        <v>1.35</v>
      </c>
      <c r="G479" s="26">
        <v>8</v>
      </c>
      <c r="H479" s="75">
        <v>10.8</v>
      </c>
      <c r="I479" s="75">
        <v>11.234999999999999</v>
      </c>
      <c r="J479" s="26">
        <v>64</v>
      </c>
      <c r="K479" s="26" t="s">
        <v>106</v>
      </c>
      <c r="L479" s="26"/>
      <c r="M479" s="35" t="s">
        <v>78</v>
      </c>
      <c r="N479" s="35"/>
      <c r="O479" s="26">
        <v>50</v>
      </c>
      <c r="P479" s="123" t="s">
        <v>745</v>
      </c>
      <c r="Q479" s="84"/>
      <c r="R479" s="84"/>
      <c r="S479" s="84"/>
      <c r="T479" s="85"/>
      <c r="U479" s="47"/>
      <c r="V479" s="47"/>
      <c r="W479" s="48" t="s">
        <v>70</v>
      </c>
      <c r="X479" s="76">
        <v>0</v>
      </c>
      <c r="Y479" s="77">
        <f>IFERROR(IF(X479="",0,CEILING((X479/$H479),1)*$H479),"")</f>
        <v>0</v>
      </c>
      <c r="Z479" s="52" t="str">
        <f>IFERROR(IF(Y479=0,"",ROUNDUP(Y479/H479,0)*0.01898),"")</f>
        <v/>
      </c>
      <c r="AA479" s="53"/>
      <c r="AB479" s="54"/>
      <c r="AC479" s="55" t="s">
        <v>746</v>
      </c>
      <c r="AG479" s="78"/>
      <c r="AJ479" s="57"/>
      <c r="AK479" s="57">
        <v>0</v>
      </c>
      <c r="BB479" s="59" t="s">
        <v>1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24" t="s">
        <v>743</v>
      </c>
      <c r="B480" s="24" t="s">
        <v>747</v>
      </c>
      <c r="C480" s="25">
        <v>4301020400</v>
      </c>
      <c r="D480" s="86">
        <v>4640242180519</v>
      </c>
      <c r="E480" s="87"/>
      <c r="F480" s="75">
        <v>1.5</v>
      </c>
      <c r="G480" s="26">
        <v>8</v>
      </c>
      <c r="H480" s="75">
        <v>12</v>
      </c>
      <c r="I480" s="75">
        <v>12.435</v>
      </c>
      <c r="J480" s="26">
        <v>64</v>
      </c>
      <c r="K480" s="26" t="s">
        <v>106</v>
      </c>
      <c r="L480" s="26"/>
      <c r="M480" s="35" t="s">
        <v>107</v>
      </c>
      <c r="N480" s="35"/>
      <c r="O480" s="26">
        <v>50</v>
      </c>
      <c r="P480" s="123" t="s">
        <v>748</v>
      </c>
      <c r="Q480" s="84"/>
      <c r="R480" s="84"/>
      <c r="S480" s="84"/>
      <c r="T480" s="85"/>
      <c r="U480" s="47"/>
      <c r="V480" s="47"/>
      <c r="W480" s="48" t="s">
        <v>70</v>
      </c>
      <c r="X480" s="76">
        <v>0</v>
      </c>
      <c r="Y480" s="77">
        <f>IFERROR(IF(X480="",0,CEILING((X480/$H480),1)*$H480),"")</f>
        <v>0</v>
      </c>
      <c r="Z480" s="52" t="str">
        <f>IFERROR(IF(Y480=0,"",ROUNDUP(Y480/H480,0)*0.01898),"")</f>
        <v/>
      </c>
      <c r="AA480" s="53"/>
      <c r="AB480" s="54"/>
      <c r="AC480" s="55" t="s">
        <v>749</v>
      </c>
      <c r="AG480" s="78"/>
      <c r="AJ480" s="57"/>
      <c r="AK480" s="57">
        <v>0</v>
      </c>
      <c r="BB480" s="59" t="s">
        <v>1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24" t="s">
        <v>750</v>
      </c>
      <c r="B481" s="24" t="s">
        <v>751</v>
      </c>
      <c r="C481" s="25">
        <v>4301020260</v>
      </c>
      <c r="D481" s="86">
        <v>4640242180526</v>
      </c>
      <c r="E481" s="87"/>
      <c r="F481" s="75">
        <v>1.8</v>
      </c>
      <c r="G481" s="26">
        <v>6</v>
      </c>
      <c r="H481" s="75">
        <v>10.8</v>
      </c>
      <c r="I481" s="75">
        <v>11.234999999999999</v>
      </c>
      <c r="J481" s="26">
        <v>64</v>
      </c>
      <c r="K481" s="26" t="s">
        <v>106</v>
      </c>
      <c r="L481" s="26"/>
      <c r="M481" s="35" t="s">
        <v>107</v>
      </c>
      <c r="N481" s="35"/>
      <c r="O481" s="26">
        <v>50</v>
      </c>
      <c r="P481" s="123" t="s">
        <v>752</v>
      </c>
      <c r="Q481" s="84"/>
      <c r="R481" s="84"/>
      <c r="S481" s="84"/>
      <c r="T481" s="85"/>
      <c r="U481" s="47"/>
      <c r="V481" s="47"/>
      <c r="W481" s="48" t="s">
        <v>70</v>
      </c>
      <c r="X481" s="76">
        <v>0</v>
      </c>
      <c r="Y481" s="77">
        <f>IFERROR(IF(X481="",0,CEILING((X481/$H481),1)*$H481),"")</f>
        <v>0</v>
      </c>
      <c r="Z481" s="52" t="str">
        <f>IFERROR(IF(Y481=0,"",ROUNDUP(Y481/H481,0)*0.01898),"")</f>
        <v/>
      </c>
      <c r="AA481" s="53"/>
      <c r="AB481" s="54"/>
      <c r="AC481" s="55" t="s">
        <v>746</v>
      </c>
      <c r="AG481" s="78"/>
      <c r="AJ481" s="57"/>
      <c r="AK481" s="57">
        <v>0</v>
      </c>
      <c r="BB481" s="59" t="s">
        <v>1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24" t="s">
        <v>753</v>
      </c>
      <c r="B482" s="24" t="s">
        <v>754</v>
      </c>
      <c r="C482" s="25">
        <v>4301020295</v>
      </c>
      <c r="D482" s="86">
        <v>4640242181363</v>
      </c>
      <c r="E482" s="87"/>
      <c r="F482" s="75">
        <v>0.4</v>
      </c>
      <c r="G482" s="26">
        <v>10</v>
      </c>
      <c r="H482" s="75">
        <v>4</v>
      </c>
      <c r="I482" s="75">
        <v>4.21</v>
      </c>
      <c r="J482" s="26">
        <v>132</v>
      </c>
      <c r="K482" s="26" t="s">
        <v>111</v>
      </c>
      <c r="L482" s="26"/>
      <c r="M482" s="35" t="s">
        <v>107</v>
      </c>
      <c r="N482" s="35"/>
      <c r="O482" s="26">
        <v>50</v>
      </c>
      <c r="P482" s="123" t="s">
        <v>755</v>
      </c>
      <c r="Q482" s="84"/>
      <c r="R482" s="84"/>
      <c r="S482" s="84"/>
      <c r="T482" s="85"/>
      <c r="U482" s="47"/>
      <c r="V482" s="47"/>
      <c r="W482" s="48" t="s">
        <v>70</v>
      </c>
      <c r="X482" s="76">
        <v>0</v>
      </c>
      <c r="Y482" s="77">
        <f>IFERROR(IF(X482="",0,CEILING((X482/$H482),1)*$H482),"")</f>
        <v>0</v>
      </c>
      <c r="Z482" s="52" t="str">
        <f>IFERROR(IF(Y482=0,"",ROUNDUP(Y482/H482,0)*0.00902),"")</f>
        <v/>
      </c>
      <c r="AA482" s="53"/>
      <c r="AB482" s="54"/>
      <c r="AC482" s="55" t="s">
        <v>756</v>
      </c>
      <c r="AG482" s="78"/>
      <c r="AJ482" s="57"/>
      <c r="AK482" s="57">
        <v>0</v>
      </c>
      <c r="BB482" s="59" t="s">
        <v>1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99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100"/>
      <c r="P483" s="91" t="s">
        <v>72</v>
      </c>
      <c r="Q483" s="92"/>
      <c r="R483" s="92"/>
      <c r="S483" s="92"/>
      <c r="T483" s="92"/>
      <c r="U483" s="92"/>
      <c r="V483" s="93"/>
      <c r="W483" s="49" t="s">
        <v>73</v>
      </c>
      <c r="X483" s="79">
        <f>IFERROR(X479/H479,"0")+IFERROR(X480/H480,"0")+IFERROR(X481/H481,"0")+IFERROR(X482/H482,"0")</f>
        <v>0</v>
      </c>
      <c r="Y483" s="79">
        <f>IFERROR(Y479/H479,"0")+IFERROR(Y480/H480,"0")+IFERROR(Y481/H481,"0")+IFERROR(Y482/H482,"0")</f>
        <v>0</v>
      </c>
      <c r="Z483" s="79">
        <f>IFERROR(IF(Z479="",0,Z479),"0")+IFERROR(IF(Z480="",0,Z480),"0")+IFERROR(IF(Z481="",0,Z481),"0")+IFERROR(IF(Z482="",0,Z482),"0")</f>
        <v>0</v>
      </c>
      <c r="AA483" s="80"/>
      <c r="AB483" s="80"/>
      <c r="AC483" s="80"/>
    </row>
    <row r="484" spans="1:68" x14ac:dyDescent="0.2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100"/>
      <c r="P484" s="91" t="s">
        <v>72</v>
      </c>
      <c r="Q484" s="92"/>
      <c r="R484" s="92"/>
      <c r="S484" s="92"/>
      <c r="T484" s="92"/>
      <c r="U484" s="92"/>
      <c r="V484" s="93"/>
      <c r="W484" s="49" t="s">
        <v>70</v>
      </c>
      <c r="X484" s="79">
        <f>IFERROR(SUM(X479:X482),"0")</f>
        <v>0</v>
      </c>
      <c r="Y484" s="79">
        <f>IFERROR(SUM(Y479:Y482),"0")</f>
        <v>0</v>
      </c>
      <c r="Z484" s="49"/>
      <c r="AA484" s="80"/>
      <c r="AB484" s="80"/>
      <c r="AC484" s="80"/>
    </row>
    <row r="485" spans="1:68" ht="14.25" customHeight="1" x14ac:dyDescent="0.25">
      <c r="A485" s="89" t="s">
        <v>64</v>
      </c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66"/>
      <c r="AB485" s="66"/>
      <c r="AC485" s="66"/>
    </row>
    <row r="486" spans="1:68" ht="27" customHeight="1" x14ac:dyDescent="0.25">
      <c r="A486" s="24" t="s">
        <v>757</v>
      </c>
      <c r="B486" s="24" t="s">
        <v>758</v>
      </c>
      <c r="C486" s="25">
        <v>4301031280</v>
      </c>
      <c r="D486" s="86">
        <v>4640242180816</v>
      </c>
      <c r="E486" s="87"/>
      <c r="F486" s="75">
        <v>0.7</v>
      </c>
      <c r="G486" s="26">
        <v>6</v>
      </c>
      <c r="H486" s="75">
        <v>4.2</v>
      </c>
      <c r="I486" s="75">
        <v>4.47</v>
      </c>
      <c r="J486" s="26">
        <v>132</v>
      </c>
      <c r="K486" s="26" t="s">
        <v>111</v>
      </c>
      <c r="L486" s="26"/>
      <c r="M486" s="35" t="s">
        <v>68</v>
      </c>
      <c r="N486" s="35"/>
      <c r="O486" s="26">
        <v>40</v>
      </c>
      <c r="P486" s="123" t="s">
        <v>759</v>
      </c>
      <c r="Q486" s="84"/>
      <c r="R486" s="84"/>
      <c r="S486" s="84"/>
      <c r="T486" s="85"/>
      <c r="U486" s="47"/>
      <c r="V486" s="47"/>
      <c r="W486" s="48" t="s">
        <v>70</v>
      </c>
      <c r="X486" s="76">
        <v>16.8</v>
      </c>
      <c r="Y486" s="77">
        <f>IFERROR(IF(X486="",0,CEILING((X486/$H486),1)*$H486),"")</f>
        <v>16.8</v>
      </c>
      <c r="Z486" s="52">
        <f>IFERROR(IF(Y486=0,"",ROUNDUP(Y486/H486,0)*0.00902),"")</f>
        <v>3.6080000000000001E-2</v>
      </c>
      <c r="AA486" s="53"/>
      <c r="AB486" s="54"/>
      <c r="AC486" s="55" t="s">
        <v>760</v>
      </c>
      <c r="AG486" s="78"/>
      <c r="AJ486" s="57"/>
      <c r="AK486" s="57">
        <v>0</v>
      </c>
      <c r="BB486" s="59" t="s">
        <v>1</v>
      </c>
      <c r="BM486" s="78">
        <f>IFERROR(X486*I486/H486,"0")</f>
        <v>17.88</v>
      </c>
      <c r="BN486" s="78">
        <f>IFERROR(Y486*I486/H486,"0")</f>
        <v>17.88</v>
      </c>
      <c r="BO486" s="78">
        <f>IFERROR(1/J486*(X486/H486),"0")</f>
        <v>3.0303030303030304E-2</v>
      </c>
      <c r="BP486" s="78">
        <f>IFERROR(1/J486*(Y486/H486),"0")</f>
        <v>3.0303030303030304E-2</v>
      </c>
    </row>
    <row r="487" spans="1:68" ht="27" customHeight="1" x14ac:dyDescent="0.25">
      <c r="A487" s="24" t="s">
        <v>761</v>
      </c>
      <c r="B487" s="24" t="s">
        <v>762</v>
      </c>
      <c r="C487" s="25">
        <v>4301031244</v>
      </c>
      <c r="D487" s="86">
        <v>4640242180595</v>
      </c>
      <c r="E487" s="87"/>
      <c r="F487" s="75">
        <v>0.7</v>
      </c>
      <c r="G487" s="26">
        <v>6</v>
      </c>
      <c r="H487" s="75">
        <v>4.2</v>
      </c>
      <c r="I487" s="75">
        <v>4.47</v>
      </c>
      <c r="J487" s="26">
        <v>132</v>
      </c>
      <c r="K487" s="26" t="s">
        <v>111</v>
      </c>
      <c r="L487" s="26"/>
      <c r="M487" s="35" t="s">
        <v>68</v>
      </c>
      <c r="N487" s="35"/>
      <c r="O487" s="26">
        <v>40</v>
      </c>
      <c r="P487" s="123" t="s">
        <v>763</v>
      </c>
      <c r="Q487" s="84"/>
      <c r="R487" s="84"/>
      <c r="S487" s="84"/>
      <c r="T487" s="85"/>
      <c r="U487" s="47"/>
      <c r="V487" s="47"/>
      <c r="W487" s="48" t="s">
        <v>70</v>
      </c>
      <c r="X487" s="76">
        <v>16.8</v>
      </c>
      <c r="Y487" s="77">
        <f>IFERROR(IF(X487="",0,CEILING((X487/$H487),1)*$H487),"")</f>
        <v>16.8</v>
      </c>
      <c r="Z487" s="52">
        <f>IFERROR(IF(Y487=0,"",ROUNDUP(Y487/H487,0)*0.00902),"")</f>
        <v>3.6080000000000001E-2</v>
      </c>
      <c r="AA487" s="53"/>
      <c r="AB487" s="54"/>
      <c r="AC487" s="55" t="s">
        <v>764</v>
      </c>
      <c r="AG487" s="78"/>
      <c r="AJ487" s="57"/>
      <c r="AK487" s="57">
        <v>0</v>
      </c>
      <c r="BB487" s="59" t="s">
        <v>1</v>
      </c>
      <c r="BM487" s="78">
        <f>IFERROR(X487*I487/H487,"0")</f>
        <v>17.88</v>
      </c>
      <c r="BN487" s="78">
        <f>IFERROR(Y487*I487/H487,"0")</f>
        <v>17.88</v>
      </c>
      <c r="BO487" s="78">
        <f>IFERROR(1/J487*(X487/H487),"0")</f>
        <v>3.0303030303030304E-2</v>
      </c>
      <c r="BP487" s="78">
        <f>IFERROR(1/J487*(Y487/H487),"0")</f>
        <v>3.0303030303030304E-2</v>
      </c>
    </row>
    <row r="488" spans="1:68" x14ac:dyDescent="0.2">
      <c r="A488" s="99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100"/>
      <c r="P488" s="91" t="s">
        <v>72</v>
      </c>
      <c r="Q488" s="92"/>
      <c r="R488" s="92"/>
      <c r="S488" s="92"/>
      <c r="T488" s="92"/>
      <c r="U488" s="92"/>
      <c r="V488" s="93"/>
      <c r="W488" s="49" t="s">
        <v>73</v>
      </c>
      <c r="X488" s="79">
        <f>IFERROR(X486/H486,"0")+IFERROR(X487/H487,"0")</f>
        <v>8</v>
      </c>
      <c r="Y488" s="79">
        <f>IFERROR(Y486/H486,"0")+IFERROR(Y487/H487,"0")</f>
        <v>8</v>
      </c>
      <c r="Z488" s="79">
        <f>IFERROR(IF(Z486="",0,Z486),"0")+IFERROR(IF(Z487="",0,Z487),"0")</f>
        <v>7.2160000000000002E-2</v>
      </c>
      <c r="AA488" s="80"/>
      <c r="AB488" s="80"/>
      <c r="AC488" s="80"/>
    </row>
    <row r="489" spans="1:68" x14ac:dyDescent="0.2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100"/>
      <c r="P489" s="91" t="s">
        <v>72</v>
      </c>
      <c r="Q489" s="92"/>
      <c r="R489" s="92"/>
      <c r="S489" s="92"/>
      <c r="T489" s="92"/>
      <c r="U489" s="92"/>
      <c r="V489" s="93"/>
      <c r="W489" s="49" t="s">
        <v>70</v>
      </c>
      <c r="X489" s="79">
        <f>IFERROR(SUM(X486:X487),"0")</f>
        <v>33.6</v>
      </c>
      <c r="Y489" s="79">
        <f>IFERROR(SUM(Y486:Y487),"0")</f>
        <v>33.6</v>
      </c>
      <c r="Z489" s="49"/>
      <c r="AA489" s="80"/>
      <c r="AB489" s="80"/>
      <c r="AC489" s="80"/>
    </row>
    <row r="490" spans="1:68" ht="14.25" customHeight="1" x14ac:dyDescent="0.25">
      <c r="A490" s="89" t="s">
        <v>74</v>
      </c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66"/>
      <c r="AB490" s="66"/>
      <c r="AC490" s="66"/>
    </row>
    <row r="491" spans="1:68" ht="27" customHeight="1" x14ac:dyDescent="0.25">
      <c r="A491" s="24" t="s">
        <v>765</v>
      </c>
      <c r="B491" s="24" t="s">
        <v>766</v>
      </c>
      <c r="C491" s="25">
        <v>4301052046</v>
      </c>
      <c r="D491" s="86">
        <v>4640242180533</v>
      </c>
      <c r="E491" s="87"/>
      <c r="F491" s="75">
        <v>1.5</v>
      </c>
      <c r="G491" s="26">
        <v>6</v>
      </c>
      <c r="H491" s="75">
        <v>9</v>
      </c>
      <c r="I491" s="75">
        <v>9.5190000000000001</v>
      </c>
      <c r="J491" s="26">
        <v>64</v>
      </c>
      <c r="K491" s="26" t="s">
        <v>106</v>
      </c>
      <c r="L491" s="26"/>
      <c r="M491" s="35" t="s">
        <v>93</v>
      </c>
      <c r="N491" s="35"/>
      <c r="O491" s="26">
        <v>45</v>
      </c>
      <c r="P491" s="123" t="s">
        <v>767</v>
      </c>
      <c r="Q491" s="84"/>
      <c r="R491" s="84"/>
      <c r="S491" s="84"/>
      <c r="T491" s="85"/>
      <c r="U491" s="47"/>
      <c r="V491" s="47"/>
      <c r="W491" s="48" t="s">
        <v>70</v>
      </c>
      <c r="X491" s="76">
        <v>45</v>
      </c>
      <c r="Y491" s="77">
        <f>IFERROR(IF(X491="",0,CEILING((X491/$H491),1)*$H491),"")</f>
        <v>45</v>
      </c>
      <c r="Z491" s="52">
        <f>IFERROR(IF(Y491=0,"",ROUNDUP(Y491/H491,0)*0.01898),"")</f>
        <v>9.4899999999999998E-2</v>
      </c>
      <c r="AA491" s="53"/>
      <c r="AB491" s="54"/>
      <c r="AC491" s="55" t="s">
        <v>768</v>
      </c>
      <c r="AG491" s="78"/>
      <c r="AJ491" s="57"/>
      <c r="AK491" s="57">
        <v>0</v>
      </c>
      <c r="BB491" s="59" t="s">
        <v>1</v>
      </c>
      <c r="BM491" s="78">
        <f>IFERROR(X491*I491/H491,"0")</f>
        <v>47.594999999999999</v>
      </c>
      <c r="BN491" s="78">
        <f>IFERROR(Y491*I491/H491,"0")</f>
        <v>47.594999999999999</v>
      </c>
      <c r="BO491" s="78">
        <f>IFERROR(1/J491*(X491/H491),"0")</f>
        <v>7.8125E-2</v>
      </c>
      <c r="BP491" s="78">
        <f>IFERROR(1/J491*(Y491/H491),"0")</f>
        <v>7.8125E-2</v>
      </c>
    </row>
    <row r="492" spans="1:68" ht="27" customHeight="1" x14ac:dyDescent="0.25">
      <c r="A492" s="24" t="s">
        <v>769</v>
      </c>
      <c r="B492" s="24" t="s">
        <v>770</v>
      </c>
      <c r="C492" s="25">
        <v>4301051920</v>
      </c>
      <c r="D492" s="86">
        <v>4640242181233</v>
      </c>
      <c r="E492" s="87"/>
      <c r="F492" s="75">
        <v>0.3</v>
      </c>
      <c r="G492" s="26">
        <v>6</v>
      </c>
      <c r="H492" s="75">
        <v>1.8</v>
      </c>
      <c r="I492" s="75">
        <v>2.0640000000000001</v>
      </c>
      <c r="J492" s="26">
        <v>182</v>
      </c>
      <c r="K492" s="26" t="s">
        <v>77</v>
      </c>
      <c r="L492" s="26"/>
      <c r="M492" s="35" t="s">
        <v>93</v>
      </c>
      <c r="N492" s="35"/>
      <c r="O492" s="26">
        <v>45</v>
      </c>
      <c r="P492" s="123" t="s">
        <v>771</v>
      </c>
      <c r="Q492" s="84"/>
      <c r="R492" s="84"/>
      <c r="S492" s="84"/>
      <c r="T492" s="85"/>
      <c r="U492" s="47"/>
      <c r="V492" s="47"/>
      <c r="W492" s="48" t="s">
        <v>70</v>
      </c>
      <c r="X492" s="76">
        <v>0</v>
      </c>
      <c r="Y492" s="77">
        <f>IFERROR(IF(X492="",0,CEILING((X492/$H492),1)*$H492),"")</f>
        <v>0</v>
      </c>
      <c r="Z492" s="52" t="str">
        <f>IFERROR(IF(Y492=0,"",ROUNDUP(Y492/H492,0)*0.00651),"")</f>
        <v/>
      </c>
      <c r="AA492" s="53"/>
      <c r="AB492" s="54"/>
      <c r="AC492" s="55" t="s">
        <v>768</v>
      </c>
      <c r="AG492" s="78"/>
      <c r="AJ492" s="57"/>
      <c r="AK492" s="57">
        <v>0</v>
      </c>
      <c r="BB492" s="59" t="s">
        <v>1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99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100"/>
      <c r="P493" s="91" t="s">
        <v>72</v>
      </c>
      <c r="Q493" s="92"/>
      <c r="R493" s="92"/>
      <c r="S493" s="92"/>
      <c r="T493" s="92"/>
      <c r="U493" s="92"/>
      <c r="V493" s="93"/>
      <c r="W493" s="49" t="s">
        <v>73</v>
      </c>
      <c r="X493" s="79">
        <f>IFERROR(X491/H491,"0")+IFERROR(X492/H492,"0")</f>
        <v>5</v>
      </c>
      <c r="Y493" s="79">
        <f>IFERROR(Y491/H491,"0")+IFERROR(Y492/H492,"0")</f>
        <v>5</v>
      </c>
      <c r="Z493" s="79">
        <f>IFERROR(IF(Z491="",0,Z491),"0")+IFERROR(IF(Z492="",0,Z492),"0")</f>
        <v>9.4899999999999998E-2</v>
      </c>
      <c r="AA493" s="80"/>
      <c r="AB493" s="80"/>
      <c r="AC493" s="80"/>
    </row>
    <row r="494" spans="1:68" x14ac:dyDescent="0.2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100"/>
      <c r="P494" s="91" t="s">
        <v>72</v>
      </c>
      <c r="Q494" s="92"/>
      <c r="R494" s="92"/>
      <c r="S494" s="92"/>
      <c r="T494" s="92"/>
      <c r="U494" s="92"/>
      <c r="V494" s="93"/>
      <c r="W494" s="49" t="s">
        <v>70</v>
      </c>
      <c r="X494" s="79">
        <f>IFERROR(SUM(X491:X492),"0")</f>
        <v>45</v>
      </c>
      <c r="Y494" s="79">
        <f>IFERROR(SUM(Y491:Y492),"0")</f>
        <v>45</v>
      </c>
      <c r="Z494" s="49"/>
      <c r="AA494" s="80"/>
      <c r="AB494" s="80"/>
      <c r="AC494" s="80"/>
    </row>
    <row r="495" spans="1:68" ht="14.25" customHeight="1" x14ac:dyDescent="0.25">
      <c r="A495" s="89" t="s">
        <v>174</v>
      </c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66"/>
      <c r="AB495" s="66"/>
      <c r="AC495" s="66"/>
    </row>
    <row r="496" spans="1:68" ht="27" customHeight="1" x14ac:dyDescent="0.25">
      <c r="A496" s="24" t="s">
        <v>772</v>
      </c>
      <c r="B496" s="24" t="s">
        <v>773</v>
      </c>
      <c r="C496" s="25">
        <v>4301060491</v>
      </c>
      <c r="D496" s="86">
        <v>4640242180120</v>
      </c>
      <c r="E496" s="87"/>
      <c r="F496" s="75">
        <v>1.5</v>
      </c>
      <c r="G496" s="26">
        <v>6</v>
      </c>
      <c r="H496" s="75">
        <v>9</v>
      </c>
      <c r="I496" s="75">
        <v>9.4350000000000005</v>
      </c>
      <c r="J496" s="26">
        <v>64</v>
      </c>
      <c r="K496" s="26" t="s">
        <v>106</v>
      </c>
      <c r="L496" s="26"/>
      <c r="M496" s="35" t="s">
        <v>78</v>
      </c>
      <c r="N496" s="35"/>
      <c r="O496" s="26">
        <v>40</v>
      </c>
      <c r="P496" s="123" t="s">
        <v>774</v>
      </c>
      <c r="Q496" s="84"/>
      <c r="R496" s="84"/>
      <c r="S496" s="84"/>
      <c r="T496" s="85"/>
      <c r="U496" s="47"/>
      <c r="V496" s="47"/>
      <c r="W496" s="48" t="s">
        <v>70</v>
      </c>
      <c r="X496" s="76">
        <v>18</v>
      </c>
      <c r="Y496" s="77">
        <f>IFERROR(IF(X496="",0,CEILING((X496/$H496),1)*$H496),"")</f>
        <v>18</v>
      </c>
      <c r="Z496" s="52">
        <f>IFERROR(IF(Y496=0,"",ROUNDUP(Y496/H496,0)*0.01898),"")</f>
        <v>3.7960000000000001E-2</v>
      </c>
      <c r="AA496" s="53"/>
      <c r="AB496" s="54"/>
      <c r="AC496" s="55" t="s">
        <v>775</v>
      </c>
      <c r="AG496" s="78"/>
      <c r="AJ496" s="57"/>
      <c r="AK496" s="57">
        <v>0</v>
      </c>
      <c r="BB496" s="59" t="s">
        <v>1</v>
      </c>
      <c r="BM496" s="78">
        <f>IFERROR(X496*I496/H496,"0")</f>
        <v>18.87</v>
      </c>
      <c r="BN496" s="78">
        <f>IFERROR(Y496*I496/H496,"0")</f>
        <v>18.87</v>
      </c>
      <c r="BO496" s="78">
        <f>IFERROR(1/J496*(X496/H496),"0")</f>
        <v>3.125E-2</v>
      </c>
      <c r="BP496" s="78">
        <f>IFERROR(1/J496*(Y496/H496),"0")</f>
        <v>3.125E-2</v>
      </c>
    </row>
    <row r="497" spans="1:68" ht="27" customHeight="1" x14ac:dyDescent="0.25">
      <c r="A497" s="24" t="s">
        <v>776</v>
      </c>
      <c r="B497" s="24" t="s">
        <v>777</v>
      </c>
      <c r="C497" s="25">
        <v>4301060498</v>
      </c>
      <c r="D497" s="86">
        <v>4640242180137</v>
      </c>
      <c r="E497" s="87"/>
      <c r="F497" s="75">
        <v>1.5</v>
      </c>
      <c r="G497" s="26">
        <v>6</v>
      </c>
      <c r="H497" s="75">
        <v>9</v>
      </c>
      <c r="I497" s="75">
        <v>9.4350000000000005</v>
      </c>
      <c r="J497" s="26">
        <v>64</v>
      </c>
      <c r="K497" s="26" t="s">
        <v>106</v>
      </c>
      <c r="L497" s="26"/>
      <c r="M497" s="35" t="s">
        <v>93</v>
      </c>
      <c r="N497" s="35"/>
      <c r="O497" s="26">
        <v>40</v>
      </c>
      <c r="P497" s="123" t="s">
        <v>778</v>
      </c>
      <c r="Q497" s="84"/>
      <c r="R497" s="84"/>
      <c r="S497" s="84"/>
      <c r="T497" s="85"/>
      <c r="U497" s="47"/>
      <c r="V497" s="47"/>
      <c r="W497" s="48" t="s">
        <v>70</v>
      </c>
      <c r="X497" s="76">
        <v>27</v>
      </c>
      <c r="Y497" s="77">
        <f>IFERROR(IF(X497="",0,CEILING((X497/$H497),1)*$H497),"")</f>
        <v>27</v>
      </c>
      <c r="Z497" s="52">
        <f>IFERROR(IF(Y497=0,"",ROUNDUP(Y497/H497,0)*0.01898),"")</f>
        <v>5.6940000000000004E-2</v>
      </c>
      <c r="AA497" s="53"/>
      <c r="AB497" s="54"/>
      <c r="AC497" s="55" t="s">
        <v>779</v>
      </c>
      <c r="AG497" s="78"/>
      <c r="AJ497" s="57"/>
      <c r="AK497" s="57">
        <v>0</v>
      </c>
      <c r="BB497" s="59" t="s">
        <v>1</v>
      </c>
      <c r="BM497" s="78">
        <f>IFERROR(X497*I497/H497,"0")</f>
        <v>28.305</v>
      </c>
      <c r="BN497" s="78">
        <f>IFERROR(Y497*I497/H497,"0")</f>
        <v>28.305</v>
      </c>
      <c r="BO497" s="78">
        <f>IFERROR(1/J497*(X497/H497),"0")</f>
        <v>4.6875E-2</v>
      </c>
      <c r="BP497" s="78">
        <f>IFERROR(1/J497*(Y497/H497),"0")</f>
        <v>4.6875E-2</v>
      </c>
    </row>
    <row r="498" spans="1:68" x14ac:dyDescent="0.2">
      <c r="A498" s="99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100"/>
      <c r="P498" s="91" t="s">
        <v>72</v>
      </c>
      <c r="Q498" s="92"/>
      <c r="R498" s="92"/>
      <c r="S498" s="92"/>
      <c r="T498" s="92"/>
      <c r="U498" s="92"/>
      <c r="V498" s="93"/>
      <c r="W498" s="49" t="s">
        <v>73</v>
      </c>
      <c r="X498" s="79">
        <f>IFERROR(X496/H496,"0")+IFERROR(X497/H497,"0")</f>
        <v>5</v>
      </c>
      <c r="Y498" s="79">
        <f>IFERROR(Y496/H496,"0")+IFERROR(Y497/H497,"0")</f>
        <v>5</v>
      </c>
      <c r="Z498" s="79">
        <f>IFERROR(IF(Z496="",0,Z496),"0")+IFERROR(IF(Z497="",0,Z497),"0")</f>
        <v>9.4900000000000012E-2</v>
      </c>
      <c r="AA498" s="80"/>
      <c r="AB498" s="80"/>
      <c r="AC498" s="80"/>
    </row>
    <row r="499" spans="1:68" x14ac:dyDescent="0.2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100"/>
      <c r="P499" s="91" t="s">
        <v>72</v>
      </c>
      <c r="Q499" s="92"/>
      <c r="R499" s="92"/>
      <c r="S499" s="92"/>
      <c r="T499" s="92"/>
      <c r="U499" s="92"/>
      <c r="V499" s="93"/>
      <c r="W499" s="49" t="s">
        <v>70</v>
      </c>
      <c r="X499" s="79">
        <f>IFERROR(SUM(X496:X497),"0")</f>
        <v>45</v>
      </c>
      <c r="Y499" s="79">
        <f>IFERROR(SUM(Y496:Y497),"0")</f>
        <v>45</v>
      </c>
      <c r="Z499" s="49"/>
      <c r="AA499" s="80"/>
      <c r="AB499" s="80"/>
      <c r="AC499" s="80"/>
    </row>
    <row r="500" spans="1:68" ht="16.5" customHeight="1" x14ac:dyDescent="0.25">
      <c r="A500" s="94" t="s">
        <v>780</v>
      </c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65"/>
      <c r="AB500" s="65"/>
      <c r="AC500" s="65"/>
    </row>
    <row r="501" spans="1:68" ht="14.25" customHeight="1" x14ac:dyDescent="0.25">
      <c r="A501" s="89" t="s">
        <v>139</v>
      </c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66"/>
      <c r="AB501" s="66"/>
      <c r="AC501" s="66"/>
    </row>
    <row r="502" spans="1:68" ht="27" customHeight="1" x14ac:dyDescent="0.25">
      <c r="A502" s="24" t="s">
        <v>781</v>
      </c>
      <c r="B502" s="24" t="s">
        <v>782</v>
      </c>
      <c r="C502" s="25">
        <v>4301020314</v>
      </c>
      <c r="D502" s="86">
        <v>4640242180090</v>
      </c>
      <c r="E502" s="87"/>
      <c r="F502" s="75">
        <v>1.5</v>
      </c>
      <c r="G502" s="26">
        <v>8</v>
      </c>
      <c r="H502" s="75">
        <v>12</v>
      </c>
      <c r="I502" s="75">
        <v>12.435</v>
      </c>
      <c r="J502" s="26">
        <v>64</v>
      </c>
      <c r="K502" s="26" t="s">
        <v>106</v>
      </c>
      <c r="L502" s="26"/>
      <c r="M502" s="35" t="s">
        <v>107</v>
      </c>
      <c r="N502" s="35"/>
      <c r="O502" s="26">
        <v>50</v>
      </c>
      <c r="P502" s="123" t="s">
        <v>783</v>
      </c>
      <c r="Q502" s="84"/>
      <c r="R502" s="84"/>
      <c r="S502" s="84"/>
      <c r="T502" s="85"/>
      <c r="U502" s="47"/>
      <c r="V502" s="47"/>
      <c r="W502" s="48" t="s">
        <v>70</v>
      </c>
      <c r="X502" s="76">
        <v>0</v>
      </c>
      <c r="Y502" s="77">
        <f>IFERROR(IF(X502="",0,CEILING((X502/$H502),1)*$H502),"")</f>
        <v>0</v>
      </c>
      <c r="Z502" s="52" t="str">
        <f>IFERROR(IF(Y502=0,"",ROUNDUP(Y502/H502,0)*0.01898),"")</f>
        <v/>
      </c>
      <c r="AA502" s="53"/>
      <c r="AB502" s="54"/>
      <c r="AC502" s="55" t="s">
        <v>784</v>
      </c>
      <c r="AG502" s="78"/>
      <c r="AJ502" s="57"/>
      <c r="AK502" s="57">
        <v>0</v>
      </c>
      <c r="BB502" s="59" t="s">
        <v>1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99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100"/>
      <c r="P503" s="91" t="s">
        <v>72</v>
      </c>
      <c r="Q503" s="92"/>
      <c r="R503" s="92"/>
      <c r="S503" s="92"/>
      <c r="T503" s="92"/>
      <c r="U503" s="92"/>
      <c r="V503" s="93"/>
      <c r="W503" s="49" t="s">
        <v>73</v>
      </c>
      <c r="X503" s="79">
        <f>IFERROR(X502/H502,"0")</f>
        <v>0</v>
      </c>
      <c r="Y503" s="79">
        <f>IFERROR(Y502/H502,"0")</f>
        <v>0</v>
      </c>
      <c r="Z503" s="79">
        <f>IFERROR(IF(Z502="",0,Z502),"0")</f>
        <v>0</v>
      </c>
      <c r="AA503" s="80"/>
      <c r="AB503" s="80"/>
      <c r="AC503" s="80"/>
    </row>
    <row r="504" spans="1:68" x14ac:dyDescent="0.2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100"/>
      <c r="P504" s="91" t="s">
        <v>72</v>
      </c>
      <c r="Q504" s="92"/>
      <c r="R504" s="92"/>
      <c r="S504" s="92"/>
      <c r="T504" s="92"/>
      <c r="U504" s="92"/>
      <c r="V504" s="93"/>
      <c r="W504" s="49" t="s">
        <v>70</v>
      </c>
      <c r="X504" s="79">
        <f>IFERROR(SUM(X502:X502),"0")</f>
        <v>0</v>
      </c>
      <c r="Y504" s="79">
        <f>IFERROR(SUM(Y502:Y502),"0")</f>
        <v>0</v>
      </c>
      <c r="Z504" s="49"/>
      <c r="AA504" s="80"/>
      <c r="AB504" s="80"/>
      <c r="AC504" s="80"/>
    </row>
    <row r="505" spans="1:68" ht="15" customHeight="1" x14ac:dyDescent="0.2">
      <c r="A505" s="101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102"/>
      <c r="P505" s="110" t="s">
        <v>785</v>
      </c>
      <c r="Q505" s="111"/>
      <c r="R505" s="111"/>
      <c r="S505" s="111"/>
      <c r="T505" s="111"/>
      <c r="U505" s="111"/>
      <c r="V505" s="112"/>
      <c r="W505" s="49" t="s">
        <v>70</v>
      </c>
      <c r="X505" s="79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7361.5</v>
      </c>
      <c r="Y505" s="79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7374.18</v>
      </c>
      <c r="Z505" s="49"/>
      <c r="AA505" s="80"/>
      <c r="AB505" s="80"/>
      <c r="AC505" s="80"/>
    </row>
    <row r="506" spans="1:68" x14ac:dyDescent="0.2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102"/>
      <c r="P506" s="110" t="s">
        <v>786</v>
      </c>
      <c r="Q506" s="111"/>
      <c r="R506" s="111"/>
      <c r="S506" s="111"/>
      <c r="T506" s="111"/>
      <c r="U506" s="111"/>
      <c r="V506" s="112"/>
      <c r="W506" s="49" t="s">
        <v>70</v>
      </c>
      <c r="X506" s="79">
        <f>IFERROR(SUM(BM22:BM502),"0")</f>
        <v>7724.3005651340982</v>
      </c>
      <c r="Y506" s="79">
        <f>IFERROR(SUM(BN22:BN502),"0")</f>
        <v>7737.7149999999992</v>
      </c>
      <c r="Z506" s="49"/>
      <c r="AA506" s="80"/>
      <c r="AB506" s="80"/>
      <c r="AC506" s="80"/>
    </row>
    <row r="507" spans="1:68" x14ac:dyDescent="0.2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102"/>
      <c r="P507" s="110" t="s">
        <v>787</v>
      </c>
      <c r="Q507" s="111"/>
      <c r="R507" s="111"/>
      <c r="S507" s="111"/>
      <c r="T507" s="111"/>
      <c r="U507" s="111"/>
      <c r="V507" s="112"/>
      <c r="W507" s="49" t="s">
        <v>788</v>
      </c>
      <c r="X507" s="81">
        <f>ROUNDUP(SUM(BO22:BO502),0)</f>
        <v>13</v>
      </c>
      <c r="Y507" s="81">
        <f>ROUNDUP(SUM(BP22:BP502),0)</f>
        <v>13</v>
      </c>
      <c r="Z507" s="49"/>
      <c r="AA507" s="80"/>
      <c r="AB507" s="80"/>
      <c r="AC507" s="80"/>
    </row>
    <row r="508" spans="1:68" x14ac:dyDescent="0.2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102"/>
      <c r="P508" s="110" t="s">
        <v>789</v>
      </c>
      <c r="Q508" s="111"/>
      <c r="R508" s="111"/>
      <c r="S508" s="111"/>
      <c r="T508" s="111"/>
      <c r="U508" s="111"/>
      <c r="V508" s="112"/>
      <c r="W508" s="49" t="s">
        <v>70</v>
      </c>
      <c r="X508" s="79">
        <f>GrossWeightTotal+PalletQtyTotal*25</f>
        <v>8049.3005651340982</v>
      </c>
      <c r="Y508" s="79">
        <f>GrossWeightTotalR+PalletQtyTotalR*25</f>
        <v>8062.7149999999992</v>
      </c>
      <c r="Z508" s="49"/>
      <c r="AA508" s="80"/>
      <c r="AB508" s="80"/>
      <c r="AC508" s="80"/>
    </row>
    <row r="509" spans="1:68" x14ac:dyDescent="0.2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102"/>
      <c r="P509" s="110" t="s">
        <v>790</v>
      </c>
      <c r="Q509" s="111"/>
      <c r="R509" s="111"/>
      <c r="S509" s="111"/>
      <c r="T509" s="111"/>
      <c r="U509" s="111"/>
      <c r="V509" s="112"/>
      <c r="W509" s="49" t="s">
        <v>788</v>
      </c>
      <c r="X509" s="79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963.03965226982473</v>
      </c>
      <c r="Y509" s="79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966</v>
      </c>
      <c r="Z509" s="49"/>
      <c r="AA509" s="80"/>
      <c r="AB509" s="80"/>
      <c r="AC509" s="80"/>
    </row>
    <row r="510" spans="1:68" ht="14.25" customHeight="1" x14ac:dyDescent="0.2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102"/>
      <c r="P510" s="110" t="s">
        <v>791</v>
      </c>
      <c r="Q510" s="111"/>
      <c r="R510" s="111"/>
      <c r="S510" s="111"/>
      <c r="T510" s="111"/>
      <c r="U510" s="111"/>
      <c r="V510" s="112"/>
      <c r="W510" s="61" t="s">
        <v>792</v>
      </c>
      <c r="X510" s="49"/>
      <c r="Y510" s="49"/>
      <c r="Z510" s="49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14.349590000000006</v>
      </c>
      <c r="AA510" s="80"/>
      <c r="AB510" s="80"/>
      <c r="AC510" s="80"/>
    </row>
    <row r="512" spans="1:68" ht="25.5" customHeight="1" x14ac:dyDescent="0.2">
      <c r="A512" s="60" t="s">
        <v>793</v>
      </c>
      <c r="B512" s="67" t="s">
        <v>63</v>
      </c>
      <c r="C512" s="97" t="s">
        <v>101</v>
      </c>
      <c r="D512" s="138"/>
      <c r="E512" s="138"/>
      <c r="F512" s="138"/>
      <c r="G512" s="138"/>
      <c r="H512" s="107"/>
      <c r="I512" s="97" t="s">
        <v>258</v>
      </c>
      <c r="J512" s="138"/>
      <c r="K512" s="138"/>
      <c r="L512" s="138"/>
      <c r="M512" s="138"/>
      <c r="N512" s="138"/>
      <c r="O512" s="138"/>
      <c r="P512" s="138"/>
      <c r="Q512" s="138"/>
      <c r="R512" s="138"/>
      <c r="S512" s="107"/>
      <c r="T512" s="97" t="s">
        <v>544</v>
      </c>
      <c r="U512" s="107"/>
      <c r="V512" s="97" t="s">
        <v>601</v>
      </c>
      <c r="W512" s="138"/>
      <c r="X512" s="138"/>
      <c r="Y512" s="107"/>
      <c r="Z512" s="67" t="s">
        <v>657</v>
      </c>
      <c r="AA512" s="97" t="s">
        <v>727</v>
      </c>
      <c r="AB512" s="107"/>
      <c r="AC512" s="5"/>
      <c r="AF512" s="68"/>
    </row>
    <row r="513" spans="1:32" ht="14.25" customHeight="1" x14ac:dyDescent="0.2">
      <c r="A513" s="103" t="s">
        <v>794</v>
      </c>
      <c r="B513" s="97" t="s">
        <v>63</v>
      </c>
      <c r="C513" s="97" t="s">
        <v>102</v>
      </c>
      <c r="D513" s="97" t="s">
        <v>119</v>
      </c>
      <c r="E513" s="97" t="s">
        <v>181</v>
      </c>
      <c r="F513" s="97" t="s">
        <v>204</v>
      </c>
      <c r="G513" s="97" t="s">
        <v>237</v>
      </c>
      <c r="H513" s="97" t="s">
        <v>101</v>
      </c>
      <c r="I513" s="97" t="s">
        <v>259</v>
      </c>
      <c r="J513" s="97" t="s">
        <v>299</v>
      </c>
      <c r="K513" s="97" t="s">
        <v>360</v>
      </c>
      <c r="L513" s="97" t="s">
        <v>401</v>
      </c>
      <c r="M513" s="97" t="s">
        <v>417</v>
      </c>
      <c r="N513" s="68"/>
      <c r="O513" s="97" t="s">
        <v>430</v>
      </c>
      <c r="P513" s="97" t="s">
        <v>440</v>
      </c>
      <c r="Q513" s="97" t="s">
        <v>447</v>
      </c>
      <c r="R513" s="97" t="s">
        <v>452</v>
      </c>
      <c r="S513" s="97" t="s">
        <v>534</v>
      </c>
      <c r="T513" s="97" t="s">
        <v>545</v>
      </c>
      <c r="U513" s="97" t="s">
        <v>579</v>
      </c>
      <c r="V513" s="97" t="s">
        <v>602</v>
      </c>
      <c r="W513" s="97" t="s">
        <v>634</v>
      </c>
      <c r="X513" s="97" t="s">
        <v>649</v>
      </c>
      <c r="Y513" s="97" t="s">
        <v>653</v>
      </c>
      <c r="Z513" s="97" t="s">
        <v>657</v>
      </c>
      <c r="AA513" s="97" t="s">
        <v>727</v>
      </c>
      <c r="AB513" s="97" t="s">
        <v>780</v>
      </c>
      <c r="AC513" s="5"/>
      <c r="AF513" s="68"/>
    </row>
    <row r="514" spans="1:32" x14ac:dyDescent="0.2">
      <c r="A514" s="104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6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  <c r="AC514" s="5"/>
      <c r="AF514" s="68"/>
    </row>
    <row r="515" spans="1:32" ht="16.5" customHeight="1" x14ac:dyDescent="0.2">
      <c r="A515" s="60" t="s">
        <v>795</v>
      </c>
      <c r="B515" s="82">
        <f>IFERROR(Y22*1,"0")+IFERROR(Y26*1,"0")+IFERROR(Y27*1,"0")+IFERROR(Y28*1,"0")+IFERROR(Y29*1,"0")+IFERROR(Y30*1,"0")+IFERROR(Y31*1,"0")+IFERROR(Y35*1,"0")</f>
        <v>0</v>
      </c>
      <c r="C515" s="82">
        <f>IFERROR(Y41*1,"0")+IFERROR(Y42*1,"0")+IFERROR(Y43*1,"0")+IFERROR(Y47*1,"0")</f>
        <v>111.6</v>
      </c>
      <c r="D515" s="8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414.93999999999994</v>
      </c>
      <c r="E515" s="82">
        <f>IFERROR(Y89*1,"0")+IFERROR(Y90*1,"0")+IFERROR(Y91*1,"0")+IFERROR(Y95*1,"0")+IFERROR(Y96*1,"0")+IFERROR(Y97*1,"0")+IFERROR(Y98*1,"0")+IFERROR(Y99*1,"0")+IFERROR(Y100*1,"0")</f>
        <v>68.400000000000006</v>
      </c>
      <c r="F515" s="8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141.30000000000001</v>
      </c>
      <c r="G515" s="82">
        <f>IFERROR(Y131*1,"0")+IFERROR(Y132*1,"0")+IFERROR(Y136*1,"0")+IFERROR(Y137*1,"0")</f>
        <v>10.879999999999999</v>
      </c>
      <c r="H515" s="82">
        <f>IFERROR(Y142*1,"0")+IFERROR(Y146*1,"0")+IFERROR(Y147*1,"0")+IFERROR(Y148*1,"0")</f>
        <v>95</v>
      </c>
      <c r="I515" s="8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129.18</v>
      </c>
      <c r="J515" s="8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275.10000000000002</v>
      </c>
      <c r="K515" s="8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24.479999999999997</v>
      </c>
      <c r="L515" s="82">
        <f>IFERROR(Y248*1,"0")+IFERROR(Y249*1,"0")+IFERROR(Y250*1,"0")+IFERROR(Y251*1,"0")+IFERROR(Y252*1,"0")</f>
        <v>408.8</v>
      </c>
      <c r="M515" s="82">
        <f>IFERROR(Y257*1,"0")+IFERROR(Y258*1,"0")+IFERROR(Y259*1,"0")+IFERROR(Y260*1,"0")</f>
        <v>0</v>
      </c>
      <c r="N515" s="68"/>
      <c r="O515" s="82">
        <f>IFERROR(Y265*1,"0")+IFERROR(Y266*1,"0")+IFERROR(Y267*1,"0")</f>
        <v>24</v>
      </c>
      <c r="P515" s="82">
        <f>IFERROR(Y272*1,"0")+IFERROR(Y276*1,"0")</f>
        <v>8.4</v>
      </c>
      <c r="Q515" s="82">
        <f>IFERROR(Y281*1,"0")</f>
        <v>0</v>
      </c>
      <c r="R515" s="8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2810.3599999999997</v>
      </c>
      <c r="S515" s="82">
        <f>IFERROR(Y333*1,"0")+IFERROR(Y334*1,"0")+IFERROR(Y335*1,"0")</f>
        <v>86.1</v>
      </c>
      <c r="T515" s="82">
        <f>IFERROR(Y341*1,"0")+IFERROR(Y342*1,"0")+IFERROR(Y343*1,"0")+IFERROR(Y344*1,"0")+IFERROR(Y345*1,"0")+IFERROR(Y346*1,"0")+IFERROR(Y347*1,"0")+IFERROR(Y351*1,"0")+IFERROR(Y352*1,"0")+IFERROR(Y356*1,"0")+IFERROR(Y357*1,"0")+IFERROR(Y361*1,"0")</f>
        <v>2313</v>
      </c>
      <c r="U515" s="82">
        <f>IFERROR(Y366*1,"0")+IFERROR(Y367*1,"0")+IFERROR(Y368*1,"0")+IFERROR(Y369*1,"0")+IFERROR(Y373*1,"0")+IFERROR(Y377*1,"0")+IFERROR(Y378*1,"0")+IFERROR(Y382*1,"0")</f>
        <v>57</v>
      </c>
      <c r="V515" s="82">
        <f>IFERROR(Y388*1,"0")+IFERROR(Y389*1,"0")+IFERROR(Y390*1,"0")+IFERROR(Y391*1,"0")+IFERROR(Y392*1,"0")+IFERROR(Y393*1,"0")+IFERROR(Y394*1,"0")+IFERROR(Y395*1,"0")+IFERROR(Y396*1,"0")+IFERROR(Y397*1,"0")+IFERROR(Y401*1,"0")+IFERROR(Y402*1,"0")</f>
        <v>52.2</v>
      </c>
      <c r="W515" s="82">
        <f>IFERROR(Y407*1,"0")+IFERROR(Y411*1,"0")+IFERROR(Y412*1,"0")+IFERROR(Y413*1,"0")+IFERROR(Y414*1,"0")</f>
        <v>40.800000000000004</v>
      </c>
      <c r="X515" s="82">
        <f>IFERROR(Y419*1,"0")</f>
        <v>0</v>
      </c>
      <c r="Y515" s="82">
        <f>IFERROR(Y424*1,"0")</f>
        <v>0</v>
      </c>
      <c r="Z515" s="8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179.04</v>
      </c>
      <c r="AA515" s="8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123.6</v>
      </c>
      <c r="AB515" s="82">
        <f>IFERROR(Y502*1,"0")</f>
        <v>0</v>
      </c>
      <c r="AC515" s="5"/>
      <c r="AF515" s="68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/>
  <mergeCells count="904">
    <mergeCell ref="X17:X18"/>
    <mergeCell ref="P373:T373"/>
    <mergeCell ref="P444:T444"/>
    <mergeCell ref="D250:E250"/>
    <mergeCell ref="A101:O102"/>
    <mergeCell ref="P307:T307"/>
    <mergeCell ref="P202:T202"/>
    <mergeCell ref="A188:O189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17:E18"/>
    <mergeCell ref="D344:E344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F17:F18"/>
    <mergeCell ref="D242:E242"/>
    <mergeCell ref="D120:E120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A20:Z20"/>
    <mergeCell ref="P493:V493"/>
    <mergeCell ref="P371:V371"/>
    <mergeCell ref="A318:Z318"/>
    <mergeCell ref="D252:E252"/>
    <mergeCell ref="P358:V358"/>
    <mergeCell ref="P66:V66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86:T486"/>
    <mergeCell ref="P75:T75"/>
    <mergeCell ref="P342:T342"/>
    <mergeCell ref="P146:T146"/>
    <mergeCell ref="D394:E394"/>
    <mergeCell ref="D450:E450"/>
    <mergeCell ref="D223:E223"/>
    <mergeCell ref="P121:T121"/>
    <mergeCell ref="P181:T181"/>
    <mergeCell ref="P357:T357"/>
    <mergeCell ref="P344:T344"/>
    <mergeCell ref="D265:E265"/>
    <mergeCell ref="P449:T449"/>
    <mergeCell ref="A428:Z428"/>
    <mergeCell ref="P425:V425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X513:X514"/>
    <mergeCell ref="P114:T114"/>
    <mergeCell ref="P513:P514"/>
    <mergeCell ref="P241:T241"/>
    <mergeCell ref="D84:E84"/>
    <mergeCell ref="P41:T41"/>
    <mergeCell ref="A157:Z157"/>
    <mergeCell ref="D22:E22"/>
    <mergeCell ref="D320:E320"/>
    <mergeCell ref="A284:Z284"/>
    <mergeCell ref="A127:O128"/>
    <mergeCell ref="P426:V426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15:E215"/>
    <mergeCell ref="A246:Z246"/>
    <mergeCell ref="A469:Z469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A476:O477"/>
    <mergeCell ref="P346:T346"/>
    <mergeCell ref="P262:V262"/>
    <mergeCell ref="P321:T321"/>
    <mergeCell ref="P125:T125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Q13:R13"/>
    <mergeCell ref="M17:M18"/>
    <mergeCell ref="O17:O18"/>
    <mergeCell ref="D226:E226"/>
    <mergeCell ref="D164:E164"/>
    <mergeCell ref="P62:T62"/>
    <mergeCell ref="A130:Z130"/>
    <mergeCell ref="A201:Z201"/>
    <mergeCell ref="D165:E165"/>
    <mergeCell ref="D475:E475"/>
    <mergeCell ref="D29:E29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A135:Z135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P487:T487"/>
    <mergeCell ref="P475:T475"/>
    <mergeCell ref="D481:E481"/>
    <mergeCell ref="P476:V476"/>
    <mergeCell ref="E513:E514"/>
    <mergeCell ref="P421:V421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V5:W5"/>
    <mergeCell ref="P496:T496"/>
    <mergeCell ref="P203:T203"/>
    <mergeCell ref="A490:Z490"/>
    <mergeCell ref="T5:U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A423:Z423"/>
    <mergeCell ref="P349:V349"/>
    <mergeCell ref="P420:V420"/>
    <mergeCell ref="D166:E166"/>
    <mergeCell ref="A410:Z410"/>
    <mergeCell ref="D464:E464"/>
    <mergeCell ref="D402:E402"/>
    <mergeCell ref="P128:V128"/>
    <mergeCell ref="A17:A18"/>
    <mergeCell ref="K17:K18"/>
    <mergeCell ref="P300:T300"/>
    <mergeCell ref="C17:C18"/>
    <mergeCell ref="P195:T195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P15:T16"/>
    <mergeCell ref="I17:I18"/>
    <mergeCell ref="P139:V139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P450:T450"/>
    <mergeCell ref="D456:E456"/>
    <mergeCell ref="D396:E396"/>
    <mergeCell ref="A138:O139"/>
    <mergeCell ref="D414:E414"/>
    <mergeCell ref="D352:E352"/>
    <mergeCell ref="P419:T419"/>
    <mergeCell ref="D91:E91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D162:E162"/>
    <mergeCell ref="P272:T272"/>
    <mergeCell ref="D460:E460"/>
    <mergeCell ref="D327:E327"/>
    <mergeCell ref="P210:T210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P17:T18"/>
    <mergeCell ref="A400:Z400"/>
    <mergeCell ref="A471:Z471"/>
    <mergeCell ref="A229:Z229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D454:E454"/>
    <mergeCell ref="P308:T308"/>
    <mergeCell ref="P440:T440"/>
    <mergeCell ref="D434:E434"/>
    <mergeCell ref="D154:E154"/>
    <mergeCell ref="D225:E225"/>
    <mergeCell ref="D436:E436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A50:Z50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211:O212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A374:O375"/>
    <mergeCell ref="P446:V446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P72:V72"/>
    <mergeCell ref="P43:T43"/>
    <mergeCell ref="P65:V65"/>
    <mergeCell ref="P61:T61"/>
  </mergeCells>
  <conditionalFormatting sqref="D9:E9">
    <cfRule type="expression" dxfId="4" priority="3" stopIfTrue="1">
      <formula>IF($V$5="самовывоз",1,0)</formula>
    </cfRule>
  </conditionalFormatting>
  <conditionalFormatting sqref="F9:G9">
    <cfRule type="expression" dxfId="3" priority="5" stopIfTrue="1">
      <formula>IF($V$5="самовывоз",1,0)</formula>
    </cfRule>
  </conditionalFormatting>
  <conditionalFormatting sqref="H9:I9">
    <cfRule type="expression" dxfId="2" priority="6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F10:G10">
    <cfRule type="expression" dxfId="0" priority="4" stopIfTrue="1">
      <formula>IF($V$5="самовывоз",1,0)</formula>
    </cfRule>
  </conditionalFormatting>
  <dataValidations count="19"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0000000}">
      <formula1>43831</formula1>
      <formula2>47484</formula2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1000000}">
      <formula1>DeliveryMethodList</formula1>
    </dataValidation>
    <dataValidation type="list" showInputMessage="1" showErrorMessage="1" sqref="D6:N6" xr:uid="{00000000-0002-0000-0000-000002000000}">
      <formula1>DeliveryAdressList</formula1>
    </dataValidation>
    <dataValidation type="list" showInputMessage="1" showErrorMessage="1" sqref="D8:L8" xr:uid="{00000000-0002-0000-0000-000003000000}">
      <formula1>CHOOSE($D$7,UnloadAdressList0001)</formula1>
    </dataValidation>
    <dataValidation type="list" showInputMessage="1" showErrorMessage="1" sqref="M8:N8" xr:uid="{00000000-0002-0000-0000-000004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5000000}">
      <formula1>0.000694444444444444</formula1>
      <formula2>0.999305555555556</formula2>
    </dataValidation>
    <dataValidation type="list" showInputMessage="1" showErrorMessage="1" sqref="D9:E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7000000}">
      <formula1>43831</formula1>
      <formula2>47484</formula2>
    </dataValidation>
    <dataValidation type="list" showInputMessage="1" showErrorMessage="1" sqref="D10:E10" xr:uid="{00000000-0002-0000-0000-000008000000}">
      <formula1>IF(TypeProxy="Уполномоченное лицо",NumProxySet,null)</formula1>
    </dataValidation>
    <dataValidation showInputMessage="1" showErrorMessage="1" prompt="Введите код клиента в системе Axapta" sqref="V10" xr:uid="{00000000-0002-0000-0000-000009000000}"/>
    <dataValidation type="list" showInputMessage="1" showErrorMessage="1" prompt="Определите тип Вашего заказа" sqref="V11:W11" xr:uid="{00000000-0002-0000-0000-00000A000000}">
      <formula1>"Основной заказ, Дозаказ, Замена"</formula1>
    </dataValidation>
    <dataValidation type="list" showInputMessage="1" showErrorMessage="1" sqref="V12" xr:uid="{00000000-0002-0000-0000-00000B000000}">
      <formula1>DeliveryConditionsList</formula1>
    </dataValidation>
    <dataValidation type="list" showInputMessage="1" showErrorMessage="1" sqref="X16:AC16" xr:uid="{00000000-0002-0000-0000-00000C000000}">
      <formula1>"80-60,60-40,40-10,70-10"</formula1>
    </dataValidation>
    <dataValidation showInputMessage="1" showErrorMessage="1" error="укажите вес, кратный весу коробки" sqref="Z22:AC22" xr:uid="{00000000-0002-0000-0000-00000D000000}"/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0E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0F000000}">
      <formula1>IF(AK53&gt;0,OR(X53=0,AND(IF(X53-AK53&gt;=0,TRUE,FALSE),X53&gt;0,IF(X53/(H53*J53)=ROUND(X53/(H53*J53),0),TRUE,FALSE))),FALSE)</formula1>
    </dataValidation>
    <dataValidation showInputMessage="1" showErrorMessage="1" prompt="День недели загрузки. Считается сам." sqref="Q6:Q7" xr:uid="{00000000-0002-0000-0000-000010000000}"/>
    <dataValidation showInputMessage="1" showErrorMessage="1" prompt="Введите название вашей фирмы." sqref="V6:V7" xr:uid="{00000000-0002-0000-0000-000011000000}"/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12000000}">
      <formula1>0.000694444444444444</formula1>
      <formula2>0.999305555555556</formula2>
    </dataValidation>
  </dataValidations>
  <pageMargins left="0.23622047244094499" right="0.23622047244094499" top="0.74803149606299202" bottom="0.74803149606299202" header="0.31496062992126" footer="0.31496062992126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"/>
    </row>
    <row r="3" spans="2:8" x14ac:dyDescent="0.2">
      <c r="B3" s="1" t="s">
        <v>797</v>
      </c>
      <c r="C3" s="1"/>
      <c r="D3" s="1"/>
      <c r="E3" s="1"/>
    </row>
    <row r="4" spans="2:8" x14ac:dyDescent="0.2">
      <c r="B4" s="1" t="s">
        <v>12</v>
      </c>
      <c r="C4" s="1"/>
      <c r="D4" s="1"/>
      <c r="E4" s="1"/>
    </row>
    <row r="6" spans="2:8" x14ac:dyDescent="0.2">
      <c r="B6" s="1" t="s">
        <v>14</v>
      </c>
      <c r="C6" s="1" t="s">
        <v>798</v>
      </c>
      <c r="D6" s="1" t="s">
        <v>799</v>
      </c>
      <c r="E6" s="1"/>
    </row>
    <row r="8" spans="2:8" x14ac:dyDescent="0.2">
      <c r="B8" s="1" t="s">
        <v>19</v>
      </c>
      <c r="C8" s="1" t="s">
        <v>798</v>
      </c>
      <c r="D8" s="1"/>
      <c r="E8" s="1"/>
    </row>
    <row r="10" spans="2:8" x14ac:dyDescent="0.2">
      <c r="B10" s="1" t="s">
        <v>800</v>
      </c>
      <c r="C10" s="1"/>
      <c r="D10" s="1"/>
      <c r="E10" s="1"/>
    </row>
    <row r="11" spans="2:8" x14ac:dyDescent="0.2">
      <c r="B11" s="1" t="s">
        <v>801</v>
      </c>
      <c r="C11" s="1"/>
      <c r="D11" s="1"/>
      <c r="E11" s="1"/>
    </row>
    <row r="12" spans="2:8" x14ac:dyDescent="0.2">
      <c r="B12" s="1" t="s">
        <v>802</v>
      </c>
      <c r="C12" s="1"/>
      <c r="D12" s="1"/>
      <c r="E12" s="1"/>
    </row>
    <row r="13" spans="2:8" x14ac:dyDescent="0.2">
      <c r="B13" s="1" t="s">
        <v>803</v>
      </c>
      <c r="C13" s="1"/>
      <c r="D13" s="1"/>
      <c r="E13" s="1"/>
    </row>
    <row r="14" spans="2:8" x14ac:dyDescent="0.2">
      <c r="B14" s="1" t="s">
        <v>804</v>
      </c>
      <c r="C14" s="1"/>
      <c r="D14" s="1"/>
      <c r="E14" s="1"/>
    </row>
    <row r="15" spans="2:8" x14ac:dyDescent="0.2">
      <c r="B15" s="1" t="s">
        <v>805</v>
      </c>
      <c r="C15" s="1"/>
      <c r="D15" s="1"/>
      <c r="E15" s="1"/>
    </row>
    <row r="16" spans="2:8" x14ac:dyDescent="0.2">
      <c r="B16" s="1" t="s">
        <v>806</v>
      </c>
      <c r="C16" s="1"/>
      <c r="D16" s="1"/>
      <c r="E16" s="1"/>
    </row>
    <row r="17" spans="2:5" x14ac:dyDescent="0.2">
      <c r="B17" s="1" t="s">
        <v>807</v>
      </c>
      <c r="C17" s="1"/>
      <c r="D17" s="1"/>
      <c r="E17" s="1"/>
    </row>
    <row r="18" spans="2:5" x14ac:dyDescent="0.2">
      <c r="B18" s="1" t="s">
        <v>808</v>
      </c>
      <c r="C18" s="1"/>
      <c r="D18" s="1"/>
      <c r="E18" s="1"/>
    </row>
    <row r="19" spans="2:5" x14ac:dyDescent="0.2">
      <c r="B19" s="1" t="s">
        <v>809</v>
      </c>
      <c r="C19" s="1"/>
      <c r="D19" s="1"/>
      <c r="E19" s="1"/>
    </row>
    <row r="20" spans="2:5" x14ac:dyDescent="0.2">
      <c r="B20" s="1" t="s">
        <v>810</v>
      </c>
      <c r="C20" s="1"/>
      <c r="D20" s="1"/>
      <c r="E20" s="1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2021-11-12T12:13:00Z</dcterms:created>
  <dcterms:modified xsi:type="dcterms:W3CDTF">2025-07-22T09:35:55Z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  <property fmtid="{D5CDD505-2E9C-101B-9397-08002B2CF9AE}" pid="3" name="ICV">
    <vt:lpwstr>ECDCA407C5D04ECEB9A2A11BEA6804E2_13</vt:lpwstr>
  </property>
  <property fmtid="{D5CDD505-2E9C-101B-9397-08002B2CF9AE}" pid="4" name="KSOProductBuildVer">
    <vt:lpwstr>1049-12.2.0.21931</vt:lpwstr>
  </property>
</Properties>
</file>