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A147130E-ECA8-49E8-B5A7-7D53F4A7F8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заказа'!$X$368:$X$368</definedName>
    <definedName name="GrossWeightTotalR">'Бланк заказа'!$Y$368:$Y$368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заказа'!$X$369:$X$369</definedName>
    <definedName name="PalletQtyTotalR">'Бланк заказа'!$Y$369:$Y$369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заказа'!$B$231:$B$231</definedName>
    <definedName name="ProductId102">'Бланк заказа'!$B$232:$B$232</definedName>
    <definedName name="ProductId103">'Бланк заказа'!$B$233:$B$233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заказа'!$B$241:$B$241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заказа'!$B$247:$B$247</definedName>
    <definedName name="ProductId112">'Бланк заказа'!$B$252:$B$252</definedName>
    <definedName name="ProductId113">'Бланк заказа'!$B$253:$B$253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заказа'!$B$264:$B$264</definedName>
    <definedName name="ProductId12">'Бланк заказа'!$B$45:$B$45</definedName>
    <definedName name="ProductId120">'Бланк заказа'!$B$268:$B$268</definedName>
    <definedName name="ProductId121">'Бланк заказа'!$B$269:$B$269</definedName>
    <definedName name="ProductId122">'Бланк заказа'!$B$273:$B$273</definedName>
    <definedName name="ProductId123">'Бланк заказа'!$B$274:$B$274</definedName>
    <definedName name="ProductId124">'Бланк заказа'!$B$278:$B$278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заказа'!$B$286:$B$286</definedName>
    <definedName name="ProductId129">'Бланк заказа'!$B$290:$B$290</definedName>
    <definedName name="ProductId13">'Бланк заказа'!$B$49:$B$49</definedName>
    <definedName name="ProductId130">'Бланк заказа'!$B$294:$B$294</definedName>
    <definedName name="ProductId131">'Бланк заказа'!$B$295:$B$295</definedName>
    <definedName name="ProductId132">'Бланк заказа'!$B$299:$B$299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заказа'!$B$308:$B$308</definedName>
    <definedName name="ProductId137">'Бланк заказа'!$B$312:$B$312</definedName>
    <definedName name="ProductId138">'Бланк заказа'!$B$313:$B$313</definedName>
    <definedName name="ProductId139">'Бланк заказа'!$B$318:$B$318</definedName>
    <definedName name="ProductId14">'Бланк заказа'!$B$50:$B$50</definedName>
    <definedName name="ProductId140">'Бланк заказа'!$B$319:$B$319</definedName>
    <definedName name="ProductId141">'Бланк заказа'!$B$323:$B$323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заказа'!$B$334:$B$334</definedName>
    <definedName name="ProductId148">'Бланк заказа'!$B$335:$B$335</definedName>
    <definedName name="ProductId149">'Бланк заказа'!$B$336:$B$336</definedName>
    <definedName name="ProductId15">'Бланк заказа'!$B$51:$B$51</definedName>
    <definedName name="ProductId150">'Бланк заказа'!$B$337:$B$337</definedName>
    <definedName name="ProductId151">'Бланк заказа'!$B$338:$B$338</definedName>
    <definedName name="ProductId152">'Бланк заказа'!$B$342:$B$342</definedName>
    <definedName name="ProductId153">'Бланк заказа'!$B$343:$B$343</definedName>
    <definedName name="ProductId154">'Бланк заказа'!$B$347:$B$347</definedName>
    <definedName name="ProductId155">'Бланк заказа'!$B$348:$B$348</definedName>
    <definedName name="ProductId156">'Бланк заказа'!$B$349:$B$349</definedName>
    <definedName name="ProductId157">'Бланк заказа'!$B$350:$B$350</definedName>
    <definedName name="ProductId158">'Бланк заказа'!$B$351:$B$351</definedName>
    <definedName name="ProductId159">'Бланк заказа'!$B$352:$B$352</definedName>
    <definedName name="ProductId16">'Бланк заказа'!$B$52:$B$52</definedName>
    <definedName name="ProductId160">'Бланк заказа'!$B$353:$B$353</definedName>
    <definedName name="ProductId161">'Бланк заказа'!$B$357:$B$357</definedName>
    <definedName name="ProductId162">'Бланк заказа'!$B$358:$B$358</definedName>
    <definedName name="ProductId163">'Бланк заказа'!$B$364:$B$364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заказа'!$B$84:$B$84</definedName>
    <definedName name="ProductId32">'Бланк заказа'!$B$88:$B$88</definedName>
    <definedName name="ProductId33">'Бланк заказа'!$B$89:$B$89</definedName>
    <definedName name="ProductId34">'Бланк заказа'!$B$90:$B$90</definedName>
    <definedName name="ProductId35">'Бланк заказа'!$B$94:$B$94</definedName>
    <definedName name="ProductId36">'Бланк заказа'!$B$99:$B$99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заказа'!$B$128:$B$128</definedName>
    <definedName name="ProductId52">'Бланк заказа'!$B$133:$B$133</definedName>
    <definedName name="ProductId53">'Бланк заказа'!$B$134:$B$134</definedName>
    <definedName name="ProductId54">'Бланк заказа'!$B$138:$B$138</definedName>
    <definedName name="ProductId55">'Бланк заказа'!$B$139:$B$139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заказа'!$B$157:$B$157</definedName>
    <definedName name="ProductId68">'Бланк заказа'!$B$161:$B$161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заказа'!$B$191:$B$191</definedName>
    <definedName name="ProductId83">'Бланк заказа'!$B$196:$B$196</definedName>
    <definedName name="ProductId84">'Бланк заказа'!$B$201:$B$201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заказа'!$X$231:$X$231</definedName>
    <definedName name="SalesQty102">'Бланк заказа'!$X$232:$X$232</definedName>
    <definedName name="SalesQty103">'Бланк заказа'!$X$233:$X$233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заказа'!$X$241:$X$241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заказа'!$X$247:$X$247</definedName>
    <definedName name="SalesQty112">'Бланк заказа'!$X$252:$X$252</definedName>
    <definedName name="SalesQty113">'Бланк заказа'!$X$253:$X$253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заказа'!$X$264:$X$264</definedName>
    <definedName name="SalesQty12">'Бланк заказа'!$X$45:$X$45</definedName>
    <definedName name="SalesQty120">'Бланк заказа'!$X$268:$X$268</definedName>
    <definedName name="SalesQty121">'Бланк заказа'!$X$269:$X$269</definedName>
    <definedName name="SalesQty122">'Бланк заказа'!$X$273:$X$273</definedName>
    <definedName name="SalesQty123">'Бланк заказа'!$X$274:$X$274</definedName>
    <definedName name="SalesQty124">'Бланк заказа'!$X$278:$X$278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заказа'!$X$286:$X$286</definedName>
    <definedName name="SalesQty129">'Бланк заказа'!$X$290:$X$290</definedName>
    <definedName name="SalesQty13">'Бланк заказа'!$X$49:$X$49</definedName>
    <definedName name="SalesQty130">'Бланк заказа'!$X$294:$X$294</definedName>
    <definedName name="SalesQty131">'Бланк заказа'!$X$295:$X$295</definedName>
    <definedName name="SalesQty132">'Бланк заказа'!$X$299:$X$299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заказа'!$X$308:$X$308</definedName>
    <definedName name="SalesQty137">'Бланк заказа'!$X$312:$X$312</definedName>
    <definedName name="SalesQty138">'Бланк заказа'!$X$313:$X$313</definedName>
    <definedName name="SalesQty139">'Бланк заказа'!$X$318:$X$318</definedName>
    <definedName name="SalesQty14">'Бланк заказа'!$X$50:$X$50</definedName>
    <definedName name="SalesQty140">'Бланк заказа'!$X$319:$X$319</definedName>
    <definedName name="SalesQty141">'Бланк заказа'!$X$323:$X$323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заказа'!$X$334:$X$334</definedName>
    <definedName name="SalesQty148">'Бланк заказа'!$X$335:$X$335</definedName>
    <definedName name="SalesQty149">'Бланк заказа'!$X$336:$X$336</definedName>
    <definedName name="SalesQty15">'Бланк заказа'!$X$51:$X$51</definedName>
    <definedName name="SalesQty150">'Бланк заказа'!$X$337:$X$337</definedName>
    <definedName name="SalesQty151">'Бланк заказа'!$X$338:$X$338</definedName>
    <definedName name="SalesQty152">'Бланк заказа'!$X$342:$X$342</definedName>
    <definedName name="SalesQty153">'Бланк заказа'!$X$343:$X$343</definedName>
    <definedName name="SalesQty154">'Бланк заказа'!$X$347:$X$347</definedName>
    <definedName name="SalesQty155">'Бланк заказа'!$X$348:$X$348</definedName>
    <definedName name="SalesQty156">'Бланк заказа'!$X$349:$X$349</definedName>
    <definedName name="SalesQty157">'Бланк заказа'!$X$350:$X$350</definedName>
    <definedName name="SalesQty158">'Бланк заказа'!$X$351:$X$351</definedName>
    <definedName name="SalesQty159">'Бланк заказа'!$X$352:$X$352</definedName>
    <definedName name="SalesQty16">'Бланк заказа'!$X$52:$X$52</definedName>
    <definedName name="SalesQty160">'Бланк заказа'!$X$353:$X$353</definedName>
    <definedName name="SalesQty161">'Бланк заказа'!$X$357:$X$357</definedName>
    <definedName name="SalesQty162">'Бланк заказа'!$X$358:$X$358</definedName>
    <definedName name="SalesQty163">'Бланк заказа'!$X$364:$X$364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заказа'!$X$84:$X$84</definedName>
    <definedName name="SalesQty32">'Бланк заказа'!$X$88:$X$88</definedName>
    <definedName name="SalesQty33">'Бланк заказа'!$X$89:$X$89</definedName>
    <definedName name="SalesQty34">'Бланк заказа'!$X$90:$X$90</definedName>
    <definedName name="SalesQty35">'Бланк заказа'!$X$94:$X$94</definedName>
    <definedName name="SalesQty36">'Бланк заказа'!$X$99:$X$99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заказа'!$X$128:$X$128</definedName>
    <definedName name="SalesQty52">'Бланк заказа'!$X$133:$X$133</definedName>
    <definedName name="SalesQty53">'Бланк заказа'!$X$134:$X$134</definedName>
    <definedName name="SalesQty54">'Бланк заказа'!$X$138:$X$138</definedName>
    <definedName name="SalesQty55">'Бланк заказа'!$X$139:$X$139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заказа'!$X$157:$X$157</definedName>
    <definedName name="SalesQty68">'Бланк заказа'!$X$161:$X$161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заказа'!$X$191:$X$191</definedName>
    <definedName name="SalesQty83">'Бланк заказа'!$X$196:$X$196</definedName>
    <definedName name="SalesQty84">'Бланк заказа'!$X$201:$X$201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заказа'!$Y$231:$Y$231</definedName>
    <definedName name="SalesRoundBox102">'Бланк заказа'!$Y$232:$Y$232</definedName>
    <definedName name="SalesRoundBox103">'Бланк заказа'!$Y$233:$Y$233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заказа'!$Y$241:$Y$241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заказа'!$Y$247:$Y$247</definedName>
    <definedName name="SalesRoundBox112">'Бланк заказа'!$Y$252:$Y$252</definedName>
    <definedName name="SalesRoundBox113">'Бланк заказа'!$Y$253:$Y$253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заказа'!$Y$264:$Y$264</definedName>
    <definedName name="SalesRoundBox12">'Бланк заказа'!$Y$45:$Y$45</definedName>
    <definedName name="SalesRoundBox120">'Бланк заказа'!$Y$268:$Y$268</definedName>
    <definedName name="SalesRoundBox121">'Бланк заказа'!$Y$269:$Y$269</definedName>
    <definedName name="SalesRoundBox122">'Бланк заказа'!$Y$273:$Y$273</definedName>
    <definedName name="SalesRoundBox123">'Бланк заказа'!$Y$274:$Y$274</definedName>
    <definedName name="SalesRoundBox124">'Бланк заказа'!$Y$278:$Y$278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заказа'!$Y$286:$Y$286</definedName>
    <definedName name="SalesRoundBox129">'Бланк заказа'!$Y$290:$Y$290</definedName>
    <definedName name="SalesRoundBox13">'Бланк заказа'!$Y$49:$Y$49</definedName>
    <definedName name="SalesRoundBox130">'Бланк заказа'!$Y$294:$Y$294</definedName>
    <definedName name="SalesRoundBox131">'Бланк заказа'!$Y$295:$Y$295</definedName>
    <definedName name="SalesRoundBox132">'Бланк заказа'!$Y$299:$Y$299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заказа'!$Y$308:$Y$308</definedName>
    <definedName name="SalesRoundBox137">'Бланк заказа'!$Y$312:$Y$312</definedName>
    <definedName name="SalesRoundBox138">'Бланк заказа'!$Y$313:$Y$313</definedName>
    <definedName name="SalesRoundBox139">'Бланк заказа'!$Y$318:$Y$318</definedName>
    <definedName name="SalesRoundBox14">'Бланк заказа'!$Y$50:$Y$50</definedName>
    <definedName name="SalesRoundBox140">'Бланк заказа'!$Y$319:$Y$319</definedName>
    <definedName name="SalesRoundBox141">'Бланк заказа'!$Y$323:$Y$323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заказа'!$Y$334:$Y$334</definedName>
    <definedName name="SalesRoundBox148">'Бланк заказа'!$Y$335:$Y$335</definedName>
    <definedName name="SalesRoundBox149">'Бланк заказа'!$Y$336:$Y$336</definedName>
    <definedName name="SalesRoundBox15">'Бланк заказа'!$Y$51:$Y$51</definedName>
    <definedName name="SalesRoundBox150">'Бланк заказа'!$Y$337:$Y$337</definedName>
    <definedName name="SalesRoundBox151">'Бланк заказа'!$Y$338:$Y$338</definedName>
    <definedName name="SalesRoundBox152">'Бланк заказа'!$Y$342:$Y$342</definedName>
    <definedName name="SalesRoundBox153">'Бланк заказа'!$Y$343:$Y$343</definedName>
    <definedName name="SalesRoundBox154">'Бланк заказа'!$Y$347:$Y$347</definedName>
    <definedName name="SalesRoundBox155">'Бланк заказа'!$Y$348:$Y$348</definedName>
    <definedName name="SalesRoundBox156">'Бланк заказа'!$Y$349:$Y$349</definedName>
    <definedName name="SalesRoundBox157">'Бланк заказа'!$Y$350:$Y$350</definedName>
    <definedName name="SalesRoundBox158">'Бланк заказа'!$Y$351:$Y$351</definedName>
    <definedName name="SalesRoundBox159">'Бланк заказа'!$Y$352:$Y$352</definedName>
    <definedName name="SalesRoundBox16">'Бланк заказа'!$Y$52:$Y$52</definedName>
    <definedName name="SalesRoundBox160">'Бланк заказа'!$Y$353:$Y$353</definedName>
    <definedName name="SalesRoundBox161">'Бланк заказа'!$Y$357:$Y$357</definedName>
    <definedName name="SalesRoundBox162">'Бланк заказа'!$Y$358:$Y$358</definedName>
    <definedName name="SalesRoundBox163">'Бланк заказа'!$Y$364:$Y$364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заказа'!$Y$84:$Y$84</definedName>
    <definedName name="SalesRoundBox32">'Бланк заказа'!$Y$88:$Y$88</definedName>
    <definedName name="SalesRoundBox33">'Бланк заказа'!$Y$89:$Y$89</definedName>
    <definedName name="SalesRoundBox34">'Бланк заказа'!$Y$90:$Y$90</definedName>
    <definedName name="SalesRoundBox35">'Бланк заказа'!$Y$94:$Y$94</definedName>
    <definedName name="SalesRoundBox36">'Бланк заказа'!$Y$99:$Y$99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заказа'!$Y$128:$Y$128</definedName>
    <definedName name="SalesRoundBox52">'Бланк заказа'!$Y$133:$Y$133</definedName>
    <definedName name="SalesRoundBox53">'Бланк заказа'!$Y$134:$Y$134</definedName>
    <definedName name="SalesRoundBox54">'Бланк заказа'!$Y$138:$Y$138</definedName>
    <definedName name="SalesRoundBox55">'Бланк заказа'!$Y$139:$Y$139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заказа'!$Y$157:$Y$157</definedName>
    <definedName name="SalesRoundBox68">'Бланк заказа'!$Y$161:$Y$161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заказа'!$Y$191:$Y$191</definedName>
    <definedName name="SalesRoundBox83">'Бланк заказа'!$Y$196:$Y$196</definedName>
    <definedName name="SalesRoundBox84">'Бланк заказа'!$Y$201:$Y$201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заказа'!$W$231:$W$231</definedName>
    <definedName name="UnitOfMeasure102">'Бланк заказа'!$W$232:$W$232</definedName>
    <definedName name="UnitOfMeasure103">'Бланк заказа'!$W$233:$W$233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заказа'!$W$241:$W$241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заказа'!$W$247:$W$247</definedName>
    <definedName name="UnitOfMeasure112">'Бланк заказа'!$W$252:$W$252</definedName>
    <definedName name="UnitOfMeasure113">'Бланк заказа'!$W$253:$W$253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заказа'!$W$264:$W$264</definedName>
    <definedName name="UnitOfMeasure12">'Бланк заказа'!$W$45:$W$45</definedName>
    <definedName name="UnitOfMeasure120">'Бланк заказа'!$W$268:$W$268</definedName>
    <definedName name="UnitOfMeasure121">'Бланк заказа'!$W$269:$W$269</definedName>
    <definedName name="UnitOfMeasure122">'Бланк заказа'!$W$273:$W$273</definedName>
    <definedName name="UnitOfMeasure123">'Бланк заказа'!$W$274:$W$274</definedName>
    <definedName name="UnitOfMeasure124">'Бланк заказа'!$W$278:$W$278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заказа'!$W$286:$W$286</definedName>
    <definedName name="UnitOfMeasure129">'Бланк заказа'!$W$290:$W$290</definedName>
    <definedName name="UnitOfMeasure13">'Бланк заказа'!$W$49:$W$49</definedName>
    <definedName name="UnitOfMeasure130">'Бланк заказа'!$W$294:$W$294</definedName>
    <definedName name="UnitOfMeasure131">'Бланк заказа'!$W$295:$W$295</definedName>
    <definedName name="UnitOfMeasure132">'Бланк заказа'!$W$299:$W$299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заказа'!$W$308:$W$308</definedName>
    <definedName name="UnitOfMeasure137">'Бланк заказа'!$W$312:$W$312</definedName>
    <definedName name="UnitOfMeasure138">'Бланк заказа'!$W$313:$W$313</definedName>
    <definedName name="UnitOfMeasure139">'Бланк заказа'!$W$318:$W$318</definedName>
    <definedName name="UnitOfMeasure14">'Бланк заказа'!$W$50:$W$50</definedName>
    <definedName name="UnitOfMeasure140">'Бланк заказа'!$W$319:$W$319</definedName>
    <definedName name="UnitOfMeasure141">'Бланк заказа'!$W$323:$W$323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заказа'!$W$334:$W$334</definedName>
    <definedName name="UnitOfMeasure148">'Бланк заказа'!$W$335:$W$335</definedName>
    <definedName name="UnitOfMeasure149">'Бланк заказа'!$W$336:$W$336</definedName>
    <definedName name="UnitOfMeasure15">'Бланк заказа'!$W$51:$W$51</definedName>
    <definedName name="UnitOfMeasure150">'Бланк заказа'!$W$337:$W$337</definedName>
    <definedName name="UnitOfMeasure151">'Бланк заказа'!$W$338:$W$338</definedName>
    <definedName name="UnitOfMeasure152">'Бланк заказа'!$W$342:$W$342</definedName>
    <definedName name="UnitOfMeasure153">'Бланк заказа'!$W$343:$W$343</definedName>
    <definedName name="UnitOfMeasure154">'Бланк заказа'!$W$347:$W$347</definedName>
    <definedName name="UnitOfMeasure155">'Бланк заказа'!$W$348:$W$348</definedName>
    <definedName name="UnitOfMeasure156">'Бланк заказа'!$W$349:$W$349</definedName>
    <definedName name="UnitOfMeasure157">'Бланк заказа'!$W$350:$W$350</definedName>
    <definedName name="UnitOfMeasure158">'Бланк заказа'!$W$351:$W$351</definedName>
    <definedName name="UnitOfMeasure159">'Бланк заказа'!$W$352:$W$352</definedName>
    <definedName name="UnitOfMeasure16">'Бланк заказа'!$W$52:$W$52</definedName>
    <definedName name="UnitOfMeasure160">'Бланк заказа'!$W$353:$W$353</definedName>
    <definedName name="UnitOfMeasure161">'Бланк заказа'!$W$357:$W$357</definedName>
    <definedName name="UnitOfMeasure162">'Бланк заказа'!$W$358:$W$358</definedName>
    <definedName name="UnitOfMeasure163">'Бланк заказа'!$W$364:$W$364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заказа'!$W$84:$W$84</definedName>
    <definedName name="UnitOfMeasure32">'Бланк заказа'!$W$88:$W$88</definedName>
    <definedName name="UnitOfMeasure33">'Бланк заказа'!$W$89:$W$89</definedName>
    <definedName name="UnitOfMeasure34">'Бланк заказа'!$W$90:$W$90</definedName>
    <definedName name="UnitOfMeasure35">'Бланк заказа'!$W$94:$W$94</definedName>
    <definedName name="UnitOfMeasure36">'Бланк заказа'!$W$99:$W$99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заказа'!$W$128:$W$128</definedName>
    <definedName name="UnitOfMeasure52">'Бланк заказа'!$W$133:$W$133</definedName>
    <definedName name="UnitOfMeasure53">'Бланк заказа'!$W$134:$W$134</definedName>
    <definedName name="UnitOfMeasure54">'Бланк заказа'!$W$138:$W$138</definedName>
    <definedName name="UnitOfMeasure55">'Бланк заказа'!$W$139:$W$139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заказа'!$W$157:$W$157</definedName>
    <definedName name="UnitOfMeasure68">'Бланк заказа'!$W$161:$W$161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заказа'!$W$191:$W$191</definedName>
    <definedName name="UnitOfMeasure83">'Бланк заказа'!$W$196:$W$196</definedName>
    <definedName name="UnitOfMeasure84">'Бланк заказа'!$W$201:$W$201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66" i="1" l="1"/>
  <c r="X365" i="1"/>
  <c r="BO364" i="1"/>
  <c r="BM364" i="1"/>
  <c r="Y364" i="1"/>
  <c r="X377" i="1" s="1"/>
  <c r="X360" i="1"/>
  <c r="X359" i="1"/>
  <c r="BO358" i="1"/>
  <c r="BM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Y355" i="1" s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Y344" i="1" s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Y314" i="1" s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1" i="1"/>
  <c r="Y300" i="1"/>
  <c r="X300" i="1"/>
  <c r="BP299" i="1"/>
  <c r="BO299" i="1"/>
  <c r="BN299" i="1"/>
  <c r="BM299" i="1"/>
  <c r="Z299" i="1"/>
  <c r="Z300" i="1" s="1"/>
  <c r="Y299" i="1"/>
  <c r="Y301" i="1" s="1"/>
  <c r="P299" i="1"/>
  <c r="X297" i="1"/>
  <c r="Y296" i="1"/>
  <c r="X296" i="1"/>
  <c r="BP295" i="1"/>
  <c r="BO295" i="1"/>
  <c r="BN295" i="1"/>
  <c r="BM295" i="1"/>
  <c r="Z295" i="1"/>
  <c r="Y295" i="1"/>
  <c r="P295" i="1"/>
  <c r="BO294" i="1"/>
  <c r="BN294" i="1"/>
  <c r="BM294" i="1"/>
  <c r="Z294" i="1"/>
  <c r="Z296" i="1" s="1"/>
  <c r="Y294" i="1"/>
  <c r="P294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X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T377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BP274" i="1" s="1"/>
  <c r="P274" i="1"/>
  <c r="BP273" i="1"/>
  <c r="BO273" i="1"/>
  <c r="BN273" i="1"/>
  <c r="BM273" i="1"/>
  <c r="Z273" i="1"/>
  <c r="Y273" i="1"/>
  <c r="Y275" i="1" s="1"/>
  <c r="P273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1" i="1" s="1"/>
  <c r="P268" i="1"/>
  <c r="X266" i="1"/>
  <c r="X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Y266" i="1" s="1"/>
  <c r="P259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R377" i="1" s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Y248" i="1" s="1"/>
  <c r="P245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BO238" i="1"/>
  <c r="BM238" i="1"/>
  <c r="Y238" i="1"/>
  <c r="BP238" i="1" s="1"/>
  <c r="BO237" i="1"/>
  <c r="BM237" i="1"/>
  <c r="Y237" i="1"/>
  <c r="Y242" i="1" s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Y235" i="1" s="1"/>
  <c r="P231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Y229" i="1" s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1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Q377" i="1" s="1"/>
  <c r="P206" i="1"/>
  <c r="X203" i="1"/>
  <c r="X202" i="1"/>
  <c r="BO201" i="1"/>
  <c r="BM201" i="1"/>
  <c r="Y201" i="1"/>
  <c r="P377" i="1" s="1"/>
  <c r="P201" i="1"/>
  <c r="X198" i="1"/>
  <c r="X197" i="1"/>
  <c r="BO196" i="1"/>
  <c r="BM196" i="1"/>
  <c r="Y196" i="1"/>
  <c r="O377" i="1" s="1"/>
  <c r="P196" i="1"/>
  <c r="X193" i="1"/>
  <c r="X192" i="1"/>
  <c r="BO191" i="1"/>
  <c r="BM191" i="1"/>
  <c r="Y191" i="1"/>
  <c r="M377" i="1" s="1"/>
  <c r="P191" i="1"/>
  <c r="X188" i="1"/>
  <c r="X187" i="1"/>
  <c r="BO186" i="1"/>
  <c r="BM186" i="1"/>
  <c r="Y186" i="1"/>
  <c r="L377" i="1" s="1"/>
  <c r="P186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K377" i="1" s="1"/>
  <c r="P177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J377" i="1" s="1"/>
  <c r="P166" i="1"/>
  <c r="X163" i="1"/>
  <c r="X162" i="1"/>
  <c r="BO161" i="1"/>
  <c r="BM161" i="1"/>
  <c r="Y161" i="1"/>
  <c r="Y162" i="1" s="1"/>
  <c r="P161" i="1"/>
  <c r="X159" i="1"/>
  <c r="X158" i="1"/>
  <c r="BO157" i="1"/>
  <c r="BM157" i="1"/>
  <c r="Y157" i="1"/>
  <c r="BP157" i="1" s="1"/>
  <c r="P157" i="1"/>
  <c r="BP156" i="1"/>
  <c r="BO156" i="1"/>
  <c r="BN156" i="1"/>
  <c r="BM156" i="1"/>
  <c r="Z156" i="1"/>
  <c r="Y156" i="1"/>
  <c r="P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8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P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6" i="1"/>
  <c r="X125" i="1"/>
  <c r="BP124" i="1"/>
  <c r="BO124" i="1"/>
  <c r="BN124" i="1"/>
  <c r="BM124" i="1"/>
  <c r="Z124" i="1"/>
  <c r="Y124" i="1"/>
  <c r="P124" i="1"/>
  <c r="BO123" i="1"/>
  <c r="BM123" i="1"/>
  <c r="Y123" i="1"/>
  <c r="Y125" i="1" s="1"/>
  <c r="P123" i="1"/>
  <c r="BP122" i="1"/>
  <c r="BO122" i="1"/>
  <c r="BN122" i="1"/>
  <c r="BM122" i="1"/>
  <c r="Z122" i="1"/>
  <c r="Y122" i="1"/>
  <c r="Y126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H377" i="1" s="1"/>
  <c r="P111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7" i="1" s="1"/>
  <c r="P103" i="1"/>
  <c r="X101" i="1"/>
  <c r="X100" i="1"/>
  <c r="BO99" i="1"/>
  <c r="BM99" i="1"/>
  <c r="Y99" i="1"/>
  <c r="G377" i="1" s="1"/>
  <c r="P99" i="1"/>
  <c r="X96" i="1"/>
  <c r="X95" i="1"/>
  <c r="BO94" i="1"/>
  <c r="BM94" i="1"/>
  <c r="Y94" i="1"/>
  <c r="Y96" i="1" s="1"/>
  <c r="P94" i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Y92" i="1" s="1"/>
  <c r="P88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6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0" i="1" s="1"/>
  <c r="P76" i="1"/>
  <c r="BP75" i="1"/>
  <c r="BO75" i="1"/>
  <c r="BN75" i="1"/>
  <c r="BM75" i="1"/>
  <c r="Z75" i="1"/>
  <c r="Y75" i="1"/>
  <c r="P75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Y72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3" i="1" s="1"/>
  <c r="P49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7" i="1"/>
  <c r="X36" i="1"/>
  <c r="BP35" i="1"/>
  <c r="BO35" i="1"/>
  <c r="BN35" i="1"/>
  <c r="BM35" i="1"/>
  <c r="Z35" i="1"/>
  <c r="Y35" i="1"/>
  <c r="P35" i="1"/>
  <c r="BO34" i="1"/>
  <c r="BM34" i="1"/>
  <c r="Y34" i="1"/>
  <c r="Y36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67" i="1" s="1"/>
  <c r="X24" i="1"/>
  <c r="X371" i="1" s="1"/>
  <c r="BP23" i="1"/>
  <c r="BO23" i="1"/>
  <c r="BN23" i="1"/>
  <c r="BM23" i="1"/>
  <c r="Z23" i="1"/>
  <c r="Y23" i="1"/>
  <c r="P23" i="1"/>
  <c r="BO22" i="1"/>
  <c r="X369" i="1" s="1"/>
  <c r="BM22" i="1"/>
  <c r="X368" i="1" s="1"/>
  <c r="X370" i="1" s="1"/>
  <c r="Y22" i="1"/>
  <c r="B377" i="1" s="1"/>
  <c r="P22" i="1"/>
  <c r="H10" i="1"/>
  <c r="A9" i="1"/>
  <c r="A10" i="1" s="1"/>
  <c r="D7" i="1"/>
  <c r="Q6" i="1"/>
  <c r="P2" i="1"/>
  <c r="F9" i="1" l="1"/>
  <c r="J9" i="1"/>
  <c r="F10" i="1"/>
  <c r="Z22" i="1"/>
  <c r="Z24" i="1" s="1"/>
  <c r="BN22" i="1"/>
  <c r="BP22" i="1"/>
  <c r="Y25" i="1"/>
  <c r="C377" i="1"/>
  <c r="Z34" i="1"/>
  <c r="Z36" i="1" s="1"/>
  <c r="BN34" i="1"/>
  <c r="BP34" i="1"/>
  <c r="Y37" i="1"/>
  <c r="D377" i="1"/>
  <c r="Z41" i="1"/>
  <c r="Z46" i="1" s="1"/>
  <c r="BN41" i="1"/>
  <c r="Z43" i="1"/>
  <c r="BN43" i="1"/>
  <c r="Z45" i="1"/>
  <c r="BN45" i="1"/>
  <c r="Y46" i="1"/>
  <c r="Z49" i="1"/>
  <c r="Z53" i="1" s="1"/>
  <c r="BN49" i="1"/>
  <c r="BP49" i="1"/>
  <c r="Z51" i="1"/>
  <c r="BN51" i="1"/>
  <c r="Y54" i="1"/>
  <c r="Z57" i="1"/>
  <c r="Z58" i="1" s="1"/>
  <c r="BN57" i="1"/>
  <c r="Y71" i="1"/>
  <c r="BP69" i="1"/>
  <c r="BN69" i="1"/>
  <c r="Z69" i="1"/>
  <c r="Z71" i="1" s="1"/>
  <c r="H9" i="1"/>
  <c r="Y24" i="1"/>
  <c r="Y47" i="1"/>
  <c r="Y59" i="1"/>
  <c r="E377" i="1"/>
  <c r="Y65" i="1"/>
  <c r="BP62" i="1"/>
  <c r="BN62" i="1"/>
  <c r="Z62" i="1"/>
  <c r="Z64" i="1" s="1"/>
  <c r="F377" i="1"/>
  <c r="Z76" i="1"/>
  <c r="Z79" i="1" s="1"/>
  <c r="BN76" i="1"/>
  <c r="BP76" i="1"/>
  <c r="Z78" i="1"/>
  <c r="BN78" i="1"/>
  <c r="Y79" i="1"/>
  <c r="Z82" i="1"/>
  <c r="Z85" i="1" s="1"/>
  <c r="BN82" i="1"/>
  <c r="BP82" i="1"/>
  <c r="Z84" i="1"/>
  <c r="BN84" i="1"/>
  <c r="Y85" i="1"/>
  <c r="Z88" i="1"/>
  <c r="Z91" i="1" s="1"/>
  <c r="BN88" i="1"/>
  <c r="BP88" i="1"/>
  <c r="Z90" i="1"/>
  <c r="BN90" i="1"/>
  <c r="Y91" i="1"/>
  <c r="Z94" i="1"/>
  <c r="Z95" i="1" s="1"/>
  <c r="BN94" i="1"/>
  <c r="BP94" i="1"/>
  <c r="Y95" i="1"/>
  <c r="Z99" i="1"/>
  <c r="Z100" i="1" s="1"/>
  <c r="BN99" i="1"/>
  <c r="BP99" i="1"/>
  <c r="Y100" i="1"/>
  <c r="Z103" i="1"/>
  <c r="Z106" i="1" s="1"/>
  <c r="BN103" i="1"/>
  <c r="BP103" i="1"/>
  <c r="Z105" i="1"/>
  <c r="BN105" i="1"/>
  <c r="Y106" i="1"/>
  <c r="Z111" i="1"/>
  <c r="Z119" i="1" s="1"/>
  <c r="BN111" i="1"/>
  <c r="BP111" i="1"/>
  <c r="Z113" i="1"/>
  <c r="BN113" i="1"/>
  <c r="Z115" i="1"/>
  <c r="BN115" i="1"/>
  <c r="Z117" i="1"/>
  <c r="BN117" i="1"/>
  <c r="Y120" i="1"/>
  <c r="Z123" i="1"/>
  <c r="Z125" i="1" s="1"/>
  <c r="BN123" i="1"/>
  <c r="BP123" i="1"/>
  <c r="I377" i="1"/>
  <c r="Z134" i="1"/>
  <c r="Z135" i="1" s="1"/>
  <c r="BN134" i="1"/>
  <c r="BP134" i="1"/>
  <c r="Y135" i="1"/>
  <c r="Z138" i="1"/>
  <c r="Z140" i="1" s="1"/>
  <c r="BN138" i="1"/>
  <c r="BP138" i="1"/>
  <c r="BP139" i="1"/>
  <c r="BN139" i="1"/>
  <c r="Z139" i="1"/>
  <c r="Y141" i="1"/>
  <c r="Y148" i="1"/>
  <c r="BP143" i="1"/>
  <c r="BN143" i="1"/>
  <c r="Z143" i="1"/>
  <c r="Z147" i="1" s="1"/>
  <c r="Y147" i="1"/>
  <c r="Y101" i="1"/>
  <c r="Y119" i="1"/>
  <c r="BP145" i="1"/>
  <c r="BN145" i="1"/>
  <c r="Z145" i="1"/>
  <c r="Z275" i="1"/>
  <c r="Z344" i="1"/>
  <c r="Y159" i="1"/>
  <c r="Y163" i="1"/>
  <c r="Y174" i="1"/>
  <c r="Y183" i="1"/>
  <c r="Y188" i="1"/>
  <c r="Y193" i="1"/>
  <c r="Y198" i="1"/>
  <c r="Y203" i="1"/>
  <c r="Y212" i="1"/>
  <c r="Y220" i="1"/>
  <c r="Y228" i="1"/>
  <c r="Y234" i="1"/>
  <c r="Y243" i="1"/>
  <c r="Y249" i="1"/>
  <c r="Y254" i="1"/>
  <c r="Y270" i="1"/>
  <c r="Y276" i="1"/>
  <c r="Y280" i="1"/>
  <c r="Y287" i="1"/>
  <c r="BP306" i="1"/>
  <c r="BN306" i="1"/>
  <c r="Z306" i="1"/>
  <c r="Z309" i="1" s="1"/>
  <c r="BP319" i="1"/>
  <c r="BN319" i="1"/>
  <c r="Z319" i="1"/>
  <c r="Z320" i="1" s="1"/>
  <c r="Y321" i="1"/>
  <c r="Y324" i="1"/>
  <c r="BP323" i="1"/>
  <c r="BN323" i="1"/>
  <c r="Z323" i="1"/>
  <c r="Z324" i="1" s="1"/>
  <c r="Y325" i="1"/>
  <c r="Y340" i="1"/>
  <c r="BP329" i="1"/>
  <c r="BN329" i="1"/>
  <c r="Z329" i="1"/>
  <c r="W377" i="1"/>
  <c r="BP333" i="1"/>
  <c r="BN333" i="1"/>
  <c r="Z333" i="1"/>
  <c r="BP337" i="1"/>
  <c r="BN337" i="1"/>
  <c r="Z337" i="1"/>
  <c r="BP349" i="1"/>
  <c r="BN349" i="1"/>
  <c r="Z349" i="1"/>
  <c r="BP353" i="1"/>
  <c r="BN353" i="1"/>
  <c r="Z353" i="1"/>
  <c r="Y360" i="1"/>
  <c r="BP357" i="1"/>
  <c r="BN357" i="1"/>
  <c r="Z357" i="1"/>
  <c r="Y359" i="1"/>
  <c r="Z151" i="1"/>
  <c r="Z158" i="1" s="1"/>
  <c r="BN151" i="1"/>
  <c r="Z153" i="1"/>
  <c r="BN153" i="1"/>
  <c r="Z155" i="1"/>
  <c r="BN155" i="1"/>
  <c r="Z157" i="1"/>
  <c r="BN157" i="1"/>
  <c r="Z161" i="1"/>
  <c r="Z162" i="1" s="1"/>
  <c r="BN161" i="1"/>
  <c r="BP161" i="1"/>
  <c r="Z166" i="1"/>
  <c r="BN166" i="1"/>
  <c r="BP166" i="1"/>
  <c r="Z168" i="1"/>
  <c r="BN168" i="1"/>
  <c r="Z170" i="1"/>
  <c r="BN170" i="1"/>
  <c r="Z172" i="1"/>
  <c r="BN172" i="1"/>
  <c r="Y173" i="1"/>
  <c r="Z177" i="1"/>
  <c r="BN177" i="1"/>
  <c r="BP177" i="1"/>
  <c r="Z179" i="1"/>
  <c r="BN179" i="1"/>
  <c r="Z181" i="1"/>
  <c r="BN181" i="1"/>
  <c r="Y182" i="1"/>
  <c r="Z186" i="1"/>
  <c r="Z187" i="1" s="1"/>
  <c r="BN186" i="1"/>
  <c r="BP186" i="1"/>
  <c r="Y187" i="1"/>
  <c r="Z191" i="1"/>
  <c r="Z192" i="1" s="1"/>
  <c r="BN191" i="1"/>
  <c r="BP191" i="1"/>
  <c r="Y192" i="1"/>
  <c r="Z196" i="1"/>
  <c r="Z197" i="1" s="1"/>
  <c r="BN196" i="1"/>
  <c r="BP196" i="1"/>
  <c r="Y197" i="1"/>
  <c r="Z201" i="1"/>
  <c r="Z202" i="1" s="1"/>
  <c r="BN201" i="1"/>
  <c r="BP201" i="1"/>
  <c r="Y202" i="1"/>
  <c r="Z206" i="1"/>
  <c r="BN206" i="1"/>
  <c r="BP206" i="1"/>
  <c r="Z208" i="1"/>
  <c r="BN208" i="1"/>
  <c r="Z210" i="1"/>
  <c r="BN210" i="1"/>
  <c r="Y211" i="1"/>
  <c r="Z214" i="1"/>
  <c r="BN214" i="1"/>
  <c r="BP214" i="1"/>
  <c r="Z216" i="1"/>
  <c r="BN216" i="1"/>
  <c r="Z218" i="1"/>
  <c r="BN218" i="1"/>
  <c r="Z224" i="1"/>
  <c r="Z228" i="1" s="1"/>
  <c r="BN224" i="1"/>
  <c r="Z226" i="1"/>
  <c r="BN226" i="1"/>
  <c r="Z232" i="1"/>
  <c r="Z234" i="1" s="1"/>
  <c r="BN232" i="1"/>
  <c r="Z237" i="1"/>
  <c r="Z242" i="1" s="1"/>
  <c r="BN237" i="1"/>
  <c r="BP237" i="1"/>
  <c r="Z238" i="1"/>
  <c r="BN238" i="1"/>
  <c r="Z239" i="1"/>
  <c r="BN239" i="1"/>
  <c r="Z241" i="1"/>
  <c r="BN241" i="1"/>
  <c r="Z245" i="1"/>
  <c r="BN245" i="1"/>
  <c r="BP245" i="1"/>
  <c r="Z247" i="1"/>
  <c r="BN247" i="1"/>
  <c r="Z252" i="1"/>
  <c r="Z254" i="1" s="1"/>
  <c r="BN252" i="1"/>
  <c r="BP252" i="1"/>
  <c r="Y255" i="1"/>
  <c r="S377" i="1"/>
  <c r="Z260" i="1"/>
  <c r="Z265" i="1" s="1"/>
  <c r="BN260" i="1"/>
  <c r="Z262" i="1"/>
  <c r="BN262" i="1"/>
  <c r="Z264" i="1"/>
  <c r="BN264" i="1"/>
  <c r="Y265" i="1"/>
  <c r="Z268" i="1"/>
  <c r="Z270" i="1" s="1"/>
  <c r="BN268" i="1"/>
  <c r="BP268" i="1"/>
  <c r="Z274" i="1"/>
  <c r="BN274" i="1"/>
  <c r="Z278" i="1"/>
  <c r="Z279" i="1" s="1"/>
  <c r="BN278" i="1"/>
  <c r="BP278" i="1"/>
  <c r="Z283" i="1"/>
  <c r="Z287" i="1" s="1"/>
  <c r="BN283" i="1"/>
  <c r="BP283" i="1"/>
  <c r="Z285" i="1"/>
  <c r="BN285" i="1"/>
  <c r="Y288" i="1"/>
  <c r="Y297" i="1"/>
  <c r="BP294" i="1"/>
  <c r="Y309" i="1"/>
  <c r="BP308" i="1"/>
  <c r="BN308" i="1"/>
  <c r="Z308" i="1"/>
  <c r="Y310" i="1"/>
  <c r="Y315" i="1"/>
  <c r="BP312" i="1"/>
  <c r="BN312" i="1"/>
  <c r="Z312" i="1"/>
  <c r="Z314" i="1" s="1"/>
  <c r="V377" i="1"/>
  <c r="BP331" i="1"/>
  <c r="BN331" i="1"/>
  <c r="Z331" i="1"/>
  <c r="BP335" i="1"/>
  <c r="BN335" i="1"/>
  <c r="Z335" i="1"/>
  <c r="Y339" i="1"/>
  <c r="BP343" i="1"/>
  <c r="BN343" i="1"/>
  <c r="Z343" i="1"/>
  <c r="Y345" i="1"/>
  <c r="Y354" i="1"/>
  <c r="BP347" i="1"/>
  <c r="BN347" i="1"/>
  <c r="Z347" i="1"/>
  <c r="Z354" i="1" s="1"/>
  <c r="BP351" i="1"/>
  <c r="BN351" i="1"/>
  <c r="Z351" i="1"/>
  <c r="Z358" i="1"/>
  <c r="BN358" i="1"/>
  <c r="Y366" i="1"/>
  <c r="U377" i="1"/>
  <c r="Y320" i="1"/>
  <c r="Z364" i="1"/>
  <c r="Z365" i="1" s="1"/>
  <c r="BN364" i="1"/>
  <c r="BP364" i="1"/>
  <c r="Y365" i="1"/>
  <c r="Z359" i="1" l="1"/>
  <c r="Y367" i="1"/>
  <c r="Y368" i="1"/>
  <c r="Z248" i="1"/>
  <c r="Z220" i="1"/>
  <c r="Z211" i="1"/>
  <c r="Z182" i="1"/>
  <c r="Z173" i="1"/>
  <c r="Z339" i="1"/>
  <c r="Y371" i="1"/>
  <c r="Y369" i="1"/>
  <c r="Z372" i="1"/>
  <c r="Y370" i="1" l="1"/>
</calcChain>
</file>

<file path=xl/sharedStrings.xml><?xml version="1.0" encoding="utf-8"?>
<sst xmlns="http://schemas.openxmlformats.org/spreadsheetml/2006/main" count="1564" uniqueCount="577">
  <si>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</si>
  <si>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</si>
  <si>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</si>
  <si>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</si>
  <si>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</si>
  <si>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</si>
  <si>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</si>
  <si>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</si>
  <si>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</si>
  <si>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</si>
  <si>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</si>
  <si>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</si>
  <si>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</si>
  <si>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</si>
  <si>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</si>
  <si>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</si>
  <si>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</si>
  <si>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</si>
  <si>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</si>
  <si>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</si>
  <si>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</si>
  <si>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</si>
  <si>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</si>
  <si>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</si>
  <si>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</si>
  <si>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</si>
  <si>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</si>
  <si>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</si>
  <si>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</si>
  <si>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</si>
  <si>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</si>
  <si>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</si>
  <si>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</si>
  <si>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</si>
  <si>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</si>
  <si>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</si>
  <si>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</si>
  <si>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</si>
  <si>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</si>
  <si>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</si>
  <si>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</si>
  <si>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</si>
  <si>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</si>
  <si>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</si>
  <si>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</si>
  <si>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</si>
  <si>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</si>
  <si>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</si>
  <si>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</si>
  <si>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</si>
  <si>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</si>
  <si>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</si>
  <si>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</si>
  <si>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</si>
  <si>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</si>
  <si>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</si>
  <si>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</si>
  <si>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</si>
  <si>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</si>
  <si>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</si>
  <si>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</si>
  <si>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</si>
  <si>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</si>
  <si>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</si>
  <si>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</si>
  <si>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</si>
  <si>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</si>
  <si>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</si>
  <si>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</si>
  <si>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</si>
  <si>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</si>
  <si>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</si>
  <si>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</si>
  <si>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</si>
  <si>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</si>
  <si>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</si>
  <si>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</si>
  <si>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</si>
  <si>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</si>
  <si>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</si>
  <si>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</si>
  <si>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</si>
  <si>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</si>
  <si>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</si>
  <si>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</si>
  <si>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</si>
  <si>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</si>
  <si>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</si>
  <si>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</si>
  <si>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</si>
  <si>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</si>
  <si>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</si>
  <si>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</si>
  <si>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</si>
  <si>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</si>
  <si>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</si>
  <si>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</si>
  <si>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</si>
  <si>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</si>
  <si>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</si>
  <si>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</si>
  <si>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</si>
  <si>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</si>
  <si>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</si>
  <si>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</si>
  <si>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</si>
  <si>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</si>
  <si>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</si>
  <si>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</si>
  <si>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</si>
  <si>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</si>
  <si>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</si>
  <si>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</si>
  <si>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</si>
  <si>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</si>
  <si>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</si>
  <si>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</si>
  <si>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</si>
  <si>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</si>
  <si>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</si>
  <si>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</si>
  <si>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</si>
  <si>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</si>
  <si>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</si>
  <si>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</si>
  <si>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</si>
  <si>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</si>
  <si>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</si>
  <si>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</si>
  <si>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</si>
  <si>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</si>
  <si>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</si>
  <si>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</si>
  <si>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</si>
  <si>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</si>
  <si>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</si>
  <si>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</si>
  <si>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</si>
  <si>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</si>
  <si>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</si>
  <si>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</si>
  <si>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</si>
  <si>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</si>
  <si>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Д-RU.РА03.В.39392/23</t>
  </si>
  <si>
    <t>P003986</t>
  </si>
  <si>
    <t>Сосиски «Молокуши (Вязанка Молочные)» Весовой п/а мгс ТМ «Вязанка»</t>
  </si>
  <si>
    <t>SU001718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</si>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</sst>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2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59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1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9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9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6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4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3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92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5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5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7"/>
  <sheetViews>
    <sheetView showGridLines="0" tabSelected="1" topLeftCell="A356" zoomScaleNormal="100" zoomScaleSheetLayoutView="100" workbookViewId="0">
      <selection activeCell="AA373" sqref="AA373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97" customWidth="1"/>
    <col min="19" max="19" width="6.140625" style="3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97" customWidth="1"/>
    <col min="25" max="25" width="11" style="397" customWidth="1"/>
    <col min="26" max="26" width="10" style="397" customWidth="1"/>
    <col min="27" max="27" width="11.5703125" style="397" customWidth="1"/>
    <col min="28" max="28" width="10.42578125" style="397" customWidth="1"/>
    <col min="29" max="29" width="30" style="397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97" customWidth="1"/>
    <col min="34" max="34" width="9.140625" style="397" customWidth="1"/>
    <col min="35" max="16384" width="9.140625" style="397"/>
  </cols>
  <sheetData>
    <row r="1" spans="1:32" s="23" customFormat="1" ht="45" customHeight="1" x14ac:dyDescent="0.2">
      <c r="A1" s="42"/>
      <c r="B1" s="42"/>
      <c r="C1" s="42"/>
      <c r="D1" s="457" t="s">
        <v>0</v>
      </c>
      <c r="E1" s="425"/>
      <c r="F1" s="425"/>
      <c r="G1" s="12" t="s">
        <v>1</v>
      </c>
      <c r="H1" s="457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20"/>
      <c r="R2" s="420"/>
      <c r="S2" s="420"/>
      <c r="T2" s="420"/>
      <c r="U2" s="420"/>
      <c r="V2" s="420"/>
      <c r="W2" s="420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20"/>
      <c r="Q3" s="420"/>
      <c r="R3" s="420"/>
      <c r="S3" s="420"/>
      <c r="T3" s="420"/>
      <c r="U3" s="420"/>
      <c r="V3" s="420"/>
      <c r="W3" s="420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95" t="s">
        <v>8</v>
      </c>
      <c r="B5" s="496"/>
      <c r="C5" s="497"/>
      <c r="D5" s="463"/>
      <c r="E5" s="464"/>
      <c r="F5" s="630" t="s">
        <v>9</v>
      </c>
      <c r="G5" s="497"/>
      <c r="H5" s="463"/>
      <c r="I5" s="585"/>
      <c r="J5" s="585"/>
      <c r="K5" s="585"/>
      <c r="L5" s="585"/>
      <c r="M5" s="464"/>
      <c r="N5" s="59"/>
      <c r="P5" s="25" t="s">
        <v>10</v>
      </c>
      <c r="Q5" s="644">
        <v>45854</v>
      </c>
      <c r="R5" s="494"/>
      <c r="T5" s="529" t="s">
        <v>11</v>
      </c>
      <c r="U5" s="530"/>
      <c r="V5" s="532" t="s">
        <v>12</v>
      </c>
      <c r="W5" s="494"/>
      <c r="AB5" s="52"/>
      <c r="AC5" s="52"/>
      <c r="AD5" s="52"/>
      <c r="AE5" s="52"/>
    </row>
    <row r="6" spans="1:32" s="23" customFormat="1" ht="24" customHeight="1" x14ac:dyDescent="0.2">
      <c r="A6" s="495" t="s">
        <v>13</v>
      </c>
      <c r="B6" s="496"/>
      <c r="C6" s="497"/>
      <c r="D6" s="587" t="s">
        <v>14</v>
      </c>
      <c r="E6" s="588"/>
      <c r="F6" s="588"/>
      <c r="G6" s="588"/>
      <c r="H6" s="588"/>
      <c r="I6" s="588"/>
      <c r="J6" s="588"/>
      <c r="K6" s="588"/>
      <c r="L6" s="588"/>
      <c r="M6" s="494"/>
      <c r="N6" s="60"/>
      <c r="P6" s="25" t="s">
        <v>15</v>
      </c>
      <c r="Q6" s="647" t="str">
        <f>IF(Q5=0," ",CHOOSE(WEEKDAY(Q5,2),"Понедельник","Вторник","Среда","Четверг","Пятница","Суббота","Воскресенье"))</f>
        <v>Среда</v>
      </c>
      <c r="R6" s="412"/>
      <c r="T6" s="534" t="s">
        <v>16</v>
      </c>
      <c r="U6" s="530"/>
      <c r="V6" s="574" t="s">
        <v>17</v>
      </c>
      <c r="W6" s="439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1"/>
      <c r="P7" s="25"/>
      <c r="Q7" s="43"/>
      <c r="R7" s="43"/>
      <c r="T7" s="420"/>
      <c r="U7" s="530"/>
      <c r="V7" s="575"/>
      <c r="W7" s="576"/>
      <c r="AB7" s="52"/>
      <c r="AC7" s="52"/>
      <c r="AD7" s="52"/>
      <c r="AE7" s="52"/>
    </row>
    <row r="8" spans="1:32" s="23" customFormat="1" ht="25.5" customHeight="1" x14ac:dyDescent="0.2">
      <c r="A8" s="655" t="s">
        <v>18</v>
      </c>
      <c r="B8" s="416"/>
      <c r="C8" s="417"/>
      <c r="D8" s="450" t="s">
        <v>19</v>
      </c>
      <c r="E8" s="451"/>
      <c r="F8" s="451"/>
      <c r="G8" s="451"/>
      <c r="H8" s="451"/>
      <c r="I8" s="451"/>
      <c r="J8" s="451"/>
      <c r="K8" s="451"/>
      <c r="L8" s="451"/>
      <c r="M8" s="452"/>
      <c r="N8" s="62"/>
      <c r="P8" s="25" t="s">
        <v>20</v>
      </c>
      <c r="Q8" s="502">
        <v>0.41666666666666669</v>
      </c>
      <c r="R8" s="447"/>
      <c r="T8" s="420"/>
      <c r="U8" s="530"/>
      <c r="V8" s="575"/>
      <c r="W8" s="576"/>
      <c r="AB8" s="52"/>
      <c r="AC8" s="52"/>
      <c r="AD8" s="52"/>
      <c r="AE8" s="52"/>
    </row>
    <row r="9" spans="1:32" s="23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0"/>
      <c r="C9" s="420"/>
      <c r="D9" s="508"/>
      <c r="E9" s="414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0"/>
      <c r="H9" s="413" t="str">
        <f>IF(AND($A$9="Тип доверенности/получателя при получении в адресе перегруза:",$D$9="Разовая доверенность"),"Введите ФИО","")</f>
        <v/>
      </c>
      <c r="I9" s="414"/>
      <c r="J9" s="4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4"/>
      <c r="L9" s="414"/>
      <c r="M9" s="414"/>
      <c r="N9" s="401"/>
      <c r="P9" s="27" t="s">
        <v>21</v>
      </c>
      <c r="Q9" s="489"/>
      <c r="R9" s="490"/>
      <c r="T9" s="420"/>
      <c r="U9" s="530"/>
      <c r="V9" s="577"/>
      <c r="W9" s="578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0"/>
      <c r="C10" s="420"/>
      <c r="D10" s="508"/>
      <c r="E10" s="414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0"/>
      <c r="H10" s="568" t="str">
        <f>IFERROR(VLOOKUP($D$10,Proxy,2,FALSE),"")</f>
        <v/>
      </c>
      <c r="I10" s="420"/>
      <c r="J10" s="420"/>
      <c r="K10" s="420"/>
      <c r="L10" s="420"/>
      <c r="M10" s="420"/>
      <c r="N10" s="400"/>
      <c r="P10" s="27" t="s">
        <v>22</v>
      </c>
      <c r="Q10" s="535"/>
      <c r="R10" s="536"/>
      <c r="U10" s="25" t="s">
        <v>23</v>
      </c>
      <c r="V10" s="438" t="s">
        <v>24</v>
      </c>
      <c r="W10" s="439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93"/>
      <c r="R11" s="494"/>
      <c r="U11" s="25" t="s">
        <v>27</v>
      </c>
      <c r="V11" s="601" t="s">
        <v>28</v>
      </c>
      <c r="W11" s="490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27" t="s">
        <v>29</v>
      </c>
      <c r="B12" s="496"/>
      <c r="C12" s="496"/>
      <c r="D12" s="496"/>
      <c r="E12" s="496"/>
      <c r="F12" s="496"/>
      <c r="G12" s="496"/>
      <c r="H12" s="496"/>
      <c r="I12" s="496"/>
      <c r="J12" s="496"/>
      <c r="K12" s="496"/>
      <c r="L12" s="496"/>
      <c r="M12" s="497"/>
      <c r="N12" s="63"/>
      <c r="P12" s="25" t="s">
        <v>30</v>
      </c>
      <c r="Q12" s="502"/>
      <c r="R12" s="447"/>
      <c r="S12" s="24"/>
      <c r="U12" s="25" t="s">
        <v>31</v>
      </c>
      <c r="V12" s="601" t="s">
        <v>32</v>
      </c>
      <c r="W12" s="490"/>
      <c r="AB12" s="52"/>
      <c r="AC12" s="52"/>
      <c r="AD12" s="52"/>
      <c r="AE12" s="52"/>
    </row>
    <row r="13" spans="1:32" s="23" customFormat="1" ht="23.25" customHeight="1" x14ac:dyDescent="0.2">
      <c r="A13" s="527" t="s">
        <v>33</v>
      </c>
      <c r="B13" s="496"/>
      <c r="C13" s="496"/>
      <c r="D13" s="496"/>
      <c r="E13" s="496"/>
      <c r="F13" s="496"/>
      <c r="G13" s="496"/>
      <c r="H13" s="496"/>
      <c r="I13" s="496"/>
      <c r="J13" s="496"/>
      <c r="K13" s="496"/>
      <c r="L13" s="496"/>
      <c r="M13" s="497"/>
      <c r="N13" s="63"/>
      <c r="O13" s="27"/>
      <c r="P13" s="27" t="s">
        <v>34</v>
      </c>
      <c r="Q13" s="601"/>
      <c r="R13" s="490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27" t="s">
        <v>35</v>
      </c>
      <c r="B14" s="496"/>
      <c r="C14" s="496"/>
      <c r="D14" s="496"/>
      <c r="E14" s="496"/>
      <c r="F14" s="496"/>
      <c r="G14" s="496"/>
      <c r="H14" s="496"/>
      <c r="I14" s="496"/>
      <c r="J14" s="496"/>
      <c r="K14" s="496"/>
      <c r="L14" s="496"/>
      <c r="M14" s="497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46" t="s">
        <v>36</v>
      </c>
      <c r="B15" s="496"/>
      <c r="C15" s="496"/>
      <c r="D15" s="496"/>
      <c r="E15" s="496"/>
      <c r="F15" s="496"/>
      <c r="G15" s="496"/>
      <c r="H15" s="496"/>
      <c r="I15" s="496"/>
      <c r="J15" s="496"/>
      <c r="K15" s="496"/>
      <c r="L15" s="496"/>
      <c r="M15" s="497"/>
      <c r="N15" s="64"/>
      <c r="P15" s="517" t="s">
        <v>37</v>
      </c>
      <c r="Q15" s="425"/>
      <c r="R15" s="425"/>
      <c r="S15" s="425"/>
      <c r="T15" s="425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18"/>
      <c r="Q16" s="518"/>
      <c r="R16" s="518"/>
      <c r="S16" s="518"/>
      <c r="T16" s="5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2" t="s">
        <v>38</v>
      </c>
      <c r="B17" s="432" t="s">
        <v>39</v>
      </c>
      <c r="C17" s="506" t="s">
        <v>40</v>
      </c>
      <c r="D17" s="432" t="s">
        <v>41</v>
      </c>
      <c r="E17" s="478"/>
      <c r="F17" s="432" t="s">
        <v>42</v>
      </c>
      <c r="G17" s="432" t="s">
        <v>43</v>
      </c>
      <c r="H17" s="432" t="s">
        <v>44</v>
      </c>
      <c r="I17" s="432" t="s">
        <v>45</v>
      </c>
      <c r="J17" s="432" t="s">
        <v>46</v>
      </c>
      <c r="K17" s="432" t="s">
        <v>47</v>
      </c>
      <c r="L17" s="432" t="s">
        <v>48</v>
      </c>
      <c r="M17" s="432" t="s">
        <v>49</v>
      </c>
      <c r="N17" s="432" t="s">
        <v>50</v>
      </c>
      <c r="O17" s="432" t="s">
        <v>51</v>
      </c>
      <c r="P17" s="432" t="s">
        <v>52</v>
      </c>
      <c r="Q17" s="477"/>
      <c r="R17" s="477"/>
      <c r="S17" s="477"/>
      <c r="T17" s="478"/>
      <c r="U17" s="652" t="s">
        <v>53</v>
      </c>
      <c r="V17" s="497"/>
      <c r="W17" s="432" t="s">
        <v>54</v>
      </c>
      <c r="X17" s="432" t="s">
        <v>55</v>
      </c>
      <c r="Y17" s="653" t="s">
        <v>56</v>
      </c>
      <c r="Z17" s="583" t="s">
        <v>57</v>
      </c>
      <c r="AA17" s="569" t="s">
        <v>58</v>
      </c>
      <c r="AB17" s="569" t="s">
        <v>59</v>
      </c>
      <c r="AC17" s="569" t="s">
        <v>60</v>
      </c>
      <c r="AD17" s="569" t="s">
        <v>61</v>
      </c>
      <c r="AE17" s="625"/>
      <c r="AF17" s="626"/>
      <c r="AG17" s="67"/>
      <c r="BD17" s="66" t="s">
        <v>62</v>
      </c>
    </row>
    <row r="18" spans="1:68" ht="14.25" customHeight="1" x14ac:dyDescent="0.2">
      <c r="A18" s="433"/>
      <c r="B18" s="433"/>
      <c r="C18" s="433"/>
      <c r="D18" s="479"/>
      <c r="E18" s="481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79"/>
      <c r="Q18" s="480"/>
      <c r="R18" s="480"/>
      <c r="S18" s="480"/>
      <c r="T18" s="481"/>
      <c r="U18" s="68" t="s">
        <v>63</v>
      </c>
      <c r="V18" s="68" t="s">
        <v>64</v>
      </c>
      <c r="W18" s="433"/>
      <c r="X18" s="433"/>
      <c r="Y18" s="654"/>
      <c r="Z18" s="584"/>
      <c r="AA18" s="570"/>
      <c r="AB18" s="570"/>
      <c r="AC18" s="570"/>
      <c r="AD18" s="627"/>
      <c r="AE18" s="628"/>
      <c r="AF18" s="629"/>
      <c r="AG18" s="67"/>
      <c r="BD18" s="66"/>
    </row>
    <row r="19" spans="1:68" ht="27.75" customHeight="1" x14ac:dyDescent="0.2">
      <c r="A19" s="461" t="s">
        <v>65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9"/>
      <c r="AB19" s="49"/>
      <c r="AC19" s="49"/>
    </row>
    <row r="20" spans="1:68" ht="16.5" customHeight="1" x14ac:dyDescent="0.25">
      <c r="A20" s="434" t="s">
        <v>65</v>
      </c>
      <c r="B20" s="420"/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/>
      <c r="U20" s="420"/>
      <c r="V20" s="420"/>
      <c r="W20" s="420"/>
      <c r="X20" s="420"/>
      <c r="Y20" s="420"/>
      <c r="Z20" s="420"/>
      <c r="AA20" s="398"/>
      <c r="AB20" s="398"/>
      <c r="AC20" s="398"/>
    </row>
    <row r="21" spans="1:68" ht="14.25" customHeight="1" x14ac:dyDescent="0.25">
      <c r="A21" s="422" t="s">
        <v>66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  <c r="V21" s="420"/>
      <c r="W21" s="420"/>
      <c r="X21" s="420"/>
      <c r="Y21" s="420"/>
      <c r="Z21" s="420"/>
      <c r="AA21" s="399"/>
      <c r="AB21" s="399"/>
      <c r="AC21" s="399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11">
        <v>4680115886230</v>
      </c>
      <c r="E22" s="412"/>
      <c r="F22" s="402">
        <v>0.3</v>
      </c>
      <c r="G22" s="33">
        <v>6</v>
      </c>
      <c r="H22" s="402">
        <v>1.8</v>
      </c>
      <c r="I22" s="402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08"/>
      <c r="R22" s="408"/>
      <c r="S22" s="408"/>
      <c r="T22" s="409"/>
      <c r="U22" s="35"/>
      <c r="V22" s="35"/>
      <c r="W22" s="36" t="s">
        <v>71</v>
      </c>
      <c r="X22" s="403">
        <v>0</v>
      </c>
      <c r="Y22" s="404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11">
        <v>4680115886247</v>
      </c>
      <c r="E23" s="412"/>
      <c r="F23" s="402">
        <v>0.3</v>
      </c>
      <c r="G23" s="33">
        <v>6</v>
      </c>
      <c r="H23" s="402">
        <v>1.8</v>
      </c>
      <c r="I23" s="402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2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08"/>
      <c r="R23" s="408"/>
      <c r="S23" s="408"/>
      <c r="T23" s="409"/>
      <c r="U23" s="35"/>
      <c r="V23" s="35"/>
      <c r="W23" s="36" t="s">
        <v>71</v>
      </c>
      <c r="X23" s="403">
        <v>0</v>
      </c>
      <c r="Y23" s="404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19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0"/>
      <c r="N24" s="420"/>
      <c r="O24" s="421"/>
      <c r="P24" s="415" t="s">
        <v>76</v>
      </c>
      <c r="Q24" s="416"/>
      <c r="R24" s="416"/>
      <c r="S24" s="416"/>
      <c r="T24" s="416"/>
      <c r="U24" s="416"/>
      <c r="V24" s="417"/>
      <c r="W24" s="38" t="s">
        <v>77</v>
      </c>
      <c r="X24" s="405">
        <f>IFERROR(X22/H22,"0")+IFERROR(X23/H23,"0")</f>
        <v>0</v>
      </c>
      <c r="Y24" s="405">
        <f>IFERROR(Y22/H22,"0")+IFERROR(Y23/H23,"0")</f>
        <v>0</v>
      </c>
      <c r="Z24" s="405">
        <f>IFERROR(IF(Z22="",0,Z22),"0")+IFERROR(IF(Z23="",0,Z23),"0")</f>
        <v>0</v>
      </c>
      <c r="AA24" s="406"/>
      <c r="AB24" s="406"/>
      <c r="AC24" s="406"/>
    </row>
    <row r="25" spans="1:68" x14ac:dyDescent="0.2">
      <c r="A25" s="420"/>
      <c r="B25" s="420"/>
      <c r="C25" s="420"/>
      <c r="D25" s="420"/>
      <c r="E25" s="420"/>
      <c r="F25" s="420"/>
      <c r="G25" s="420"/>
      <c r="H25" s="420"/>
      <c r="I25" s="420"/>
      <c r="J25" s="420"/>
      <c r="K25" s="420"/>
      <c r="L25" s="420"/>
      <c r="M25" s="420"/>
      <c r="N25" s="420"/>
      <c r="O25" s="421"/>
      <c r="P25" s="415" t="s">
        <v>76</v>
      </c>
      <c r="Q25" s="416"/>
      <c r="R25" s="416"/>
      <c r="S25" s="416"/>
      <c r="T25" s="416"/>
      <c r="U25" s="416"/>
      <c r="V25" s="417"/>
      <c r="W25" s="38" t="s">
        <v>71</v>
      </c>
      <c r="X25" s="405">
        <f>IFERROR(SUM(X22:X23),"0")</f>
        <v>0</v>
      </c>
      <c r="Y25" s="405">
        <f>IFERROR(SUM(Y22:Y23),"0")</f>
        <v>0</v>
      </c>
      <c r="Z25" s="38"/>
      <c r="AA25" s="406"/>
      <c r="AB25" s="406"/>
      <c r="AC25" s="406"/>
    </row>
    <row r="26" spans="1:68" ht="14.25" customHeight="1" x14ac:dyDescent="0.25">
      <c r="A26" s="422" t="s">
        <v>78</v>
      </c>
      <c r="B26" s="420"/>
      <c r="C26" s="420"/>
      <c r="D26" s="420"/>
      <c r="E26" s="420"/>
      <c r="F26" s="420"/>
      <c r="G26" s="420"/>
      <c r="H26" s="420"/>
      <c r="I26" s="420"/>
      <c r="J26" s="420"/>
      <c r="K26" s="420"/>
      <c r="L26" s="420"/>
      <c r="M26" s="420"/>
      <c r="N26" s="420"/>
      <c r="O26" s="420"/>
      <c r="P26" s="420"/>
      <c r="Q26" s="420"/>
      <c r="R26" s="420"/>
      <c r="S26" s="420"/>
      <c r="T26" s="420"/>
      <c r="U26" s="420"/>
      <c r="V26" s="420"/>
      <c r="W26" s="420"/>
      <c r="X26" s="420"/>
      <c r="Y26" s="420"/>
      <c r="Z26" s="420"/>
      <c r="AA26" s="399"/>
      <c r="AB26" s="399"/>
      <c r="AC26" s="399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11">
        <v>4607091388503</v>
      </c>
      <c r="E27" s="412"/>
      <c r="F27" s="402">
        <v>0.05</v>
      </c>
      <c r="G27" s="33">
        <v>12</v>
      </c>
      <c r="H27" s="402">
        <v>0.6</v>
      </c>
      <c r="I27" s="402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08"/>
      <c r="R27" s="408"/>
      <c r="S27" s="408"/>
      <c r="T27" s="409"/>
      <c r="U27" s="35"/>
      <c r="V27" s="35"/>
      <c r="W27" s="36" t="s">
        <v>71</v>
      </c>
      <c r="X27" s="403">
        <v>0</v>
      </c>
      <c r="Y27" s="404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19"/>
      <c r="B28" s="420"/>
      <c r="C28" s="420"/>
      <c r="D28" s="420"/>
      <c r="E28" s="420"/>
      <c r="F28" s="420"/>
      <c r="G28" s="420"/>
      <c r="H28" s="420"/>
      <c r="I28" s="420"/>
      <c r="J28" s="420"/>
      <c r="K28" s="420"/>
      <c r="L28" s="420"/>
      <c r="M28" s="420"/>
      <c r="N28" s="420"/>
      <c r="O28" s="421"/>
      <c r="P28" s="415" t="s">
        <v>76</v>
      </c>
      <c r="Q28" s="416"/>
      <c r="R28" s="416"/>
      <c r="S28" s="416"/>
      <c r="T28" s="416"/>
      <c r="U28" s="416"/>
      <c r="V28" s="417"/>
      <c r="W28" s="38" t="s">
        <v>77</v>
      </c>
      <c r="X28" s="405">
        <f>IFERROR(X27/H27,"0")</f>
        <v>0</v>
      </c>
      <c r="Y28" s="405">
        <f>IFERROR(Y27/H27,"0")</f>
        <v>0</v>
      </c>
      <c r="Z28" s="405">
        <f>IFERROR(IF(Z27="",0,Z27),"0")</f>
        <v>0</v>
      </c>
      <c r="AA28" s="406"/>
      <c r="AB28" s="406"/>
      <c r="AC28" s="406"/>
    </row>
    <row r="29" spans="1:68" x14ac:dyDescent="0.2">
      <c r="A29" s="420"/>
      <c r="B29" s="420"/>
      <c r="C29" s="420"/>
      <c r="D29" s="420"/>
      <c r="E29" s="420"/>
      <c r="F29" s="420"/>
      <c r="G29" s="420"/>
      <c r="H29" s="420"/>
      <c r="I29" s="420"/>
      <c r="J29" s="420"/>
      <c r="K29" s="420"/>
      <c r="L29" s="420"/>
      <c r="M29" s="420"/>
      <c r="N29" s="420"/>
      <c r="O29" s="421"/>
      <c r="P29" s="415" t="s">
        <v>76</v>
      </c>
      <c r="Q29" s="416"/>
      <c r="R29" s="416"/>
      <c r="S29" s="416"/>
      <c r="T29" s="416"/>
      <c r="U29" s="416"/>
      <c r="V29" s="417"/>
      <c r="W29" s="38" t="s">
        <v>71</v>
      </c>
      <c r="X29" s="405">
        <f>IFERROR(SUM(X27:X27),"0")</f>
        <v>0</v>
      </c>
      <c r="Y29" s="405">
        <f>IFERROR(SUM(Y27:Y27),"0")</f>
        <v>0</v>
      </c>
      <c r="Z29" s="38"/>
      <c r="AA29" s="406"/>
      <c r="AB29" s="406"/>
      <c r="AC29" s="406"/>
    </row>
    <row r="30" spans="1:68" ht="27.75" customHeight="1" x14ac:dyDescent="0.2">
      <c r="A30" s="461" t="s">
        <v>84</v>
      </c>
      <c r="B30" s="462"/>
      <c r="C30" s="462"/>
      <c r="D30" s="462"/>
      <c r="E30" s="462"/>
      <c r="F30" s="462"/>
      <c r="G30" s="462"/>
      <c r="H30" s="462"/>
      <c r="I30" s="462"/>
      <c r="J30" s="462"/>
      <c r="K30" s="462"/>
      <c r="L30" s="462"/>
      <c r="M30" s="462"/>
      <c r="N30" s="462"/>
      <c r="O30" s="462"/>
      <c r="P30" s="462"/>
      <c r="Q30" s="462"/>
      <c r="R30" s="462"/>
      <c r="S30" s="462"/>
      <c r="T30" s="462"/>
      <c r="U30" s="462"/>
      <c r="V30" s="462"/>
      <c r="W30" s="462"/>
      <c r="X30" s="462"/>
      <c r="Y30" s="462"/>
      <c r="Z30" s="462"/>
      <c r="AA30" s="49"/>
      <c r="AB30" s="49"/>
      <c r="AC30" s="49"/>
    </row>
    <row r="31" spans="1:68" ht="16.5" customHeight="1" x14ac:dyDescent="0.25">
      <c r="A31" s="434" t="s">
        <v>85</v>
      </c>
      <c r="B31" s="420"/>
      <c r="C31" s="420"/>
      <c r="D31" s="420"/>
      <c r="E31" s="420"/>
      <c r="F31" s="420"/>
      <c r="G31" s="420"/>
      <c r="H31" s="420"/>
      <c r="I31" s="420"/>
      <c r="J31" s="420"/>
      <c r="K31" s="420"/>
      <c r="L31" s="420"/>
      <c r="M31" s="420"/>
      <c r="N31" s="420"/>
      <c r="O31" s="420"/>
      <c r="P31" s="420"/>
      <c r="Q31" s="420"/>
      <c r="R31" s="420"/>
      <c r="S31" s="420"/>
      <c r="T31" s="420"/>
      <c r="U31" s="420"/>
      <c r="V31" s="420"/>
      <c r="W31" s="420"/>
      <c r="X31" s="420"/>
      <c r="Y31" s="420"/>
      <c r="Z31" s="420"/>
      <c r="AA31" s="398"/>
      <c r="AB31" s="398"/>
      <c r="AC31" s="398"/>
    </row>
    <row r="32" spans="1:68" ht="14.25" customHeight="1" x14ac:dyDescent="0.25">
      <c r="A32" s="422" t="s">
        <v>86</v>
      </c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0"/>
      <c r="N32" s="420"/>
      <c r="O32" s="420"/>
      <c r="P32" s="420"/>
      <c r="Q32" s="420"/>
      <c r="R32" s="420"/>
      <c r="S32" s="420"/>
      <c r="T32" s="420"/>
      <c r="U32" s="420"/>
      <c r="V32" s="420"/>
      <c r="W32" s="420"/>
      <c r="X32" s="420"/>
      <c r="Y32" s="420"/>
      <c r="Z32" s="420"/>
      <c r="AA32" s="399"/>
      <c r="AB32" s="399"/>
      <c r="AC32" s="399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11">
        <v>4607091385670</v>
      </c>
      <c r="E33" s="412"/>
      <c r="F33" s="402">
        <v>1.35</v>
      </c>
      <c r="G33" s="33">
        <v>8</v>
      </c>
      <c r="H33" s="402">
        <v>10.8</v>
      </c>
      <c r="I33" s="402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08"/>
      <c r="R33" s="408"/>
      <c r="S33" s="408"/>
      <c r="T33" s="409"/>
      <c r="U33" s="35"/>
      <c r="V33" s="35"/>
      <c r="W33" s="36" t="s">
        <v>71</v>
      </c>
      <c r="X33" s="403">
        <v>0</v>
      </c>
      <c r="Y33" s="404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411">
        <v>4607091385687</v>
      </c>
      <c r="E34" s="412"/>
      <c r="F34" s="402">
        <v>0.4</v>
      </c>
      <c r="G34" s="33">
        <v>10</v>
      </c>
      <c r="H34" s="402">
        <v>4</v>
      </c>
      <c r="I34" s="402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6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08"/>
      <c r="R34" s="408"/>
      <c r="S34" s="408"/>
      <c r="T34" s="409"/>
      <c r="U34" s="35"/>
      <c r="V34" s="35"/>
      <c r="W34" s="36" t="s">
        <v>71</v>
      </c>
      <c r="X34" s="403">
        <v>100</v>
      </c>
      <c r="Y34" s="404">
        <f>IFERROR(IF(X34="",0,CEILING((X34/$H34),1)*$H34),"")</f>
        <v>100</v>
      </c>
      <c r="Z34" s="37">
        <f>IFERROR(IF(Y34=0,"",ROUNDUP(Y34/H34,0)*0.00902),"")</f>
        <v>0.22550000000000001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105.25</v>
      </c>
      <c r="BN34" s="65">
        <f>IFERROR(Y34*I34/H34,"0")</f>
        <v>105.25</v>
      </c>
      <c r="BO34" s="65">
        <f>IFERROR(1/J34*(X34/H34),"0")</f>
        <v>0.18939393939393939</v>
      </c>
      <c r="BP34" s="65">
        <f>IFERROR(1/J34*(Y34/H34),"0")</f>
        <v>0.18939393939393939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411">
        <v>4680115882539</v>
      </c>
      <c r="E35" s="412"/>
      <c r="F35" s="402">
        <v>0.37</v>
      </c>
      <c r="G35" s="33">
        <v>10</v>
      </c>
      <c r="H35" s="402">
        <v>3.7</v>
      </c>
      <c r="I35" s="402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08"/>
      <c r="R35" s="408"/>
      <c r="S35" s="408"/>
      <c r="T35" s="409"/>
      <c r="U35" s="35"/>
      <c r="V35" s="35"/>
      <c r="W35" s="36" t="s">
        <v>71</v>
      </c>
      <c r="X35" s="403">
        <v>0</v>
      </c>
      <c r="Y35" s="404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19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0"/>
      <c r="N36" s="420"/>
      <c r="O36" s="421"/>
      <c r="P36" s="415" t="s">
        <v>76</v>
      </c>
      <c r="Q36" s="416"/>
      <c r="R36" s="416"/>
      <c r="S36" s="416"/>
      <c r="T36" s="416"/>
      <c r="U36" s="416"/>
      <c r="V36" s="417"/>
      <c r="W36" s="38" t="s">
        <v>77</v>
      </c>
      <c r="X36" s="405">
        <f>IFERROR(X33/H33,"0")+IFERROR(X34/H34,"0")+IFERROR(X35/H35,"0")</f>
        <v>25</v>
      </c>
      <c r="Y36" s="405">
        <f>IFERROR(Y33/H33,"0")+IFERROR(Y34/H34,"0")+IFERROR(Y35/H35,"0")</f>
        <v>25</v>
      </c>
      <c r="Z36" s="405">
        <f>IFERROR(IF(Z33="",0,Z33),"0")+IFERROR(IF(Z34="",0,Z34),"0")+IFERROR(IF(Z35="",0,Z35),"0")</f>
        <v>0.22550000000000001</v>
      </c>
      <c r="AA36" s="406"/>
      <c r="AB36" s="406"/>
      <c r="AC36" s="406"/>
    </row>
    <row r="37" spans="1:68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20"/>
      <c r="O37" s="421"/>
      <c r="P37" s="415" t="s">
        <v>76</v>
      </c>
      <c r="Q37" s="416"/>
      <c r="R37" s="416"/>
      <c r="S37" s="416"/>
      <c r="T37" s="416"/>
      <c r="U37" s="416"/>
      <c r="V37" s="417"/>
      <c r="W37" s="38" t="s">
        <v>71</v>
      </c>
      <c r="X37" s="405">
        <f>IFERROR(SUM(X33:X35),"0")</f>
        <v>100</v>
      </c>
      <c r="Y37" s="405">
        <f>IFERROR(SUM(Y33:Y35),"0")</f>
        <v>100</v>
      </c>
      <c r="Z37" s="38"/>
      <c r="AA37" s="406"/>
      <c r="AB37" s="406"/>
      <c r="AC37" s="406"/>
    </row>
    <row r="38" spans="1:68" ht="16.5" customHeight="1" x14ac:dyDescent="0.25">
      <c r="A38" s="434" t="s">
        <v>98</v>
      </c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0"/>
      <c r="N38" s="420"/>
      <c r="O38" s="420"/>
      <c r="P38" s="420"/>
      <c r="Q38" s="420"/>
      <c r="R38" s="420"/>
      <c r="S38" s="420"/>
      <c r="T38" s="420"/>
      <c r="U38" s="420"/>
      <c r="V38" s="420"/>
      <c r="W38" s="420"/>
      <c r="X38" s="420"/>
      <c r="Y38" s="420"/>
      <c r="Z38" s="420"/>
      <c r="AA38" s="398"/>
      <c r="AB38" s="398"/>
      <c r="AC38" s="398"/>
    </row>
    <row r="39" spans="1:68" ht="14.25" customHeight="1" x14ac:dyDescent="0.25">
      <c r="A39" s="422" t="s">
        <v>86</v>
      </c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0"/>
      <c r="N39" s="420"/>
      <c r="O39" s="420"/>
      <c r="P39" s="420"/>
      <c r="Q39" s="420"/>
      <c r="R39" s="420"/>
      <c r="S39" s="420"/>
      <c r="T39" s="420"/>
      <c r="U39" s="420"/>
      <c r="V39" s="420"/>
      <c r="W39" s="420"/>
      <c r="X39" s="420"/>
      <c r="Y39" s="420"/>
      <c r="Z39" s="420"/>
      <c r="AA39" s="399"/>
      <c r="AB39" s="399"/>
      <c r="AC39" s="399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411">
        <v>4680115885882</v>
      </c>
      <c r="E40" s="412"/>
      <c r="F40" s="402">
        <v>1.4</v>
      </c>
      <c r="G40" s="33">
        <v>8</v>
      </c>
      <c r="H40" s="402">
        <v>11.2</v>
      </c>
      <c r="I40" s="402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8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08"/>
      <c r="R40" s="408"/>
      <c r="S40" s="408"/>
      <c r="T40" s="409"/>
      <c r="U40" s="35"/>
      <c r="V40" s="35"/>
      <c r="W40" s="36" t="s">
        <v>71</v>
      </c>
      <c r="X40" s="403">
        <v>0</v>
      </c>
      <c r="Y40" s="404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411">
        <v>4680115881426</v>
      </c>
      <c r="E41" s="412"/>
      <c r="F41" s="402">
        <v>1.35</v>
      </c>
      <c r="G41" s="33">
        <v>8</v>
      </c>
      <c r="H41" s="402">
        <v>10.8</v>
      </c>
      <c r="I41" s="402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6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08"/>
      <c r="R41" s="408"/>
      <c r="S41" s="408"/>
      <c r="T41" s="409"/>
      <c r="U41" s="35"/>
      <c r="V41" s="35"/>
      <c r="W41" s="36" t="s">
        <v>71</v>
      </c>
      <c r="X41" s="403">
        <v>100</v>
      </c>
      <c r="Y41" s="404">
        <f t="shared" si="0"/>
        <v>108</v>
      </c>
      <c r="Z41" s="37">
        <f>IFERROR(IF(Y41=0,"",ROUNDUP(Y41/H41,0)*0.01898),"")</f>
        <v>0.1898</v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104.02777777777777</v>
      </c>
      <c r="BN41" s="65">
        <f t="shared" si="2"/>
        <v>112.34999999999998</v>
      </c>
      <c r="BO41" s="65">
        <f t="shared" si="3"/>
        <v>0.14467592592592593</v>
      </c>
      <c r="BP41" s="65">
        <f t="shared" si="4"/>
        <v>0.15625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411">
        <v>4680115880283</v>
      </c>
      <c r="E42" s="412"/>
      <c r="F42" s="402">
        <v>0.6</v>
      </c>
      <c r="G42" s="33">
        <v>8</v>
      </c>
      <c r="H42" s="402">
        <v>4.8</v>
      </c>
      <c r="I42" s="402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4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08"/>
      <c r="R42" s="408"/>
      <c r="S42" s="408"/>
      <c r="T42" s="409"/>
      <c r="U42" s="35"/>
      <c r="V42" s="35"/>
      <c r="W42" s="36" t="s">
        <v>71</v>
      </c>
      <c r="X42" s="403">
        <v>0</v>
      </c>
      <c r="Y42" s="404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411">
        <v>4680115881525</v>
      </c>
      <c r="E43" s="412"/>
      <c r="F43" s="402">
        <v>0.4</v>
      </c>
      <c r="G43" s="33">
        <v>10</v>
      </c>
      <c r="H43" s="402">
        <v>4</v>
      </c>
      <c r="I43" s="402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08"/>
      <c r="R43" s="408"/>
      <c r="S43" s="408"/>
      <c r="T43" s="409"/>
      <c r="U43" s="35"/>
      <c r="V43" s="35"/>
      <c r="W43" s="36" t="s">
        <v>71</v>
      </c>
      <c r="X43" s="403">
        <v>0</v>
      </c>
      <c r="Y43" s="404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411">
        <v>4680115885899</v>
      </c>
      <c r="E44" s="412"/>
      <c r="F44" s="402">
        <v>0.35</v>
      </c>
      <c r="G44" s="33">
        <v>6</v>
      </c>
      <c r="H44" s="402">
        <v>2.1</v>
      </c>
      <c r="I44" s="402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4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08"/>
      <c r="R44" s="408"/>
      <c r="S44" s="408"/>
      <c r="T44" s="409"/>
      <c r="U44" s="35"/>
      <c r="V44" s="35"/>
      <c r="W44" s="36" t="s">
        <v>71</v>
      </c>
      <c r="X44" s="403">
        <v>0</v>
      </c>
      <c r="Y44" s="404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411">
        <v>4680115881419</v>
      </c>
      <c r="E45" s="412"/>
      <c r="F45" s="402">
        <v>0.45</v>
      </c>
      <c r="G45" s="33">
        <v>10</v>
      </c>
      <c r="H45" s="402">
        <v>4.5</v>
      </c>
      <c r="I45" s="402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08"/>
      <c r="R45" s="408"/>
      <c r="S45" s="408"/>
      <c r="T45" s="409"/>
      <c r="U45" s="35"/>
      <c r="V45" s="35"/>
      <c r="W45" s="36" t="s">
        <v>71</v>
      </c>
      <c r="X45" s="403">
        <v>0</v>
      </c>
      <c r="Y45" s="404">
        <f t="shared" si="0"/>
        <v>0</v>
      </c>
      <c r="Z45" s="37" t="str">
        <f>IFERROR(IF(Y45=0,"",ROUNDUP(Y45/H45,0)*0.00902),"")</f>
        <v/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0</v>
      </c>
      <c r="BN45" s="65">
        <f t="shared" si="2"/>
        <v>0</v>
      </c>
      <c r="BO45" s="65">
        <f t="shared" si="3"/>
        <v>0</v>
      </c>
      <c r="BP45" s="65">
        <f t="shared" si="4"/>
        <v>0</v>
      </c>
    </row>
    <row r="46" spans="1:68" x14ac:dyDescent="0.2">
      <c r="A46" s="419"/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O46" s="421"/>
      <c r="P46" s="415" t="s">
        <v>76</v>
      </c>
      <c r="Q46" s="416"/>
      <c r="R46" s="416"/>
      <c r="S46" s="416"/>
      <c r="T46" s="416"/>
      <c r="U46" s="416"/>
      <c r="V46" s="417"/>
      <c r="W46" s="38" t="s">
        <v>77</v>
      </c>
      <c r="X46" s="405">
        <f>IFERROR(X40/H40,"0")+IFERROR(X41/H41,"0")+IFERROR(X42/H42,"0")+IFERROR(X43/H43,"0")+IFERROR(X44/H44,"0")+IFERROR(X45/H45,"0")</f>
        <v>9.2592592592592595</v>
      </c>
      <c r="Y46" s="405">
        <f>IFERROR(Y40/H40,"0")+IFERROR(Y41/H41,"0")+IFERROR(Y42/H42,"0")+IFERROR(Y43/H43,"0")+IFERROR(Y44/H44,"0")+IFERROR(Y45/H45,"0")</f>
        <v>10</v>
      </c>
      <c r="Z46" s="405">
        <f>IFERROR(IF(Z40="",0,Z40),"0")+IFERROR(IF(Z41="",0,Z41),"0")+IFERROR(IF(Z42="",0,Z42),"0")+IFERROR(IF(Z43="",0,Z43),"0")+IFERROR(IF(Z44="",0,Z44),"0")+IFERROR(IF(Z45="",0,Z45),"0")</f>
        <v>0.1898</v>
      </c>
      <c r="AA46" s="406"/>
      <c r="AB46" s="406"/>
      <c r="AC46" s="406"/>
    </row>
    <row r="47" spans="1:68" x14ac:dyDescent="0.2">
      <c r="A47" s="420"/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0"/>
      <c r="N47" s="420"/>
      <c r="O47" s="421"/>
      <c r="P47" s="415" t="s">
        <v>76</v>
      </c>
      <c r="Q47" s="416"/>
      <c r="R47" s="416"/>
      <c r="S47" s="416"/>
      <c r="T47" s="416"/>
      <c r="U47" s="416"/>
      <c r="V47" s="417"/>
      <c r="W47" s="38" t="s">
        <v>71</v>
      </c>
      <c r="X47" s="405">
        <f>IFERROR(SUM(X40:X45),"0")</f>
        <v>100</v>
      </c>
      <c r="Y47" s="405">
        <f>IFERROR(SUM(Y40:Y45),"0")</f>
        <v>108</v>
      </c>
      <c r="Z47" s="38"/>
      <c r="AA47" s="406"/>
      <c r="AB47" s="406"/>
      <c r="AC47" s="406"/>
    </row>
    <row r="48" spans="1:68" ht="14.25" customHeight="1" x14ac:dyDescent="0.25">
      <c r="A48" s="422" t="s">
        <v>117</v>
      </c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  <c r="P48" s="420"/>
      <c r="Q48" s="420"/>
      <c r="R48" s="420"/>
      <c r="S48" s="420"/>
      <c r="T48" s="420"/>
      <c r="U48" s="420"/>
      <c r="V48" s="420"/>
      <c r="W48" s="420"/>
      <c r="X48" s="420"/>
      <c r="Y48" s="420"/>
      <c r="Z48" s="420"/>
      <c r="AA48" s="399"/>
      <c r="AB48" s="399"/>
      <c r="AC48" s="399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411">
        <v>4680115881440</v>
      </c>
      <c r="E49" s="412"/>
      <c r="F49" s="402">
        <v>1.35</v>
      </c>
      <c r="G49" s="33">
        <v>8</v>
      </c>
      <c r="H49" s="402">
        <v>10.8</v>
      </c>
      <c r="I49" s="402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6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08"/>
      <c r="R49" s="408"/>
      <c r="S49" s="408"/>
      <c r="T49" s="409"/>
      <c r="U49" s="35"/>
      <c r="V49" s="35"/>
      <c r="W49" s="36" t="s">
        <v>71</v>
      </c>
      <c r="X49" s="403">
        <v>0</v>
      </c>
      <c r="Y49" s="404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27" customHeight="1" x14ac:dyDescent="0.25">
      <c r="A50" s="55" t="s">
        <v>121</v>
      </c>
      <c r="B50" s="55" t="s">
        <v>122</v>
      </c>
      <c r="C50" s="32">
        <v>4301020228</v>
      </c>
      <c r="D50" s="411">
        <v>4680115882751</v>
      </c>
      <c r="E50" s="412"/>
      <c r="F50" s="402">
        <v>0.45</v>
      </c>
      <c r="G50" s="33">
        <v>10</v>
      </c>
      <c r="H50" s="402">
        <v>4.5</v>
      </c>
      <c r="I50" s="402">
        <v>4.71</v>
      </c>
      <c r="J50" s="33">
        <v>132</v>
      </c>
      <c r="K50" s="33" t="s">
        <v>94</v>
      </c>
      <c r="L50" s="33"/>
      <c r="M50" s="34" t="s">
        <v>90</v>
      </c>
      <c r="N50" s="34"/>
      <c r="O50" s="33">
        <v>90</v>
      </c>
      <c r="P50" s="4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408"/>
      <c r="R50" s="408"/>
      <c r="S50" s="408"/>
      <c r="T50" s="409"/>
      <c r="U50" s="35"/>
      <c r="V50" s="35"/>
      <c r="W50" s="36" t="s">
        <v>71</v>
      </c>
      <c r="X50" s="403">
        <v>0</v>
      </c>
      <c r="Y50" s="404">
        <f>IFERROR(IF(X50="",0,CEILING((X50/$H50),1)*$H50),"")</f>
        <v>0</v>
      </c>
      <c r="Z50" s="37" t="str">
        <f>IFERROR(IF(Y50=0,"",ROUNDUP(Y50/H50,0)*0.00902),"")</f>
        <v/>
      </c>
      <c r="AA50" s="57"/>
      <c r="AB50" s="58"/>
      <c r="AC50" s="96" t="s">
        <v>123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16.5" customHeight="1" x14ac:dyDescent="0.25">
      <c r="A51" s="55" t="s">
        <v>124</v>
      </c>
      <c r="B51" s="55" t="s">
        <v>125</v>
      </c>
      <c r="C51" s="32">
        <v>4301020358</v>
      </c>
      <c r="D51" s="411">
        <v>4680115885950</v>
      </c>
      <c r="E51" s="412"/>
      <c r="F51" s="402">
        <v>0.37</v>
      </c>
      <c r="G51" s="33">
        <v>6</v>
      </c>
      <c r="H51" s="402">
        <v>2.2200000000000002</v>
      </c>
      <c r="I51" s="402">
        <v>2.4</v>
      </c>
      <c r="J51" s="33">
        <v>182</v>
      </c>
      <c r="K51" s="33" t="s">
        <v>69</v>
      </c>
      <c r="L51" s="33"/>
      <c r="M51" s="34" t="s">
        <v>95</v>
      </c>
      <c r="N51" s="34"/>
      <c r="O51" s="33">
        <v>50</v>
      </c>
      <c r="P51" s="5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408"/>
      <c r="R51" s="408"/>
      <c r="S51" s="408"/>
      <c r="T51" s="409"/>
      <c r="U51" s="35"/>
      <c r="V51" s="35"/>
      <c r="W51" s="36" t="s">
        <v>71</v>
      </c>
      <c r="X51" s="403">
        <v>0</v>
      </c>
      <c r="Y51" s="404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ht="27" customHeight="1" x14ac:dyDescent="0.25">
      <c r="A52" s="55" t="s">
        <v>126</v>
      </c>
      <c r="B52" s="55" t="s">
        <v>127</v>
      </c>
      <c r="C52" s="32">
        <v>4301020296</v>
      </c>
      <c r="D52" s="411">
        <v>4680115881433</v>
      </c>
      <c r="E52" s="412"/>
      <c r="F52" s="402">
        <v>0.45</v>
      </c>
      <c r="G52" s="33">
        <v>6</v>
      </c>
      <c r="H52" s="402">
        <v>2.7</v>
      </c>
      <c r="I52" s="402">
        <v>2.88</v>
      </c>
      <c r="J52" s="33">
        <v>182</v>
      </c>
      <c r="K52" s="33" t="s">
        <v>69</v>
      </c>
      <c r="L52" s="33"/>
      <c r="M52" s="34" t="s">
        <v>90</v>
      </c>
      <c r="N52" s="34"/>
      <c r="O52" s="33">
        <v>50</v>
      </c>
      <c r="P52" s="4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408"/>
      <c r="R52" s="408"/>
      <c r="S52" s="408"/>
      <c r="T52" s="409"/>
      <c r="U52" s="35"/>
      <c r="V52" s="35"/>
      <c r="W52" s="36" t="s">
        <v>71</v>
      </c>
      <c r="X52" s="403">
        <v>0</v>
      </c>
      <c r="Y52" s="404">
        <f>IFERROR(IF(X52="",0,CEILING((X52/$H52),1)*$H52),"")</f>
        <v>0</v>
      </c>
      <c r="Z52" s="37" t="str">
        <f>IFERROR(IF(Y52=0,"",ROUNDUP(Y52/H52,0)*0.00651),"")</f>
        <v/>
      </c>
      <c r="AA52" s="57"/>
      <c r="AB52" s="58"/>
      <c r="AC52" s="100" t="s">
        <v>120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x14ac:dyDescent="0.2">
      <c r="A53" s="419"/>
      <c r="B53" s="420"/>
      <c r="C53" s="420"/>
      <c r="D53" s="420"/>
      <c r="E53" s="420"/>
      <c r="F53" s="420"/>
      <c r="G53" s="420"/>
      <c r="H53" s="420"/>
      <c r="I53" s="420"/>
      <c r="J53" s="420"/>
      <c r="K53" s="420"/>
      <c r="L53" s="420"/>
      <c r="M53" s="420"/>
      <c r="N53" s="420"/>
      <c r="O53" s="421"/>
      <c r="P53" s="415" t="s">
        <v>76</v>
      </c>
      <c r="Q53" s="416"/>
      <c r="R53" s="416"/>
      <c r="S53" s="416"/>
      <c r="T53" s="416"/>
      <c r="U53" s="416"/>
      <c r="V53" s="417"/>
      <c r="W53" s="38" t="s">
        <v>77</v>
      </c>
      <c r="X53" s="405">
        <f>IFERROR(X49/H49,"0")+IFERROR(X50/H50,"0")+IFERROR(X51/H51,"0")+IFERROR(X52/H52,"0")</f>
        <v>0</v>
      </c>
      <c r="Y53" s="405">
        <f>IFERROR(Y49/H49,"0")+IFERROR(Y50/H50,"0")+IFERROR(Y51/H51,"0")+IFERROR(Y52/H52,"0")</f>
        <v>0</v>
      </c>
      <c r="Z53" s="405">
        <f>IFERROR(IF(Z49="",0,Z49),"0")+IFERROR(IF(Z50="",0,Z50),"0")+IFERROR(IF(Z51="",0,Z51),"0")+IFERROR(IF(Z52="",0,Z52),"0")</f>
        <v>0</v>
      </c>
      <c r="AA53" s="406"/>
      <c r="AB53" s="406"/>
      <c r="AC53" s="406"/>
    </row>
    <row r="54" spans="1:68" x14ac:dyDescent="0.2">
      <c r="A54" s="420"/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0"/>
      <c r="N54" s="420"/>
      <c r="O54" s="421"/>
      <c r="P54" s="415" t="s">
        <v>76</v>
      </c>
      <c r="Q54" s="416"/>
      <c r="R54" s="416"/>
      <c r="S54" s="416"/>
      <c r="T54" s="416"/>
      <c r="U54" s="416"/>
      <c r="V54" s="417"/>
      <c r="W54" s="38" t="s">
        <v>71</v>
      </c>
      <c r="X54" s="405">
        <f>IFERROR(SUM(X49:X52),"0")</f>
        <v>0</v>
      </c>
      <c r="Y54" s="405">
        <f>IFERROR(SUM(Y49:Y52),"0")</f>
        <v>0</v>
      </c>
      <c r="Z54" s="38"/>
      <c r="AA54" s="406"/>
      <c r="AB54" s="406"/>
      <c r="AC54" s="406"/>
    </row>
    <row r="55" spans="1:68" ht="14.25" customHeight="1" x14ac:dyDescent="0.25">
      <c r="A55" s="422" t="s">
        <v>128</v>
      </c>
      <c r="B55" s="420"/>
      <c r="C55" s="420"/>
      <c r="D55" s="420"/>
      <c r="E55" s="420"/>
      <c r="F55" s="420"/>
      <c r="G55" s="420"/>
      <c r="H55" s="420"/>
      <c r="I55" s="420"/>
      <c r="J55" s="420"/>
      <c r="K55" s="420"/>
      <c r="L55" s="420"/>
      <c r="M55" s="420"/>
      <c r="N55" s="420"/>
      <c r="O55" s="420"/>
      <c r="P55" s="420"/>
      <c r="Q55" s="420"/>
      <c r="R55" s="420"/>
      <c r="S55" s="420"/>
      <c r="T55" s="420"/>
      <c r="U55" s="420"/>
      <c r="V55" s="420"/>
      <c r="W55" s="420"/>
      <c r="X55" s="420"/>
      <c r="Y55" s="420"/>
      <c r="Z55" s="420"/>
      <c r="AA55" s="399"/>
      <c r="AB55" s="399"/>
      <c r="AC55" s="399"/>
    </row>
    <row r="56" spans="1:68" ht="27" customHeight="1" x14ac:dyDescent="0.25">
      <c r="A56" s="55" t="s">
        <v>129</v>
      </c>
      <c r="B56" s="55" t="s">
        <v>130</v>
      </c>
      <c r="C56" s="32">
        <v>4301060455</v>
      </c>
      <c r="D56" s="411">
        <v>4680115881532</v>
      </c>
      <c r="E56" s="412"/>
      <c r="F56" s="402">
        <v>1.3</v>
      </c>
      <c r="G56" s="33">
        <v>6</v>
      </c>
      <c r="H56" s="402">
        <v>7.8</v>
      </c>
      <c r="I56" s="402">
        <v>8.2349999999999994</v>
      </c>
      <c r="J56" s="33">
        <v>64</v>
      </c>
      <c r="K56" s="33" t="s">
        <v>89</v>
      </c>
      <c r="L56" s="33"/>
      <c r="M56" s="34" t="s">
        <v>112</v>
      </c>
      <c r="N56" s="34"/>
      <c r="O56" s="33">
        <v>30</v>
      </c>
      <c r="P56" s="4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408"/>
      <c r="R56" s="408"/>
      <c r="S56" s="408"/>
      <c r="T56" s="409"/>
      <c r="U56" s="35"/>
      <c r="V56" s="35"/>
      <c r="W56" s="36" t="s">
        <v>71</v>
      </c>
      <c r="X56" s="403">
        <v>0</v>
      </c>
      <c r="Y56" s="404">
        <f>IFERROR(IF(X56="",0,CEILING((X56/$H56),1)*$H56),"")</f>
        <v>0</v>
      </c>
      <c r="Z56" s="37" t="str">
        <f>IFERROR(IF(Y56=0,"",ROUNDUP(Y56/H56,0)*0.01898),"")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ht="27" customHeight="1" x14ac:dyDescent="0.25">
      <c r="A57" s="55" t="s">
        <v>132</v>
      </c>
      <c r="B57" s="55" t="s">
        <v>133</v>
      </c>
      <c r="C57" s="32">
        <v>4301060351</v>
      </c>
      <c r="D57" s="411">
        <v>4680115881464</v>
      </c>
      <c r="E57" s="412"/>
      <c r="F57" s="402">
        <v>0.4</v>
      </c>
      <c r="G57" s="33">
        <v>6</v>
      </c>
      <c r="H57" s="402">
        <v>2.4</v>
      </c>
      <c r="I57" s="402">
        <v>2.61</v>
      </c>
      <c r="J57" s="33">
        <v>132</v>
      </c>
      <c r="K57" s="33" t="s">
        <v>94</v>
      </c>
      <c r="L57" s="33"/>
      <c r="M57" s="34" t="s">
        <v>95</v>
      </c>
      <c r="N57" s="34"/>
      <c r="O57" s="33">
        <v>30</v>
      </c>
      <c r="P57" s="6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408"/>
      <c r="R57" s="408"/>
      <c r="S57" s="408"/>
      <c r="T57" s="409"/>
      <c r="U57" s="35"/>
      <c r="V57" s="35"/>
      <c r="W57" s="36" t="s">
        <v>71</v>
      </c>
      <c r="X57" s="403">
        <v>0</v>
      </c>
      <c r="Y57" s="404">
        <f>IFERROR(IF(X57="",0,CEILING((X57/$H57),1)*$H57),"")</f>
        <v>0</v>
      </c>
      <c r="Z57" s="37" t="str">
        <f>IFERROR(IF(Y57=0,"",ROUNDUP(Y57/H57,0)*0.00902),"")</f>
        <v/>
      </c>
      <c r="AA57" s="57"/>
      <c r="AB57" s="58"/>
      <c r="AC57" s="104" t="s">
        <v>134</v>
      </c>
      <c r="AG57" s="65"/>
      <c r="AJ57" s="69"/>
      <c r="AK57" s="69">
        <v>0</v>
      </c>
      <c r="BB57" s="105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x14ac:dyDescent="0.2">
      <c r="A58" s="419"/>
      <c r="B58" s="420"/>
      <c r="C58" s="420"/>
      <c r="D58" s="420"/>
      <c r="E58" s="420"/>
      <c r="F58" s="420"/>
      <c r="G58" s="420"/>
      <c r="H58" s="420"/>
      <c r="I58" s="420"/>
      <c r="J58" s="420"/>
      <c r="K58" s="420"/>
      <c r="L58" s="420"/>
      <c r="M58" s="420"/>
      <c r="N58" s="420"/>
      <c r="O58" s="421"/>
      <c r="P58" s="415" t="s">
        <v>76</v>
      </c>
      <c r="Q58" s="416"/>
      <c r="R58" s="416"/>
      <c r="S58" s="416"/>
      <c r="T58" s="416"/>
      <c r="U58" s="416"/>
      <c r="V58" s="417"/>
      <c r="W58" s="38" t="s">
        <v>77</v>
      </c>
      <c r="X58" s="405">
        <f>IFERROR(X56/H56,"0")+IFERROR(X57/H57,"0")</f>
        <v>0</v>
      </c>
      <c r="Y58" s="405">
        <f>IFERROR(Y56/H56,"0")+IFERROR(Y57/H57,"0")</f>
        <v>0</v>
      </c>
      <c r="Z58" s="405">
        <f>IFERROR(IF(Z56="",0,Z56),"0")+IFERROR(IF(Z57="",0,Z57),"0")</f>
        <v>0</v>
      </c>
      <c r="AA58" s="406"/>
      <c r="AB58" s="406"/>
      <c r="AC58" s="406"/>
    </row>
    <row r="59" spans="1:68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0"/>
      <c r="N59" s="420"/>
      <c r="O59" s="421"/>
      <c r="P59" s="415" t="s">
        <v>76</v>
      </c>
      <c r="Q59" s="416"/>
      <c r="R59" s="416"/>
      <c r="S59" s="416"/>
      <c r="T59" s="416"/>
      <c r="U59" s="416"/>
      <c r="V59" s="417"/>
      <c r="W59" s="38" t="s">
        <v>71</v>
      </c>
      <c r="X59" s="405">
        <f>IFERROR(SUM(X56:X57),"0")</f>
        <v>0</v>
      </c>
      <c r="Y59" s="405">
        <f>IFERROR(SUM(Y56:Y57),"0")</f>
        <v>0</v>
      </c>
      <c r="Z59" s="38"/>
      <c r="AA59" s="406"/>
      <c r="AB59" s="406"/>
      <c r="AC59" s="406"/>
    </row>
    <row r="60" spans="1:68" ht="16.5" customHeight="1" x14ac:dyDescent="0.25">
      <c r="A60" s="434" t="s">
        <v>135</v>
      </c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0"/>
      <c r="N60" s="420"/>
      <c r="O60" s="420"/>
      <c r="P60" s="420"/>
      <c r="Q60" s="420"/>
      <c r="R60" s="420"/>
      <c r="S60" s="420"/>
      <c r="T60" s="420"/>
      <c r="U60" s="420"/>
      <c r="V60" s="420"/>
      <c r="W60" s="420"/>
      <c r="X60" s="420"/>
      <c r="Y60" s="420"/>
      <c r="Z60" s="420"/>
      <c r="AA60" s="398"/>
      <c r="AB60" s="398"/>
      <c r="AC60" s="398"/>
    </row>
    <row r="61" spans="1:68" ht="14.25" customHeight="1" x14ac:dyDescent="0.25">
      <c r="A61" s="422" t="s">
        <v>86</v>
      </c>
      <c r="B61" s="420"/>
      <c r="C61" s="420"/>
      <c r="D61" s="420"/>
      <c r="E61" s="420"/>
      <c r="F61" s="420"/>
      <c r="G61" s="420"/>
      <c r="H61" s="420"/>
      <c r="I61" s="420"/>
      <c r="J61" s="420"/>
      <c r="K61" s="420"/>
      <c r="L61" s="420"/>
      <c r="M61" s="420"/>
      <c r="N61" s="420"/>
      <c r="O61" s="420"/>
      <c r="P61" s="420"/>
      <c r="Q61" s="420"/>
      <c r="R61" s="420"/>
      <c r="S61" s="420"/>
      <c r="T61" s="420"/>
      <c r="U61" s="420"/>
      <c r="V61" s="420"/>
      <c r="W61" s="420"/>
      <c r="X61" s="420"/>
      <c r="Y61" s="420"/>
      <c r="Z61" s="420"/>
      <c r="AA61" s="399"/>
      <c r="AB61" s="399"/>
      <c r="AC61" s="399"/>
    </row>
    <row r="62" spans="1:68" ht="27" customHeight="1" x14ac:dyDescent="0.25">
      <c r="A62" s="55" t="s">
        <v>136</v>
      </c>
      <c r="B62" s="55" t="s">
        <v>137</v>
      </c>
      <c r="C62" s="32">
        <v>4301011468</v>
      </c>
      <c r="D62" s="411">
        <v>4680115881327</v>
      </c>
      <c r="E62" s="412"/>
      <c r="F62" s="402">
        <v>1.35</v>
      </c>
      <c r="G62" s="33">
        <v>8</v>
      </c>
      <c r="H62" s="402">
        <v>10.8</v>
      </c>
      <c r="I62" s="402">
        <v>11.234999999999999</v>
      </c>
      <c r="J62" s="33">
        <v>64</v>
      </c>
      <c r="K62" s="33" t="s">
        <v>89</v>
      </c>
      <c r="L62" s="33"/>
      <c r="M62" s="34" t="s">
        <v>112</v>
      </c>
      <c r="N62" s="34"/>
      <c r="O62" s="33">
        <v>50</v>
      </c>
      <c r="P62" s="6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408"/>
      <c r="R62" s="408"/>
      <c r="S62" s="408"/>
      <c r="T62" s="409"/>
      <c r="U62" s="35"/>
      <c r="V62" s="35"/>
      <c r="W62" s="36" t="s">
        <v>71</v>
      </c>
      <c r="X62" s="403">
        <v>150</v>
      </c>
      <c r="Y62" s="404">
        <f>IFERROR(IF(X62="",0,CEILING((X62/$H62),1)*$H62),"")</f>
        <v>151.20000000000002</v>
      </c>
      <c r="Z62" s="37">
        <f>IFERROR(IF(Y62=0,"",ROUNDUP(Y62/H62,0)*0.01898),"")</f>
        <v>0.26572000000000001</v>
      </c>
      <c r="AA62" s="57"/>
      <c r="AB62" s="58"/>
      <c r="AC62" s="106" t="s">
        <v>138</v>
      </c>
      <c r="AG62" s="65"/>
      <c r="AJ62" s="69"/>
      <c r="AK62" s="69">
        <v>0</v>
      </c>
      <c r="BB62" s="107" t="s">
        <v>1</v>
      </c>
      <c r="BM62" s="65">
        <f>IFERROR(X62*I62/H62,"0")</f>
        <v>156.04166666666666</v>
      </c>
      <c r="BN62" s="65">
        <f>IFERROR(Y62*I62/H62,"0")</f>
        <v>157.29000000000002</v>
      </c>
      <c r="BO62" s="65">
        <f>IFERROR(1/J62*(X62/H62),"0")</f>
        <v>0.21701388888888887</v>
      </c>
      <c r="BP62" s="65">
        <f>IFERROR(1/J62*(Y62/H62),"0")</f>
        <v>0.21875</v>
      </c>
    </row>
    <row r="63" spans="1:68" ht="16.5" customHeight="1" x14ac:dyDescent="0.25">
      <c r="A63" s="55" t="s">
        <v>139</v>
      </c>
      <c r="B63" s="55" t="s">
        <v>140</v>
      </c>
      <c r="C63" s="32">
        <v>4301011476</v>
      </c>
      <c r="D63" s="411">
        <v>4680115881518</v>
      </c>
      <c r="E63" s="412"/>
      <c r="F63" s="402">
        <v>0.4</v>
      </c>
      <c r="G63" s="33">
        <v>10</v>
      </c>
      <c r="H63" s="402">
        <v>4</v>
      </c>
      <c r="I63" s="402">
        <v>4.21</v>
      </c>
      <c r="J63" s="33">
        <v>132</v>
      </c>
      <c r="K63" s="33" t="s">
        <v>94</v>
      </c>
      <c r="L63" s="33"/>
      <c r="M63" s="34" t="s">
        <v>95</v>
      </c>
      <c r="N63" s="34"/>
      <c r="O63" s="33">
        <v>50</v>
      </c>
      <c r="P63" s="48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408"/>
      <c r="R63" s="408"/>
      <c r="S63" s="408"/>
      <c r="T63" s="409"/>
      <c r="U63" s="35"/>
      <c r="V63" s="35"/>
      <c r="W63" s="36" t="s">
        <v>71</v>
      </c>
      <c r="X63" s="403">
        <v>0</v>
      </c>
      <c r="Y63" s="404">
        <f>IFERROR(IF(X63="",0,CEILING((X63/$H63),1)*$H63),"")</f>
        <v>0</v>
      </c>
      <c r="Z63" s="37" t="str">
        <f>IFERROR(IF(Y63=0,"",ROUNDUP(Y63/H63,0)*0.00902),"")</f>
        <v/>
      </c>
      <c r="AA63" s="57"/>
      <c r="AB63" s="58"/>
      <c r="AC63" s="108" t="s">
        <v>138</v>
      </c>
      <c r="AG63" s="65"/>
      <c r="AJ63" s="69"/>
      <c r="AK63" s="69">
        <v>0</v>
      </c>
      <c r="BB63" s="109" t="s">
        <v>1</v>
      </c>
      <c r="BM63" s="65">
        <f>IFERROR(X63*I63/H63,"0")</f>
        <v>0</v>
      </c>
      <c r="BN63" s="65">
        <f>IFERROR(Y63*I63/H63,"0")</f>
        <v>0</v>
      </c>
      <c r="BO63" s="65">
        <f>IFERROR(1/J63*(X63/H63),"0")</f>
        <v>0</v>
      </c>
      <c r="BP63" s="65">
        <f>IFERROR(1/J63*(Y63/H63),"0")</f>
        <v>0</v>
      </c>
    </row>
    <row r="64" spans="1:68" x14ac:dyDescent="0.2">
      <c r="A64" s="419"/>
      <c r="B64" s="420"/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0"/>
      <c r="O64" s="421"/>
      <c r="P64" s="415" t="s">
        <v>76</v>
      </c>
      <c r="Q64" s="416"/>
      <c r="R64" s="416"/>
      <c r="S64" s="416"/>
      <c r="T64" s="416"/>
      <c r="U64" s="416"/>
      <c r="V64" s="417"/>
      <c r="W64" s="38" t="s">
        <v>77</v>
      </c>
      <c r="X64" s="405">
        <f>IFERROR(X62/H62,"0")+IFERROR(X63/H63,"0")</f>
        <v>13.888888888888888</v>
      </c>
      <c r="Y64" s="405">
        <f>IFERROR(Y62/H62,"0")+IFERROR(Y63/H63,"0")</f>
        <v>14</v>
      </c>
      <c r="Z64" s="405">
        <f>IFERROR(IF(Z62="",0,Z62),"0")+IFERROR(IF(Z63="",0,Z63),"0")</f>
        <v>0.26572000000000001</v>
      </c>
      <c r="AA64" s="406"/>
      <c r="AB64" s="406"/>
      <c r="AC64" s="406"/>
    </row>
    <row r="65" spans="1:68" x14ac:dyDescent="0.2">
      <c r="A65" s="420"/>
      <c r="B65" s="420"/>
      <c r="C65" s="420"/>
      <c r="D65" s="420"/>
      <c r="E65" s="420"/>
      <c r="F65" s="420"/>
      <c r="G65" s="420"/>
      <c r="H65" s="420"/>
      <c r="I65" s="420"/>
      <c r="J65" s="420"/>
      <c r="K65" s="420"/>
      <c r="L65" s="420"/>
      <c r="M65" s="420"/>
      <c r="N65" s="420"/>
      <c r="O65" s="421"/>
      <c r="P65" s="415" t="s">
        <v>76</v>
      </c>
      <c r="Q65" s="416"/>
      <c r="R65" s="416"/>
      <c r="S65" s="416"/>
      <c r="T65" s="416"/>
      <c r="U65" s="416"/>
      <c r="V65" s="417"/>
      <c r="W65" s="38" t="s">
        <v>71</v>
      </c>
      <c r="X65" s="405">
        <f>IFERROR(SUM(X62:X63),"0")</f>
        <v>150</v>
      </c>
      <c r="Y65" s="405">
        <f>IFERROR(SUM(Y62:Y63),"0")</f>
        <v>151.20000000000002</v>
      </c>
      <c r="Z65" s="38"/>
      <c r="AA65" s="406"/>
      <c r="AB65" s="406"/>
      <c r="AC65" s="406"/>
    </row>
    <row r="66" spans="1:68" ht="14.25" customHeight="1" x14ac:dyDescent="0.25">
      <c r="A66" s="422" t="s">
        <v>66</v>
      </c>
      <c r="B66" s="420"/>
      <c r="C66" s="420"/>
      <c r="D66" s="420"/>
      <c r="E66" s="420"/>
      <c r="F66" s="420"/>
      <c r="G66" s="420"/>
      <c r="H66" s="420"/>
      <c r="I66" s="420"/>
      <c r="J66" s="420"/>
      <c r="K66" s="420"/>
      <c r="L66" s="420"/>
      <c r="M66" s="420"/>
      <c r="N66" s="420"/>
      <c r="O66" s="420"/>
      <c r="P66" s="420"/>
      <c r="Q66" s="420"/>
      <c r="R66" s="420"/>
      <c r="S66" s="420"/>
      <c r="T66" s="420"/>
      <c r="U66" s="420"/>
      <c r="V66" s="420"/>
      <c r="W66" s="420"/>
      <c r="X66" s="420"/>
      <c r="Y66" s="420"/>
      <c r="Z66" s="420"/>
      <c r="AA66" s="399"/>
      <c r="AB66" s="399"/>
      <c r="AC66" s="399"/>
    </row>
    <row r="67" spans="1:68" ht="16.5" customHeight="1" x14ac:dyDescent="0.25">
      <c r="A67" s="55" t="s">
        <v>141</v>
      </c>
      <c r="B67" s="55" t="s">
        <v>142</v>
      </c>
      <c r="C67" s="32">
        <v>4301051437</v>
      </c>
      <c r="D67" s="411">
        <v>4607091386967</v>
      </c>
      <c r="E67" s="412"/>
      <c r="F67" s="402">
        <v>1.35</v>
      </c>
      <c r="G67" s="33">
        <v>6</v>
      </c>
      <c r="H67" s="402">
        <v>8.1</v>
      </c>
      <c r="I67" s="402">
        <v>8.6189999999999998</v>
      </c>
      <c r="J67" s="33">
        <v>64</v>
      </c>
      <c r="K67" s="33" t="s">
        <v>89</v>
      </c>
      <c r="L67" s="33"/>
      <c r="M67" s="34" t="s">
        <v>95</v>
      </c>
      <c r="N67" s="34"/>
      <c r="O67" s="33">
        <v>45</v>
      </c>
      <c r="P67" s="6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67" s="408"/>
      <c r="R67" s="408"/>
      <c r="S67" s="408"/>
      <c r="T67" s="409"/>
      <c r="U67" s="35"/>
      <c r="V67" s="35"/>
      <c r="W67" s="36" t="s">
        <v>71</v>
      </c>
      <c r="X67" s="403">
        <v>300</v>
      </c>
      <c r="Y67" s="404">
        <f>IFERROR(IF(X67="",0,CEILING((X67/$H67),1)*$H67),"")</f>
        <v>307.8</v>
      </c>
      <c r="Z67" s="37">
        <f>IFERROR(IF(Y67=0,"",ROUNDUP(Y67/H67,0)*0.01898),"")</f>
        <v>0.72123999999999999</v>
      </c>
      <c r="AA67" s="57"/>
      <c r="AB67" s="58"/>
      <c r="AC67" s="110" t="s">
        <v>143</v>
      </c>
      <c r="AG67" s="65"/>
      <c r="AJ67" s="69"/>
      <c r="AK67" s="69">
        <v>0</v>
      </c>
      <c r="BB67" s="111" t="s">
        <v>1</v>
      </c>
      <c r="BM67" s="65">
        <f>IFERROR(X67*I67/H67,"0")</f>
        <v>319.22222222222223</v>
      </c>
      <c r="BN67" s="65">
        <f>IFERROR(Y67*I67/H67,"0")</f>
        <v>327.52199999999999</v>
      </c>
      <c r="BO67" s="65">
        <f>IFERROR(1/J67*(X67/H67),"0")</f>
        <v>0.57870370370370372</v>
      </c>
      <c r="BP67" s="65">
        <f>IFERROR(1/J67*(Y67/H67),"0")</f>
        <v>0.59375</v>
      </c>
    </row>
    <row r="68" spans="1:68" ht="16.5" customHeight="1" x14ac:dyDescent="0.25">
      <c r="A68" s="55" t="s">
        <v>141</v>
      </c>
      <c r="B68" s="55" t="s">
        <v>144</v>
      </c>
      <c r="C68" s="32">
        <v>4301051712</v>
      </c>
      <c r="D68" s="411">
        <v>4607091386967</v>
      </c>
      <c r="E68" s="412"/>
      <c r="F68" s="402">
        <v>1.35</v>
      </c>
      <c r="G68" s="33">
        <v>6</v>
      </c>
      <c r="H68" s="402">
        <v>8.1</v>
      </c>
      <c r="I68" s="402">
        <v>8.6189999999999998</v>
      </c>
      <c r="J68" s="33">
        <v>64</v>
      </c>
      <c r="K68" s="33" t="s">
        <v>89</v>
      </c>
      <c r="L68" s="33"/>
      <c r="M68" s="34" t="s">
        <v>112</v>
      </c>
      <c r="N68" s="34"/>
      <c r="O68" s="33">
        <v>45</v>
      </c>
      <c r="P68" s="512" t="s">
        <v>145</v>
      </c>
      <c r="Q68" s="408"/>
      <c r="R68" s="408"/>
      <c r="S68" s="408"/>
      <c r="T68" s="409"/>
      <c r="U68" s="35"/>
      <c r="V68" s="35"/>
      <c r="W68" s="36" t="s">
        <v>71</v>
      </c>
      <c r="X68" s="403">
        <v>0</v>
      </c>
      <c r="Y68" s="404">
        <f>IFERROR(IF(X68="",0,CEILING((X68/$H68),1)*$H68),"")</f>
        <v>0</v>
      </c>
      <c r="Z68" s="37" t="str">
        <f>IFERROR(IF(Y68=0,"",ROUNDUP(Y68/H68,0)*0.01898),"")</f>
        <v/>
      </c>
      <c r="AA68" s="57"/>
      <c r="AB68" s="58"/>
      <c r="AC68" s="112" t="s">
        <v>143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ht="27" customHeight="1" x14ac:dyDescent="0.25">
      <c r="A69" s="55" t="s">
        <v>146</v>
      </c>
      <c r="B69" s="55" t="s">
        <v>147</v>
      </c>
      <c r="C69" s="32">
        <v>4301051718</v>
      </c>
      <c r="D69" s="411">
        <v>4607091385731</v>
      </c>
      <c r="E69" s="412"/>
      <c r="F69" s="402">
        <v>0.45</v>
      </c>
      <c r="G69" s="33">
        <v>6</v>
      </c>
      <c r="H69" s="402">
        <v>2.7</v>
      </c>
      <c r="I69" s="402">
        <v>2.952</v>
      </c>
      <c r="J69" s="33">
        <v>182</v>
      </c>
      <c r="K69" s="33" t="s">
        <v>69</v>
      </c>
      <c r="L69" s="33"/>
      <c r="M69" s="34" t="s">
        <v>112</v>
      </c>
      <c r="N69" s="34"/>
      <c r="O69" s="33">
        <v>45</v>
      </c>
      <c r="P69" s="53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9" s="408"/>
      <c r="R69" s="408"/>
      <c r="S69" s="408"/>
      <c r="T69" s="409"/>
      <c r="U69" s="35"/>
      <c r="V69" s="35"/>
      <c r="W69" s="36" t="s">
        <v>71</v>
      </c>
      <c r="X69" s="403">
        <v>0</v>
      </c>
      <c r="Y69" s="404">
        <f>IFERROR(IF(X69="",0,CEILING((X69/$H69),1)*$H69),"")</f>
        <v>0</v>
      </c>
      <c r="Z69" s="37" t="str">
        <f>IFERROR(IF(Y69=0,"",ROUNDUP(Y69/H69,0)*0.00651),"")</f>
        <v/>
      </c>
      <c r="AA69" s="57"/>
      <c r="AB69" s="58"/>
      <c r="AC69" s="114" t="s">
        <v>143</v>
      </c>
      <c r="AG69" s="65"/>
      <c r="AJ69" s="69"/>
      <c r="AK69" s="69">
        <v>0</v>
      </c>
      <c r="BB69" s="115" t="s">
        <v>1</v>
      </c>
      <c r="BM69" s="65">
        <f>IFERROR(X69*I69/H69,"0")</f>
        <v>0</v>
      </c>
      <c r="BN69" s="65">
        <f>IFERROR(Y69*I69/H69,"0")</f>
        <v>0</v>
      </c>
      <c r="BO69" s="65">
        <f>IFERROR(1/J69*(X69/H69),"0")</f>
        <v>0</v>
      </c>
      <c r="BP69" s="65">
        <f>IFERROR(1/J69*(Y69/H69),"0")</f>
        <v>0</v>
      </c>
    </row>
    <row r="70" spans="1:68" ht="16.5" customHeight="1" x14ac:dyDescent="0.25">
      <c r="A70" s="55" t="s">
        <v>148</v>
      </c>
      <c r="B70" s="55" t="s">
        <v>149</v>
      </c>
      <c r="C70" s="32">
        <v>4301051438</v>
      </c>
      <c r="D70" s="411">
        <v>4680115880894</v>
      </c>
      <c r="E70" s="412"/>
      <c r="F70" s="402">
        <v>0.33</v>
      </c>
      <c r="G70" s="33">
        <v>6</v>
      </c>
      <c r="H70" s="402">
        <v>1.98</v>
      </c>
      <c r="I70" s="402">
        <v>2.238</v>
      </c>
      <c r="J70" s="33">
        <v>182</v>
      </c>
      <c r="K70" s="33" t="s">
        <v>69</v>
      </c>
      <c r="L70" s="33"/>
      <c r="M70" s="34" t="s">
        <v>95</v>
      </c>
      <c r="N70" s="34"/>
      <c r="O70" s="33">
        <v>45</v>
      </c>
      <c r="P70" s="6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0" s="408"/>
      <c r="R70" s="408"/>
      <c r="S70" s="408"/>
      <c r="T70" s="409"/>
      <c r="U70" s="35"/>
      <c r="V70" s="35"/>
      <c r="W70" s="36" t="s">
        <v>71</v>
      </c>
      <c r="X70" s="403">
        <v>0</v>
      </c>
      <c r="Y70" s="404">
        <f>IFERROR(IF(X70="",0,CEILING((X70/$H70),1)*$H70),"")</f>
        <v>0</v>
      </c>
      <c r="Z70" s="37" t="str">
        <f>IFERROR(IF(Y70=0,"",ROUNDUP(Y70/H70,0)*0.00651),"")</f>
        <v/>
      </c>
      <c r="AA70" s="57"/>
      <c r="AB70" s="58"/>
      <c r="AC70" s="116" t="s">
        <v>150</v>
      </c>
      <c r="AG70" s="65"/>
      <c r="AJ70" s="69"/>
      <c r="AK70" s="69">
        <v>0</v>
      </c>
      <c r="BB70" s="117" t="s">
        <v>1</v>
      </c>
      <c r="BM70" s="65">
        <f>IFERROR(X70*I70/H70,"0")</f>
        <v>0</v>
      </c>
      <c r="BN70" s="65">
        <f>IFERROR(Y70*I70/H70,"0")</f>
        <v>0</v>
      </c>
      <c r="BO70" s="65">
        <f>IFERROR(1/J70*(X70/H70),"0")</f>
        <v>0</v>
      </c>
      <c r="BP70" s="65">
        <f>IFERROR(1/J70*(Y70/H70),"0")</f>
        <v>0</v>
      </c>
    </row>
    <row r="71" spans="1:68" x14ac:dyDescent="0.2">
      <c r="A71" s="419"/>
      <c r="B71" s="420"/>
      <c r="C71" s="420"/>
      <c r="D71" s="420"/>
      <c r="E71" s="420"/>
      <c r="F71" s="420"/>
      <c r="G71" s="420"/>
      <c r="H71" s="420"/>
      <c r="I71" s="420"/>
      <c r="J71" s="420"/>
      <c r="K71" s="420"/>
      <c r="L71" s="420"/>
      <c r="M71" s="420"/>
      <c r="N71" s="420"/>
      <c r="O71" s="421"/>
      <c r="P71" s="415" t="s">
        <v>76</v>
      </c>
      <c r="Q71" s="416"/>
      <c r="R71" s="416"/>
      <c r="S71" s="416"/>
      <c r="T71" s="416"/>
      <c r="U71" s="416"/>
      <c r="V71" s="417"/>
      <c r="W71" s="38" t="s">
        <v>77</v>
      </c>
      <c r="X71" s="405">
        <f>IFERROR(X67/H67,"0")+IFERROR(X68/H68,"0")+IFERROR(X69/H69,"0")+IFERROR(X70/H70,"0")</f>
        <v>37.037037037037038</v>
      </c>
      <c r="Y71" s="405">
        <f>IFERROR(Y67/H67,"0")+IFERROR(Y68/H68,"0")+IFERROR(Y69/H69,"0")+IFERROR(Y70/H70,"0")</f>
        <v>38</v>
      </c>
      <c r="Z71" s="405">
        <f>IFERROR(IF(Z67="",0,Z67),"0")+IFERROR(IF(Z68="",0,Z68),"0")+IFERROR(IF(Z69="",0,Z69),"0")+IFERROR(IF(Z70="",0,Z70),"0")</f>
        <v>0.72123999999999999</v>
      </c>
      <c r="AA71" s="406"/>
      <c r="AB71" s="406"/>
      <c r="AC71" s="406"/>
    </row>
    <row r="72" spans="1:68" x14ac:dyDescent="0.2">
      <c r="A72" s="420"/>
      <c r="B72" s="420"/>
      <c r="C72" s="420"/>
      <c r="D72" s="420"/>
      <c r="E72" s="420"/>
      <c r="F72" s="420"/>
      <c r="G72" s="420"/>
      <c r="H72" s="420"/>
      <c r="I72" s="420"/>
      <c r="J72" s="420"/>
      <c r="K72" s="420"/>
      <c r="L72" s="420"/>
      <c r="M72" s="420"/>
      <c r="N72" s="420"/>
      <c r="O72" s="421"/>
      <c r="P72" s="415" t="s">
        <v>76</v>
      </c>
      <c r="Q72" s="416"/>
      <c r="R72" s="416"/>
      <c r="S72" s="416"/>
      <c r="T72" s="416"/>
      <c r="U72" s="416"/>
      <c r="V72" s="417"/>
      <c r="W72" s="38" t="s">
        <v>71</v>
      </c>
      <c r="X72" s="405">
        <f>IFERROR(SUM(X67:X70),"0")</f>
        <v>300</v>
      </c>
      <c r="Y72" s="405">
        <f>IFERROR(SUM(Y67:Y70),"0")</f>
        <v>307.8</v>
      </c>
      <c r="Z72" s="38"/>
      <c r="AA72" s="406"/>
      <c r="AB72" s="406"/>
      <c r="AC72" s="406"/>
    </row>
    <row r="73" spans="1:68" ht="16.5" customHeight="1" x14ac:dyDescent="0.25">
      <c r="A73" s="434" t="s">
        <v>151</v>
      </c>
      <c r="B73" s="420"/>
      <c r="C73" s="420"/>
      <c r="D73" s="420"/>
      <c r="E73" s="420"/>
      <c r="F73" s="420"/>
      <c r="G73" s="420"/>
      <c r="H73" s="420"/>
      <c r="I73" s="420"/>
      <c r="J73" s="420"/>
      <c r="K73" s="420"/>
      <c r="L73" s="420"/>
      <c r="M73" s="420"/>
      <c r="N73" s="420"/>
      <c r="O73" s="420"/>
      <c r="P73" s="420"/>
      <c r="Q73" s="420"/>
      <c r="R73" s="420"/>
      <c r="S73" s="420"/>
      <c r="T73" s="420"/>
      <c r="U73" s="420"/>
      <c r="V73" s="420"/>
      <c r="W73" s="420"/>
      <c r="X73" s="420"/>
      <c r="Y73" s="420"/>
      <c r="Z73" s="420"/>
      <c r="AA73" s="398"/>
      <c r="AB73" s="398"/>
      <c r="AC73" s="398"/>
    </row>
    <row r="74" spans="1:68" ht="14.25" customHeight="1" x14ac:dyDescent="0.25">
      <c r="A74" s="422" t="s">
        <v>86</v>
      </c>
      <c r="B74" s="420"/>
      <c r="C74" s="420"/>
      <c r="D74" s="420"/>
      <c r="E74" s="420"/>
      <c r="F74" s="420"/>
      <c r="G74" s="420"/>
      <c r="H74" s="420"/>
      <c r="I74" s="420"/>
      <c r="J74" s="420"/>
      <c r="K74" s="420"/>
      <c r="L74" s="420"/>
      <c r="M74" s="420"/>
      <c r="N74" s="420"/>
      <c r="O74" s="420"/>
      <c r="P74" s="420"/>
      <c r="Q74" s="420"/>
      <c r="R74" s="420"/>
      <c r="S74" s="420"/>
      <c r="T74" s="420"/>
      <c r="U74" s="420"/>
      <c r="V74" s="420"/>
      <c r="W74" s="420"/>
      <c r="X74" s="420"/>
      <c r="Y74" s="420"/>
      <c r="Z74" s="420"/>
      <c r="AA74" s="399"/>
      <c r="AB74" s="399"/>
      <c r="AC74" s="399"/>
    </row>
    <row r="75" spans="1:68" ht="16.5" customHeight="1" x14ac:dyDescent="0.25">
      <c r="A75" s="55" t="s">
        <v>152</v>
      </c>
      <c r="B75" s="55" t="s">
        <v>153</v>
      </c>
      <c r="C75" s="32">
        <v>4301011514</v>
      </c>
      <c r="D75" s="411">
        <v>4680115882133</v>
      </c>
      <c r="E75" s="412"/>
      <c r="F75" s="402">
        <v>1.35</v>
      </c>
      <c r="G75" s="33">
        <v>8</v>
      </c>
      <c r="H75" s="402">
        <v>10.8</v>
      </c>
      <c r="I75" s="402">
        <v>11.234999999999999</v>
      </c>
      <c r="J75" s="33">
        <v>64</v>
      </c>
      <c r="K75" s="33" t="s">
        <v>89</v>
      </c>
      <c r="L75" s="33"/>
      <c r="M75" s="34" t="s">
        <v>90</v>
      </c>
      <c r="N75" s="34"/>
      <c r="O75" s="33">
        <v>50</v>
      </c>
      <c r="P75" s="63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5" s="408"/>
      <c r="R75" s="408"/>
      <c r="S75" s="408"/>
      <c r="T75" s="409"/>
      <c r="U75" s="35"/>
      <c r="V75" s="35"/>
      <c r="W75" s="36" t="s">
        <v>71</v>
      </c>
      <c r="X75" s="403">
        <v>0</v>
      </c>
      <c r="Y75" s="404">
        <f>IFERROR(IF(X75="",0,CEILING((X75/$H75),1)*$H75),"")</f>
        <v>0</v>
      </c>
      <c r="Z75" s="37" t="str">
        <f>IFERROR(IF(Y75=0,"",ROUNDUP(Y75/H75,0)*0.01898),"")</f>
        <v/>
      </c>
      <c r="AA75" s="57"/>
      <c r="AB75" s="58"/>
      <c r="AC75" s="118" t="s">
        <v>154</v>
      </c>
      <c r="AG75" s="65"/>
      <c r="AJ75" s="69"/>
      <c r="AK75" s="69">
        <v>0</v>
      </c>
      <c r="BB75" s="119" t="s">
        <v>1</v>
      </c>
      <c r="BM75" s="65">
        <f>IFERROR(X75*I75/H75,"0")</f>
        <v>0</v>
      </c>
      <c r="BN75" s="65">
        <f>IFERROR(Y75*I75/H75,"0")</f>
        <v>0</v>
      </c>
      <c r="BO75" s="65">
        <f>IFERROR(1/J75*(X75/H75),"0")</f>
        <v>0</v>
      </c>
      <c r="BP75" s="65">
        <f>IFERROR(1/J75*(Y75/H75),"0")</f>
        <v>0</v>
      </c>
    </row>
    <row r="76" spans="1:68" ht="16.5" customHeight="1" x14ac:dyDescent="0.25">
      <c r="A76" s="55" t="s">
        <v>155</v>
      </c>
      <c r="B76" s="55" t="s">
        <v>156</v>
      </c>
      <c r="C76" s="32">
        <v>4301011417</v>
      </c>
      <c r="D76" s="411">
        <v>4680115880269</v>
      </c>
      <c r="E76" s="412"/>
      <c r="F76" s="402">
        <v>0.375</v>
      </c>
      <c r="G76" s="33">
        <v>10</v>
      </c>
      <c r="H76" s="402">
        <v>3.75</v>
      </c>
      <c r="I76" s="402">
        <v>3.96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3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6" s="408"/>
      <c r="R76" s="408"/>
      <c r="S76" s="408"/>
      <c r="T76" s="409"/>
      <c r="U76" s="35"/>
      <c r="V76" s="35"/>
      <c r="W76" s="36" t="s">
        <v>71</v>
      </c>
      <c r="X76" s="403">
        <v>0</v>
      </c>
      <c r="Y76" s="404">
        <f>IFERROR(IF(X76="",0,CEILING((X76/$H76),1)*$H76),"")</f>
        <v>0</v>
      </c>
      <c r="Z76" s="37" t="str">
        <f>IFERROR(IF(Y76=0,"",ROUNDUP(Y76/H76,0)*0.00902),"")</f>
        <v/>
      </c>
      <c r="AA76" s="57"/>
      <c r="AB76" s="58"/>
      <c r="AC76" s="120" t="s">
        <v>154</v>
      </c>
      <c r="AG76" s="65"/>
      <c r="AJ76" s="69"/>
      <c r="AK76" s="69">
        <v>0</v>
      </c>
      <c r="BB76" s="121" t="s">
        <v>1</v>
      </c>
      <c r="BM76" s="65">
        <f>IFERROR(X76*I76/H76,"0")</f>
        <v>0</v>
      </c>
      <c r="BN76" s="65">
        <f>IFERROR(Y76*I76/H76,"0")</f>
        <v>0</v>
      </c>
      <c r="BO76" s="65">
        <f>IFERROR(1/J76*(X76/H76),"0")</f>
        <v>0</v>
      </c>
      <c r="BP76" s="65">
        <f>IFERROR(1/J76*(Y76/H76),"0")</f>
        <v>0</v>
      </c>
    </row>
    <row r="77" spans="1:68" ht="16.5" customHeight="1" x14ac:dyDescent="0.25">
      <c r="A77" s="55" t="s">
        <v>157</v>
      </c>
      <c r="B77" s="55" t="s">
        <v>158</v>
      </c>
      <c r="C77" s="32">
        <v>4301011415</v>
      </c>
      <c r="D77" s="411">
        <v>4680115880429</v>
      </c>
      <c r="E77" s="412"/>
      <c r="F77" s="402">
        <v>0.45</v>
      </c>
      <c r="G77" s="33">
        <v>10</v>
      </c>
      <c r="H77" s="402">
        <v>4.5</v>
      </c>
      <c r="I77" s="402">
        <v>4.71</v>
      </c>
      <c r="J77" s="33">
        <v>132</v>
      </c>
      <c r="K77" s="33" t="s">
        <v>94</v>
      </c>
      <c r="L77" s="33"/>
      <c r="M77" s="34" t="s">
        <v>95</v>
      </c>
      <c r="N77" s="34"/>
      <c r="O77" s="33">
        <v>50</v>
      </c>
      <c r="P77" s="55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7" s="408"/>
      <c r="R77" s="408"/>
      <c r="S77" s="408"/>
      <c r="T77" s="409"/>
      <c r="U77" s="35"/>
      <c r="V77" s="35"/>
      <c r="W77" s="36" t="s">
        <v>71</v>
      </c>
      <c r="X77" s="403">
        <v>200</v>
      </c>
      <c r="Y77" s="404">
        <f>IFERROR(IF(X77="",0,CEILING((X77/$H77),1)*$H77),"")</f>
        <v>202.5</v>
      </c>
      <c r="Z77" s="37">
        <f>IFERROR(IF(Y77=0,"",ROUNDUP(Y77/H77,0)*0.00902),"")</f>
        <v>0.40590000000000004</v>
      </c>
      <c r="AA77" s="57"/>
      <c r="AB77" s="58"/>
      <c r="AC77" s="122" t="s">
        <v>154</v>
      </c>
      <c r="AG77" s="65"/>
      <c r="AJ77" s="69"/>
      <c r="AK77" s="69">
        <v>0</v>
      </c>
      <c r="BB77" s="123" t="s">
        <v>1</v>
      </c>
      <c r="BM77" s="65">
        <f>IFERROR(X77*I77/H77,"0")</f>
        <v>209.33333333333334</v>
      </c>
      <c r="BN77" s="65">
        <f>IFERROR(Y77*I77/H77,"0")</f>
        <v>211.95</v>
      </c>
      <c r="BO77" s="65">
        <f>IFERROR(1/J77*(X77/H77),"0")</f>
        <v>0.33670033670033672</v>
      </c>
      <c r="BP77" s="65">
        <f>IFERROR(1/J77*(Y77/H77),"0")</f>
        <v>0.34090909090909094</v>
      </c>
    </row>
    <row r="78" spans="1:68" ht="16.5" customHeight="1" x14ac:dyDescent="0.25">
      <c r="A78" s="55" t="s">
        <v>159</v>
      </c>
      <c r="B78" s="55" t="s">
        <v>160</v>
      </c>
      <c r="C78" s="32">
        <v>4301011462</v>
      </c>
      <c r="D78" s="411">
        <v>4680115881457</v>
      </c>
      <c r="E78" s="412"/>
      <c r="F78" s="402">
        <v>0.75</v>
      </c>
      <c r="G78" s="33">
        <v>6</v>
      </c>
      <c r="H78" s="402">
        <v>4.5</v>
      </c>
      <c r="I78" s="402">
        <v>4.71</v>
      </c>
      <c r="J78" s="33">
        <v>132</v>
      </c>
      <c r="K78" s="33" t="s">
        <v>94</v>
      </c>
      <c r="L78" s="33"/>
      <c r="M78" s="34" t="s">
        <v>95</v>
      </c>
      <c r="N78" s="34"/>
      <c r="O78" s="33">
        <v>50</v>
      </c>
      <c r="P78" s="4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8" s="408"/>
      <c r="R78" s="408"/>
      <c r="S78" s="408"/>
      <c r="T78" s="409"/>
      <c r="U78" s="35"/>
      <c r="V78" s="35"/>
      <c r="W78" s="36" t="s">
        <v>71</v>
      </c>
      <c r="X78" s="403">
        <v>0</v>
      </c>
      <c r="Y78" s="404">
        <f>IFERROR(IF(X78="",0,CEILING((X78/$H78),1)*$H78),"")</f>
        <v>0</v>
      </c>
      <c r="Z78" s="37" t="str">
        <f>IFERROR(IF(Y78=0,"",ROUNDUP(Y78/H78,0)*0.00902),"")</f>
        <v/>
      </c>
      <c r="AA78" s="57"/>
      <c r="AB78" s="58"/>
      <c r="AC78" s="124" t="s">
        <v>154</v>
      </c>
      <c r="AG78" s="65"/>
      <c r="AJ78" s="69"/>
      <c r="AK78" s="69">
        <v>0</v>
      </c>
      <c r="BB78" s="125" t="s">
        <v>1</v>
      </c>
      <c r="BM78" s="65">
        <f>IFERROR(X78*I78/H78,"0")</f>
        <v>0</v>
      </c>
      <c r="BN78" s="65">
        <f>IFERROR(Y78*I78/H78,"0")</f>
        <v>0</v>
      </c>
      <c r="BO78" s="65">
        <f>IFERROR(1/J78*(X78/H78),"0")</f>
        <v>0</v>
      </c>
      <c r="BP78" s="65">
        <f>IFERROR(1/J78*(Y78/H78),"0")</f>
        <v>0</v>
      </c>
    </row>
    <row r="79" spans="1:68" x14ac:dyDescent="0.2">
      <c r="A79" s="419"/>
      <c r="B79" s="420"/>
      <c r="C79" s="420"/>
      <c r="D79" s="420"/>
      <c r="E79" s="420"/>
      <c r="F79" s="420"/>
      <c r="G79" s="420"/>
      <c r="H79" s="420"/>
      <c r="I79" s="420"/>
      <c r="J79" s="420"/>
      <c r="K79" s="420"/>
      <c r="L79" s="420"/>
      <c r="M79" s="420"/>
      <c r="N79" s="420"/>
      <c r="O79" s="421"/>
      <c r="P79" s="415" t="s">
        <v>76</v>
      </c>
      <c r="Q79" s="416"/>
      <c r="R79" s="416"/>
      <c r="S79" s="416"/>
      <c r="T79" s="416"/>
      <c r="U79" s="416"/>
      <c r="V79" s="417"/>
      <c r="W79" s="38" t="s">
        <v>77</v>
      </c>
      <c r="X79" s="405">
        <f>IFERROR(X75/H75,"0")+IFERROR(X76/H76,"0")+IFERROR(X77/H77,"0")+IFERROR(X78/H78,"0")</f>
        <v>44.444444444444443</v>
      </c>
      <c r="Y79" s="405">
        <f>IFERROR(Y75/H75,"0")+IFERROR(Y76/H76,"0")+IFERROR(Y77/H77,"0")+IFERROR(Y78/H78,"0")</f>
        <v>45</v>
      </c>
      <c r="Z79" s="405">
        <f>IFERROR(IF(Z75="",0,Z75),"0")+IFERROR(IF(Z76="",0,Z76),"0")+IFERROR(IF(Z77="",0,Z77),"0")+IFERROR(IF(Z78="",0,Z78),"0")</f>
        <v>0.40590000000000004</v>
      </c>
      <c r="AA79" s="406"/>
      <c r="AB79" s="406"/>
      <c r="AC79" s="406"/>
    </row>
    <row r="80" spans="1:68" x14ac:dyDescent="0.2">
      <c r="A80" s="420"/>
      <c r="B80" s="420"/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  <c r="P80" s="415" t="s">
        <v>76</v>
      </c>
      <c r="Q80" s="416"/>
      <c r="R80" s="416"/>
      <c r="S80" s="416"/>
      <c r="T80" s="416"/>
      <c r="U80" s="416"/>
      <c r="V80" s="417"/>
      <c r="W80" s="38" t="s">
        <v>71</v>
      </c>
      <c r="X80" s="405">
        <f>IFERROR(SUM(X75:X78),"0")</f>
        <v>200</v>
      </c>
      <c r="Y80" s="405">
        <f>IFERROR(SUM(Y75:Y78),"0")</f>
        <v>202.5</v>
      </c>
      <c r="Z80" s="38"/>
      <c r="AA80" s="406"/>
      <c r="AB80" s="406"/>
      <c r="AC80" s="406"/>
    </row>
    <row r="81" spans="1:68" ht="14.25" customHeight="1" x14ac:dyDescent="0.25">
      <c r="A81" s="422" t="s">
        <v>117</v>
      </c>
      <c r="B81" s="420"/>
      <c r="C81" s="420"/>
      <c r="D81" s="420"/>
      <c r="E81" s="420"/>
      <c r="F81" s="420"/>
      <c r="G81" s="420"/>
      <c r="H81" s="420"/>
      <c r="I81" s="420"/>
      <c r="J81" s="420"/>
      <c r="K81" s="420"/>
      <c r="L81" s="420"/>
      <c r="M81" s="420"/>
      <c r="N81" s="420"/>
      <c r="O81" s="420"/>
      <c r="P81" s="420"/>
      <c r="Q81" s="420"/>
      <c r="R81" s="420"/>
      <c r="S81" s="420"/>
      <c r="T81" s="420"/>
      <c r="U81" s="420"/>
      <c r="V81" s="420"/>
      <c r="W81" s="420"/>
      <c r="X81" s="420"/>
      <c r="Y81" s="420"/>
      <c r="Z81" s="420"/>
      <c r="AA81" s="399"/>
      <c r="AB81" s="399"/>
      <c r="AC81" s="399"/>
    </row>
    <row r="82" spans="1:68" ht="16.5" customHeight="1" x14ac:dyDescent="0.25">
      <c r="A82" s="55" t="s">
        <v>161</v>
      </c>
      <c r="B82" s="55" t="s">
        <v>162</v>
      </c>
      <c r="C82" s="32">
        <v>4301020345</v>
      </c>
      <c r="D82" s="411">
        <v>4680115881488</v>
      </c>
      <c r="E82" s="412"/>
      <c r="F82" s="402">
        <v>1.35</v>
      </c>
      <c r="G82" s="33">
        <v>8</v>
      </c>
      <c r="H82" s="402">
        <v>10.8</v>
      </c>
      <c r="I82" s="402">
        <v>11.234999999999999</v>
      </c>
      <c r="J82" s="33">
        <v>64</v>
      </c>
      <c r="K82" s="33" t="s">
        <v>89</v>
      </c>
      <c r="L82" s="33"/>
      <c r="M82" s="34" t="s">
        <v>90</v>
      </c>
      <c r="N82" s="34"/>
      <c r="O82" s="33">
        <v>55</v>
      </c>
      <c r="P82" s="6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2" s="408"/>
      <c r="R82" s="408"/>
      <c r="S82" s="408"/>
      <c r="T82" s="409"/>
      <c r="U82" s="35"/>
      <c r="V82" s="35"/>
      <c r="W82" s="36" t="s">
        <v>71</v>
      </c>
      <c r="X82" s="403">
        <v>0</v>
      </c>
      <c r="Y82" s="404">
        <f>IFERROR(IF(X82="",0,CEILING((X82/$H82),1)*$H82),"")</f>
        <v>0</v>
      </c>
      <c r="Z82" s="37" t="str">
        <f>IFERROR(IF(Y82=0,"",ROUNDUP(Y82/H82,0)*0.01898),"")</f>
        <v/>
      </c>
      <c r="AA82" s="57"/>
      <c r="AB82" s="58"/>
      <c r="AC82" s="126" t="s">
        <v>163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ht="16.5" customHeight="1" x14ac:dyDescent="0.25">
      <c r="A83" s="55" t="s">
        <v>164</v>
      </c>
      <c r="B83" s="55" t="s">
        <v>165</v>
      </c>
      <c r="C83" s="32">
        <v>4301020346</v>
      </c>
      <c r="D83" s="411">
        <v>4680115882775</v>
      </c>
      <c r="E83" s="412"/>
      <c r="F83" s="402">
        <v>0.3</v>
      </c>
      <c r="G83" s="33">
        <v>8</v>
      </c>
      <c r="H83" s="402">
        <v>2.4</v>
      </c>
      <c r="I83" s="402">
        <v>2.5</v>
      </c>
      <c r="J83" s="33">
        <v>234</v>
      </c>
      <c r="K83" s="33" t="s">
        <v>166</v>
      </c>
      <c r="L83" s="33"/>
      <c r="M83" s="34" t="s">
        <v>90</v>
      </c>
      <c r="N83" s="34"/>
      <c r="O83" s="33">
        <v>55</v>
      </c>
      <c r="P83" s="65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3" s="408"/>
      <c r="R83" s="408"/>
      <c r="S83" s="408"/>
      <c r="T83" s="409"/>
      <c r="U83" s="35"/>
      <c r="V83" s="35"/>
      <c r="W83" s="36" t="s">
        <v>71</v>
      </c>
      <c r="X83" s="403">
        <v>0</v>
      </c>
      <c r="Y83" s="404">
        <f>IFERROR(IF(X83="",0,CEILING((X83/$H83),1)*$H83),"")</f>
        <v>0</v>
      </c>
      <c r="Z83" s="37" t="str">
        <f>IFERROR(IF(Y83=0,"",ROUNDUP(Y83/H83,0)*0.00502),"")</f>
        <v/>
      </c>
      <c r="AA83" s="57"/>
      <c r="AB83" s="58"/>
      <c r="AC83" s="128" t="s">
        <v>163</v>
      </c>
      <c r="AG83" s="65"/>
      <c r="AJ83" s="69"/>
      <c r="AK83" s="69">
        <v>0</v>
      </c>
      <c r="BB83" s="129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ht="16.5" customHeight="1" x14ac:dyDescent="0.25">
      <c r="A84" s="55" t="s">
        <v>167</v>
      </c>
      <c r="B84" s="55" t="s">
        <v>168</v>
      </c>
      <c r="C84" s="32">
        <v>4301020344</v>
      </c>
      <c r="D84" s="411">
        <v>4680115880658</v>
      </c>
      <c r="E84" s="412"/>
      <c r="F84" s="402">
        <v>0.4</v>
      </c>
      <c r="G84" s="33">
        <v>6</v>
      </c>
      <c r="H84" s="402">
        <v>2.4</v>
      </c>
      <c r="I84" s="402">
        <v>2.58</v>
      </c>
      <c r="J84" s="33">
        <v>182</v>
      </c>
      <c r="K84" s="33" t="s">
        <v>69</v>
      </c>
      <c r="L84" s="33"/>
      <c r="M84" s="34" t="s">
        <v>90</v>
      </c>
      <c r="N84" s="34"/>
      <c r="O84" s="33">
        <v>55</v>
      </c>
      <c r="P84" s="5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4" s="408"/>
      <c r="R84" s="408"/>
      <c r="S84" s="408"/>
      <c r="T84" s="409"/>
      <c r="U84" s="35"/>
      <c r="V84" s="35"/>
      <c r="W84" s="36" t="s">
        <v>71</v>
      </c>
      <c r="X84" s="403">
        <v>0</v>
      </c>
      <c r="Y84" s="404">
        <f>IFERROR(IF(X84="",0,CEILING((X84/$H84),1)*$H84),"")</f>
        <v>0</v>
      </c>
      <c r="Z84" s="37" t="str">
        <f>IFERROR(IF(Y84=0,"",ROUNDUP(Y84/H84,0)*0.00651),"")</f>
        <v/>
      </c>
      <c r="AA84" s="57"/>
      <c r="AB84" s="58"/>
      <c r="AC84" s="130" t="s">
        <v>163</v>
      </c>
      <c r="AG84" s="65"/>
      <c r="AJ84" s="69"/>
      <c r="AK84" s="69">
        <v>0</v>
      </c>
      <c r="BB84" s="131" t="s">
        <v>1</v>
      </c>
      <c r="BM84" s="65">
        <f>IFERROR(X84*I84/H84,"0")</f>
        <v>0</v>
      </c>
      <c r="BN84" s="65">
        <f>IFERROR(Y84*I84/H84,"0")</f>
        <v>0</v>
      </c>
      <c r="BO84" s="65">
        <f>IFERROR(1/J84*(X84/H84),"0")</f>
        <v>0</v>
      </c>
      <c r="BP84" s="65">
        <f>IFERROR(1/J84*(Y84/H84),"0")</f>
        <v>0</v>
      </c>
    </row>
    <row r="85" spans="1:68" x14ac:dyDescent="0.2">
      <c r="A85" s="419"/>
      <c r="B85" s="420"/>
      <c r="C85" s="420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1"/>
      <c r="P85" s="415" t="s">
        <v>76</v>
      </c>
      <c r="Q85" s="416"/>
      <c r="R85" s="416"/>
      <c r="S85" s="416"/>
      <c r="T85" s="416"/>
      <c r="U85" s="416"/>
      <c r="V85" s="417"/>
      <c r="W85" s="38" t="s">
        <v>77</v>
      </c>
      <c r="X85" s="405">
        <f>IFERROR(X82/H82,"0")+IFERROR(X83/H83,"0")+IFERROR(X84/H84,"0")</f>
        <v>0</v>
      </c>
      <c r="Y85" s="405">
        <f>IFERROR(Y82/H82,"0")+IFERROR(Y83/H83,"0")+IFERROR(Y84/H84,"0")</f>
        <v>0</v>
      </c>
      <c r="Z85" s="405">
        <f>IFERROR(IF(Z82="",0,Z82),"0")+IFERROR(IF(Z83="",0,Z83),"0")+IFERROR(IF(Z84="",0,Z84),"0")</f>
        <v>0</v>
      </c>
      <c r="AA85" s="406"/>
      <c r="AB85" s="406"/>
      <c r="AC85" s="406"/>
    </row>
    <row r="86" spans="1:68" x14ac:dyDescent="0.2">
      <c r="A86" s="420"/>
      <c r="B86" s="420"/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0"/>
      <c r="N86" s="420"/>
      <c r="O86" s="421"/>
      <c r="P86" s="415" t="s">
        <v>76</v>
      </c>
      <c r="Q86" s="416"/>
      <c r="R86" s="416"/>
      <c r="S86" s="416"/>
      <c r="T86" s="416"/>
      <c r="U86" s="416"/>
      <c r="V86" s="417"/>
      <c r="W86" s="38" t="s">
        <v>71</v>
      </c>
      <c r="X86" s="405">
        <f>IFERROR(SUM(X82:X84),"0")</f>
        <v>0</v>
      </c>
      <c r="Y86" s="405">
        <f>IFERROR(SUM(Y82:Y84),"0")</f>
        <v>0</v>
      </c>
      <c r="Z86" s="38"/>
      <c r="AA86" s="406"/>
      <c r="AB86" s="406"/>
      <c r="AC86" s="406"/>
    </row>
    <row r="87" spans="1:68" ht="14.25" customHeight="1" x14ac:dyDescent="0.25">
      <c r="A87" s="422" t="s">
        <v>66</v>
      </c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0"/>
      <c r="N87" s="420"/>
      <c r="O87" s="420"/>
      <c r="P87" s="420"/>
      <c r="Q87" s="420"/>
      <c r="R87" s="420"/>
      <c r="S87" s="420"/>
      <c r="T87" s="420"/>
      <c r="U87" s="420"/>
      <c r="V87" s="420"/>
      <c r="W87" s="420"/>
      <c r="X87" s="420"/>
      <c r="Y87" s="420"/>
      <c r="Z87" s="420"/>
      <c r="AA87" s="399"/>
      <c r="AB87" s="399"/>
      <c r="AC87" s="399"/>
    </row>
    <row r="88" spans="1:68" ht="16.5" customHeight="1" x14ac:dyDescent="0.25">
      <c r="A88" s="55" t="s">
        <v>169</v>
      </c>
      <c r="B88" s="55" t="s">
        <v>170</v>
      </c>
      <c r="C88" s="32">
        <v>4301051724</v>
      </c>
      <c r="D88" s="411">
        <v>4607091385168</v>
      </c>
      <c r="E88" s="412"/>
      <c r="F88" s="402">
        <v>1.35</v>
      </c>
      <c r="G88" s="33">
        <v>6</v>
      </c>
      <c r="H88" s="402">
        <v>8.1</v>
      </c>
      <c r="I88" s="402">
        <v>8.6129999999999995</v>
      </c>
      <c r="J88" s="33">
        <v>64</v>
      </c>
      <c r="K88" s="33" t="s">
        <v>89</v>
      </c>
      <c r="L88" s="33"/>
      <c r="M88" s="34" t="s">
        <v>112</v>
      </c>
      <c r="N88" s="34"/>
      <c r="O88" s="33">
        <v>45</v>
      </c>
      <c r="P88" s="54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8" s="408"/>
      <c r="R88" s="408"/>
      <c r="S88" s="408"/>
      <c r="T88" s="409"/>
      <c r="U88" s="35"/>
      <c r="V88" s="35"/>
      <c r="W88" s="36" t="s">
        <v>71</v>
      </c>
      <c r="X88" s="403">
        <v>800</v>
      </c>
      <c r="Y88" s="404">
        <f>IFERROR(IF(X88="",0,CEILING((X88/$H88),1)*$H88),"")</f>
        <v>801.9</v>
      </c>
      <c r="Z88" s="37">
        <f>IFERROR(IF(Y88=0,"",ROUNDUP(Y88/H88,0)*0.01898),"")</f>
        <v>1.8790200000000001</v>
      </c>
      <c r="AA88" s="57"/>
      <c r="AB88" s="58"/>
      <c r="AC88" s="132" t="s">
        <v>171</v>
      </c>
      <c r="AG88" s="65"/>
      <c r="AJ88" s="69"/>
      <c r="AK88" s="69">
        <v>0</v>
      </c>
      <c r="BB88" s="133" t="s">
        <v>1</v>
      </c>
      <c r="BM88" s="65">
        <f>IFERROR(X88*I88/H88,"0")</f>
        <v>850.66666666666663</v>
      </c>
      <c r="BN88" s="65">
        <f>IFERROR(Y88*I88/H88,"0")</f>
        <v>852.68700000000001</v>
      </c>
      <c r="BO88" s="65">
        <f>IFERROR(1/J88*(X88/H88),"0")</f>
        <v>1.5432098765432098</v>
      </c>
      <c r="BP88" s="65">
        <f>IFERROR(1/J88*(Y88/H88),"0")</f>
        <v>1.546875</v>
      </c>
    </row>
    <row r="89" spans="1:68" ht="27" customHeight="1" x14ac:dyDescent="0.25">
      <c r="A89" s="55" t="s">
        <v>172</v>
      </c>
      <c r="B89" s="55" t="s">
        <v>173</v>
      </c>
      <c r="C89" s="32">
        <v>4301051730</v>
      </c>
      <c r="D89" s="411">
        <v>4607091383256</v>
      </c>
      <c r="E89" s="412"/>
      <c r="F89" s="402">
        <v>0.33</v>
      </c>
      <c r="G89" s="33">
        <v>6</v>
      </c>
      <c r="H89" s="402">
        <v>1.98</v>
      </c>
      <c r="I89" s="402">
        <v>2.226</v>
      </c>
      <c r="J89" s="33">
        <v>182</v>
      </c>
      <c r="K89" s="33" t="s">
        <v>69</v>
      </c>
      <c r="L89" s="33"/>
      <c r="M89" s="34" t="s">
        <v>112</v>
      </c>
      <c r="N89" s="34"/>
      <c r="O89" s="33">
        <v>45</v>
      </c>
      <c r="P89" s="54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9" s="408"/>
      <c r="R89" s="408"/>
      <c r="S89" s="408"/>
      <c r="T89" s="409"/>
      <c r="U89" s="35"/>
      <c r="V89" s="35"/>
      <c r="W89" s="36" t="s">
        <v>71</v>
      </c>
      <c r="X89" s="403">
        <v>0</v>
      </c>
      <c r="Y89" s="404">
        <f>IFERROR(IF(X89="",0,CEILING((X89/$H89),1)*$H89),"")</f>
        <v>0</v>
      </c>
      <c r="Z89" s="37" t="str">
        <f>IFERROR(IF(Y89=0,"",ROUNDUP(Y89/H89,0)*0.00651),"")</f>
        <v/>
      </c>
      <c r="AA89" s="57"/>
      <c r="AB89" s="58"/>
      <c r="AC89" s="134" t="s">
        <v>171</v>
      </c>
      <c r="AG89" s="65"/>
      <c r="AJ89" s="69"/>
      <c r="AK89" s="69">
        <v>0</v>
      </c>
      <c r="BB89" s="135" t="s">
        <v>1</v>
      </c>
      <c r="BM89" s="65">
        <f>IFERROR(X89*I89/H89,"0")</f>
        <v>0</v>
      </c>
      <c r="BN89" s="65">
        <f>IFERROR(Y89*I89/H89,"0")</f>
        <v>0</v>
      </c>
      <c r="BO89" s="65">
        <f>IFERROR(1/J89*(X89/H89),"0")</f>
        <v>0</v>
      </c>
      <c r="BP89" s="65">
        <f>IFERROR(1/J89*(Y89/H89),"0")</f>
        <v>0</v>
      </c>
    </row>
    <row r="90" spans="1:68" ht="27" customHeight="1" x14ac:dyDescent="0.25">
      <c r="A90" s="55" t="s">
        <v>174</v>
      </c>
      <c r="B90" s="55" t="s">
        <v>175</v>
      </c>
      <c r="C90" s="32">
        <v>4301051721</v>
      </c>
      <c r="D90" s="411">
        <v>4607091385748</v>
      </c>
      <c r="E90" s="412"/>
      <c r="F90" s="402">
        <v>0.45</v>
      </c>
      <c r="G90" s="33">
        <v>6</v>
      </c>
      <c r="H90" s="402">
        <v>2.7</v>
      </c>
      <c r="I90" s="402">
        <v>2.952</v>
      </c>
      <c r="J90" s="33">
        <v>182</v>
      </c>
      <c r="K90" s="33" t="s">
        <v>69</v>
      </c>
      <c r="L90" s="33"/>
      <c r="M90" s="34" t="s">
        <v>112</v>
      </c>
      <c r="N90" s="34"/>
      <c r="O90" s="33">
        <v>45</v>
      </c>
      <c r="P90" s="5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0" s="408"/>
      <c r="R90" s="408"/>
      <c r="S90" s="408"/>
      <c r="T90" s="409"/>
      <c r="U90" s="35"/>
      <c r="V90" s="35"/>
      <c r="W90" s="36" t="s">
        <v>71</v>
      </c>
      <c r="X90" s="403">
        <v>150</v>
      </c>
      <c r="Y90" s="404">
        <f>IFERROR(IF(X90="",0,CEILING((X90/$H90),1)*$H90),"")</f>
        <v>151.20000000000002</v>
      </c>
      <c r="Z90" s="37">
        <f>IFERROR(IF(Y90=0,"",ROUNDUP(Y90/H90,0)*0.00651),"")</f>
        <v>0.36456</v>
      </c>
      <c r="AA90" s="57"/>
      <c r="AB90" s="58"/>
      <c r="AC90" s="136" t="s">
        <v>171</v>
      </c>
      <c r="AG90" s="65"/>
      <c r="AJ90" s="69"/>
      <c r="AK90" s="69">
        <v>0</v>
      </c>
      <c r="BB90" s="137" t="s">
        <v>1</v>
      </c>
      <c r="BM90" s="65">
        <f>IFERROR(X90*I90/H90,"0")</f>
        <v>164</v>
      </c>
      <c r="BN90" s="65">
        <f>IFERROR(Y90*I90/H90,"0")</f>
        <v>165.31200000000001</v>
      </c>
      <c r="BO90" s="65">
        <f>IFERROR(1/J90*(X90/H90),"0")</f>
        <v>0.30525030525030522</v>
      </c>
      <c r="BP90" s="65">
        <f>IFERROR(1/J90*(Y90/H90),"0")</f>
        <v>0.30769230769230771</v>
      </c>
    </row>
    <row r="91" spans="1:68" x14ac:dyDescent="0.2">
      <c r="A91" s="419"/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0"/>
      <c r="N91" s="420"/>
      <c r="O91" s="421"/>
      <c r="P91" s="415" t="s">
        <v>76</v>
      </c>
      <c r="Q91" s="416"/>
      <c r="R91" s="416"/>
      <c r="S91" s="416"/>
      <c r="T91" s="416"/>
      <c r="U91" s="416"/>
      <c r="V91" s="417"/>
      <c r="W91" s="38" t="s">
        <v>77</v>
      </c>
      <c r="X91" s="405">
        <f>IFERROR(X88/H88,"0")+IFERROR(X89/H89,"0")+IFERROR(X90/H90,"0")</f>
        <v>154.32098765432099</v>
      </c>
      <c r="Y91" s="405">
        <f>IFERROR(Y88/H88,"0")+IFERROR(Y89/H89,"0")+IFERROR(Y90/H90,"0")</f>
        <v>155</v>
      </c>
      <c r="Z91" s="405">
        <f>IFERROR(IF(Z88="",0,Z88),"0")+IFERROR(IF(Z89="",0,Z89),"0")+IFERROR(IF(Z90="",0,Z90),"0")</f>
        <v>2.2435800000000001</v>
      </c>
      <c r="AA91" s="406"/>
      <c r="AB91" s="406"/>
      <c r="AC91" s="406"/>
    </row>
    <row r="92" spans="1:68" x14ac:dyDescent="0.2">
      <c r="A92" s="420"/>
      <c r="B92" s="420"/>
      <c r="C92" s="420"/>
      <c r="D92" s="420"/>
      <c r="E92" s="420"/>
      <c r="F92" s="420"/>
      <c r="G92" s="420"/>
      <c r="H92" s="420"/>
      <c r="I92" s="420"/>
      <c r="J92" s="420"/>
      <c r="K92" s="420"/>
      <c r="L92" s="420"/>
      <c r="M92" s="420"/>
      <c r="N92" s="420"/>
      <c r="O92" s="421"/>
      <c r="P92" s="415" t="s">
        <v>76</v>
      </c>
      <c r="Q92" s="416"/>
      <c r="R92" s="416"/>
      <c r="S92" s="416"/>
      <c r="T92" s="416"/>
      <c r="U92" s="416"/>
      <c r="V92" s="417"/>
      <c r="W92" s="38" t="s">
        <v>71</v>
      </c>
      <c r="X92" s="405">
        <f>IFERROR(SUM(X88:X90),"0")</f>
        <v>950</v>
      </c>
      <c r="Y92" s="405">
        <f>IFERROR(SUM(Y88:Y90),"0")</f>
        <v>953.1</v>
      </c>
      <c r="Z92" s="38"/>
      <c r="AA92" s="406"/>
      <c r="AB92" s="406"/>
      <c r="AC92" s="406"/>
    </row>
    <row r="93" spans="1:68" ht="14.25" customHeight="1" x14ac:dyDescent="0.25">
      <c r="A93" s="422" t="s">
        <v>128</v>
      </c>
      <c r="B93" s="420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0"/>
      <c r="N93" s="420"/>
      <c r="O93" s="420"/>
      <c r="P93" s="420"/>
      <c r="Q93" s="420"/>
      <c r="R93" s="420"/>
      <c r="S93" s="420"/>
      <c r="T93" s="420"/>
      <c r="U93" s="420"/>
      <c r="V93" s="420"/>
      <c r="W93" s="420"/>
      <c r="X93" s="420"/>
      <c r="Y93" s="420"/>
      <c r="Z93" s="420"/>
      <c r="AA93" s="399"/>
      <c r="AB93" s="399"/>
      <c r="AC93" s="399"/>
    </row>
    <row r="94" spans="1:68" ht="27" customHeight="1" x14ac:dyDescent="0.25">
      <c r="A94" s="55" t="s">
        <v>176</v>
      </c>
      <c r="B94" s="55" t="s">
        <v>177</v>
      </c>
      <c r="C94" s="32">
        <v>4301060317</v>
      </c>
      <c r="D94" s="411">
        <v>4680115880238</v>
      </c>
      <c r="E94" s="412"/>
      <c r="F94" s="402">
        <v>0.33</v>
      </c>
      <c r="G94" s="33">
        <v>6</v>
      </c>
      <c r="H94" s="402">
        <v>1.98</v>
      </c>
      <c r="I94" s="402">
        <v>2.238</v>
      </c>
      <c r="J94" s="33">
        <v>182</v>
      </c>
      <c r="K94" s="33" t="s">
        <v>69</v>
      </c>
      <c r="L94" s="33"/>
      <c r="M94" s="34" t="s">
        <v>95</v>
      </c>
      <c r="N94" s="34"/>
      <c r="O94" s="33">
        <v>40</v>
      </c>
      <c r="P94" s="4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4" s="408"/>
      <c r="R94" s="408"/>
      <c r="S94" s="408"/>
      <c r="T94" s="409"/>
      <c r="U94" s="35"/>
      <c r="V94" s="35"/>
      <c r="W94" s="36" t="s">
        <v>71</v>
      </c>
      <c r="X94" s="403">
        <v>0</v>
      </c>
      <c r="Y94" s="404">
        <f>IFERROR(IF(X94="",0,CEILING((X94/$H94),1)*$H94),"")</f>
        <v>0</v>
      </c>
      <c r="Z94" s="37" t="str">
        <f>IFERROR(IF(Y94=0,"",ROUNDUP(Y94/H94,0)*0.00651),"")</f>
        <v/>
      </c>
      <c r="AA94" s="57"/>
      <c r="AB94" s="58"/>
      <c r="AC94" s="138" t="s">
        <v>178</v>
      </c>
      <c r="AG94" s="65"/>
      <c r="AJ94" s="69"/>
      <c r="AK94" s="69">
        <v>0</v>
      </c>
      <c r="BB94" s="139" t="s">
        <v>1</v>
      </c>
      <c r="BM94" s="65">
        <f>IFERROR(X94*I94/H94,"0")</f>
        <v>0</v>
      </c>
      <c r="BN94" s="65">
        <f>IFERROR(Y94*I94/H94,"0")</f>
        <v>0</v>
      </c>
      <c r="BO94" s="65">
        <f>IFERROR(1/J94*(X94/H94),"0")</f>
        <v>0</v>
      </c>
      <c r="BP94" s="65">
        <f>IFERROR(1/J94*(Y94/H94),"0")</f>
        <v>0</v>
      </c>
    </row>
    <row r="95" spans="1:68" x14ac:dyDescent="0.2">
      <c r="A95" s="419"/>
      <c r="B95" s="420"/>
      <c r="C95" s="420"/>
      <c r="D95" s="420"/>
      <c r="E95" s="420"/>
      <c r="F95" s="420"/>
      <c r="G95" s="420"/>
      <c r="H95" s="420"/>
      <c r="I95" s="420"/>
      <c r="J95" s="420"/>
      <c r="K95" s="420"/>
      <c r="L95" s="420"/>
      <c r="M95" s="420"/>
      <c r="N95" s="420"/>
      <c r="O95" s="421"/>
      <c r="P95" s="415" t="s">
        <v>76</v>
      </c>
      <c r="Q95" s="416"/>
      <c r="R95" s="416"/>
      <c r="S95" s="416"/>
      <c r="T95" s="416"/>
      <c r="U95" s="416"/>
      <c r="V95" s="417"/>
      <c r="W95" s="38" t="s">
        <v>77</v>
      </c>
      <c r="X95" s="405">
        <f>IFERROR(X94/H94,"0")</f>
        <v>0</v>
      </c>
      <c r="Y95" s="405">
        <f>IFERROR(Y94/H94,"0")</f>
        <v>0</v>
      </c>
      <c r="Z95" s="405">
        <f>IFERROR(IF(Z94="",0,Z94),"0")</f>
        <v>0</v>
      </c>
      <c r="AA95" s="406"/>
      <c r="AB95" s="406"/>
      <c r="AC95" s="406"/>
    </row>
    <row r="96" spans="1:68" x14ac:dyDescent="0.2">
      <c r="A96" s="420"/>
      <c r="B96" s="420"/>
      <c r="C96" s="420"/>
      <c r="D96" s="420"/>
      <c r="E96" s="420"/>
      <c r="F96" s="420"/>
      <c r="G96" s="420"/>
      <c r="H96" s="420"/>
      <c r="I96" s="420"/>
      <c r="J96" s="420"/>
      <c r="K96" s="420"/>
      <c r="L96" s="420"/>
      <c r="M96" s="420"/>
      <c r="N96" s="420"/>
      <c r="O96" s="421"/>
      <c r="P96" s="415" t="s">
        <v>76</v>
      </c>
      <c r="Q96" s="416"/>
      <c r="R96" s="416"/>
      <c r="S96" s="416"/>
      <c r="T96" s="416"/>
      <c r="U96" s="416"/>
      <c r="V96" s="417"/>
      <c r="W96" s="38" t="s">
        <v>71</v>
      </c>
      <c r="X96" s="405">
        <f>IFERROR(SUM(X94:X94),"0")</f>
        <v>0</v>
      </c>
      <c r="Y96" s="405">
        <f>IFERROR(SUM(Y94:Y94),"0")</f>
        <v>0</v>
      </c>
      <c r="Z96" s="38"/>
      <c r="AA96" s="406"/>
      <c r="AB96" s="406"/>
      <c r="AC96" s="406"/>
    </row>
    <row r="97" spans="1:68" ht="16.5" customHeight="1" x14ac:dyDescent="0.25">
      <c r="A97" s="434" t="s">
        <v>84</v>
      </c>
      <c r="B97" s="420"/>
      <c r="C97" s="420"/>
      <c r="D97" s="420"/>
      <c r="E97" s="420"/>
      <c r="F97" s="420"/>
      <c r="G97" s="420"/>
      <c r="H97" s="420"/>
      <c r="I97" s="420"/>
      <c r="J97" s="420"/>
      <c r="K97" s="420"/>
      <c r="L97" s="420"/>
      <c r="M97" s="420"/>
      <c r="N97" s="420"/>
      <c r="O97" s="420"/>
      <c r="P97" s="420"/>
      <c r="Q97" s="420"/>
      <c r="R97" s="420"/>
      <c r="S97" s="420"/>
      <c r="T97" s="420"/>
      <c r="U97" s="420"/>
      <c r="V97" s="420"/>
      <c r="W97" s="420"/>
      <c r="X97" s="420"/>
      <c r="Y97" s="420"/>
      <c r="Z97" s="420"/>
      <c r="AA97" s="398"/>
      <c r="AB97" s="398"/>
      <c r="AC97" s="398"/>
    </row>
    <row r="98" spans="1:68" ht="14.25" customHeight="1" x14ac:dyDescent="0.25">
      <c r="A98" s="422" t="s">
        <v>86</v>
      </c>
      <c r="B98" s="420"/>
      <c r="C98" s="420"/>
      <c r="D98" s="420"/>
      <c r="E98" s="420"/>
      <c r="F98" s="420"/>
      <c r="G98" s="420"/>
      <c r="H98" s="420"/>
      <c r="I98" s="420"/>
      <c r="J98" s="420"/>
      <c r="K98" s="420"/>
      <c r="L98" s="420"/>
      <c r="M98" s="420"/>
      <c r="N98" s="420"/>
      <c r="O98" s="420"/>
      <c r="P98" s="420"/>
      <c r="Q98" s="420"/>
      <c r="R98" s="420"/>
      <c r="S98" s="420"/>
      <c r="T98" s="420"/>
      <c r="U98" s="420"/>
      <c r="V98" s="420"/>
      <c r="W98" s="420"/>
      <c r="X98" s="420"/>
      <c r="Y98" s="420"/>
      <c r="Z98" s="420"/>
      <c r="AA98" s="399"/>
      <c r="AB98" s="399"/>
      <c r="AC98" s="399"/>
    </row>
    <row r="99" spans="1:68" ht="27" customHeight="1" x14ac:dyDescent="0.25">
      <c r="A99" s="55" t="s">
        <v>179</v>
      </c>
      <c r="B99" s="55" t="s">
        <v>180</v>
      </c>
      <c r="C99" s="32">
        <v>4301011705</v>
      </c>
      <c r="D99" s="411">
        <v>4607091384604</v>
      </c>
      <c r="E99" s="412"/>
      <c r="F99" s="402">
        <v>0.4</v>
      </c>
      <c r="G99" s="33">
        <v>10</v>
      </c>
      <c r="H99" s="402">
        <v>4</v>
      </c>
      <c r="I99" s="402">
        <v>4.21</v>
      </c>
      <c r="J99" s="33">
        <v>132</v>
      </c>
      <c r="K99" s="33" t="s">
        <v>94</v>
      </c>
      <c r="L99" s="33"/>
      <c r="M99" s="34" t="s">
        <v>90</v>
      </c>
      <c r="N99" s="34"/>
      <c r="O99" s="33">
        <v>50</v>
      </c>
      <c r="P99" s="4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9" s="408"/>
      <c r="R99" s="408"/>
      <c r="S99" s="408"/>
      <c r="T99" s="409"/>
      <c r="U99" s="35"/>
      <c r="V99" s="35"/>
      <c r="W99" s="36" t="s">
        <v>71</v>
      </c>
      <c r="X99" s="403">
        <v>0</v>
      </c>
      <c r="Y99" s="404">
        <f>IFERROR(IF(X99="",0,CEILING((X99/$H99),1)*$H99),"")</f>
        <v>0</v>
      </c>
      <c r="Z99" s="37" t="str">
        <f>IFERROR(IF(Y99=0,"",ROUNDUP(Y99/H99,0)*0.00902),"")</f>
        <v/>
      </c>
      <c r="AA99" s="57"/>
      <c r="AB99" s="58"/>
      <c r="AC99" s="140" t="s">
        <v>181</v>
      </c>
      <c r="AG99" s="65"/>
      <c r="AJ99" s="69"/>
      <c r="AK99" s="69">
        <v>0</v>
      </c>
      <c r="BB99" s="141" t="s">
        <v>1</v>
      </c>
      <c r="BM99" s="65">
        <f>IFERROR(X99*I99/H99,"0")</f>
        <v>0</v>
      </c>
      <c r="BN99" s="65">
        <f>IFERROR(Y99*I99/H99,"0")</f>
        <v>0</v>
      </c>
      <c r="BO99" s="65">
        <f>IFERROR(1/J99*(X99/H99),"0")</f>
        <v>0</v>
      </c>
      <c r="BP99" s="65">
        <f>IFERROR(1/J99*(Y99/H99),"0")</f>
        <v>0</v>
      </c>
    </row>
    <row r="100" spans="1:68" x14ac:dyDescent="0.2">
      <c r="A100" s="419"/>
      <c r="B100" s="420"/>
      <c r="C100" s="420"/>
      <c r="D100" s="420"/>
      <c r="E100" s="420"/>
      <c r="F100" s="420"/>
      <c r="G100" s="420"/>
      <c r="H100" s="420"/>
      <c r="I100" s="420"/>
      <c r="J100" s="420"/>
      <c r="K100" s="420"/>
      <c r="L100" s="420"/>
      <c r="M100" s="420"/>
      <c r="N100" s="420"/>
      <c r="O100" s="421"/>
      <c r="P100" s="415" t="s">
        <v>76</v>
      </c>
      <c r="Q100" s="416"/>
      <c r="R100" s="416"/>
      <c r="S100" s="416"/>
      <c r="T100" s="416"/>
      <c r="U100" s="416"/>
      <c r="V100" s="417"/>
      <c r="W100" s="38" t="s">
        <v>77</v>
      </c>
      <c r="X100" s="405">
        <f>IFERROR(X99/H99,"0")</f>
        <v>0</v>
      </c>
      <c r="Y100" s="405">
        <f>IFERROR(Y99/H99,"0")</f>
        <v>0</v>
      </c>
      <c r="Z100" s="405">
        <f>IFERROR(IF(Z99="",0,Z99),"0")</f>
        <v>0</v>
      </c>
      <c r="AA100" s="406"/>
      <c r="AB100" s="406"/>
      <c r="AC100" s="406"/>
    </row>
    <row r="101" spans="1:68" x14ac:dyDescent="0.2">
      <c r="A101" s="420"/>
      <c r="B101" s="420"/>
      <c r="C101" s="420"/>
      <c r="D101" s="420"/>
      <c r="E101" s="420"/>
      <c r="F101" s="420"/>
      <c r="G101" s="420"/>
      <c r="H101" s="420"/>
      <c r="I101" s="420"/>
      <c r="J101" s="420"/>
      <c r="K101" s="420"/>
      <c r="L101" s="420"/>
      <c r="M101" s="420"/>
      <c r="N101" s="420"/>
      <c r="O101" s="421"/>
      <c r="P101" s="415" t="s">
        <v>76</v>
      </c>
      <c r="Q101" s="416"/>
      <c r="R101" s="416"/>
      <c r="S101" s="416"/>
      <c r="T101" s="416"/>
      <c r="U101" s="416"/>
      <c r="V101" s="417"/>
      <c r="W101" s="38" t="s">
        <v>71</v>
      </c>
      <c r="X101" s="405">
        <f>IFERROR(SUM(X99:X99),"0")</f>
        <v>0</v>
      </c>
      <c r="Y101" s="405">
        <f>IFERROR(SUM(Y99:Y99),"0")</f>
        <v>0</v>
      </c>
      <c r="Z101" s="38"/>
      <c r="AA101" s="406"/>
      <c r="AB101" s="406"/>
      <c r="AC101" s="406"/>
    </row>
    <row r="102" spans="1:68" ht="14.25" customHeight="1" x14ac:dyDescent="0.25">
      <c r="A102" s="422" t="s">
        <v>182</v>
      </c>
      <c r="B102" s="420"/>
      <c r="C102" s="420"/>
      <c r="D102" s="420"/>
      <c r="E102" s="420"/>
      <c r="F102" s="420"/>
      <c r="G102" s="420"/>
      <c r="H102" s="420"/>
      <c r="I102" s="420"/>
      <c r="J102" s="420"/>
      <c r="K102" s="420"/>
      <c r="L102" s="420"/>
      <c r="M102" s="420"/>
      <c r="N102" s="420"/>
      <c r="O102" s="420"/>
      <c r="P102" s="420"/>
      <c r="Q102" s="420"/>
      <c r="R102" s="420"/>
      <c r="S102" s="420"/>
      <c r="T102" s="420"/>
      <c r="U102" s="420"/>
      <c r="V102" s="420"/>
      <c r="W102" s="420"/>
      <c r="X102" s="420"/>
      <c r="Y102" s="420"/>
      <c r="Z102" s="420"/>
      <c r="AA102" s="399"/>
      <c r="AB102" s="399"/>
      <c r="AC102" s="399"/>
    </row>
    <row r="103" spans="1:68" ht="16.5" customHeight="1" x14ac:dyDescent="0.25">
      <c r="A103" s="55" t="s">
        <v>183</v>
      </c>
      <c r="B103" s="55" t="s">
        <v>184</v>
      </c>
      <c r="C103" s="32">
        <v>4301030895</v>
      </c>
      <c r="D103" s="411">
        <v>4607091387667</v>
      </c>
      <c r="E103" s="412"/>
      <c r="F103" s="402">
        <v>0.9</v>
      </c>
      <c r="G103" s="33">
        <v>10</v>
      </c>
      <c r="H103" s="402">
        <v>9</v>
      </c>
      <c r="I103" s="402">
        <v>9.5850000000000009</v>
      </c>
      <c r="J103" s="33">
        <v>64</v>
      </c>
      <c r="K103" s="33" t="s">
        <v>89</v>
      </c>
      <c r="L103" s="33"/>
      <c r="M103" s="34" t="s">
        <v>90</v>
      </c>
      <c r="N103" s="34"/>
      <c r="O103" s="33">
        <v>40</v>
      </c>
      <c r="P103" s="4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3" s="408"/>
      <c r="R103" s="408"/>
      <c r="S103" s="408"/>
      <c r="T103" s="409"/>
      <c r="U103" s="35"/>
      <c r="V103" s="35"/>
      <c r="W103" s="36" t="s">
        <v>71</v>
      </c>
      <c r="X103" s="403">
        <v>0</v>
      </c>
      <c r="Y103" s="404">
        <f>IFERROR(IF(X103="",0,CEILING((X103/$H103),1)*$H103),"")</f>
        <v>0</v>
      </c>
      <c r="Z103" s="37" t="str">
        <f>IFERROR(IF(Y103=0,"",ROUNDUP(Y103/H103,0)*0.01898),"")</f>
        <v/>
      </c>
      <c r="AA103" s="57"/>
      <c r="AB103" s="58"/>
      <c r="AC103" s="142" t="s">
        <v>185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16.5" customHeight="1" x14ac:dyDescent="0.25">
      <c r="A104" s="55" t="s">
        <v>186</v>
      </c>
      <c r="B104" s="55" t="s">
        <v>187</v>
      </c>
      <c r="C104" s="32">
        <v>4301030961</v>
      </c>
      <c r="D104" s="411">
        <v>4607091387636</v>
      </c>
      <c r="E104" s="412"/>
      <c r="F104" s="402">
        <v>0.7</v>
      </c>
      <c r="G104" s="33">
        <v>6</v>
      </c>
      <c r="H104" s="402">
        <v>4.2</v>
      </c>
      <c r="I104" s="402">
        <v>4.47</v>
      </c>
      <c r="J104" s="33">
        <v>182</v>
      </c>
      <c r="K104" s="33" t="s">
        <v>69</v>
      </c>
      <c r="L104" s="33"/>
      <c r="M104" s="34" t="s">
        <v>70</v>
      </c>
      <c r="N104" s="34"/>
      <c r="O104" s="33">
        <v>40</v>
      </c>
      <c r="P104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4" s="408"/>
      <c r="R104" s="408"/>
      <c r="S104" s="408"/>
      <c r="T104" s="409"/>
      <c r="U104" s="35"/>
      <c r="V104" s="35"/>
      <c r="W104" s="36" t="s">
        <v>71</v>
      </c>
      <c r="X104" s="403">
        <v>0</v>
      </c>
      <c r="Y104" s="404">
        <f>IFERROR(IF(X104="",0,CEILING((X104/$H104),1)*$H104),"")</f>
        <v>0</v>
      </c>
      <c r="Z104" s="37" t="str">
        <f>IFERROR(IF(Y104=0,"",ROUNDUP(Y104/H104,0)*0.00651),"")</f>
        <v/>
      </c>
      <c r="AA104" s="57"/>
      <c r="AB104" s="58"/>
      <c r="AC104" s="144" t="s">
        <v>188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ht="27" customHeight="1" x14ac:dyDescent="0.25">
      <c r="A105" s="55" t="s">
        <v>189</v>
      </c>
      <c r="B105" s="55" t="s">
        <v>190</v>
      </c>
      <c r="C105" s="32">
        <v>4301030963</v>
      </c>
      <c r="D105" s="411">
        <v>4607091382426</v>
      </c>
      <c r="E105" s="412"/>
      <c r="F105" s="402">
        <v>0.9</v>
      </c>
      <c r="G105" s="33">
        <v>10</v>
      </c>
      <c r="H105" s="402">
        <v>9</v>
      </c>
      <c r="I105" s="402">
        <v>9.5850000000000009</v>
      </c>
      <c r="J105" s="33">
        <v>64</v>
      </c>
      <c r="K105" s="33" t="s">
        <v>89</v>
      </c>
      <c r="L105" s="33"/>
      <c r="M105" s="34" t="s">
        <v>70</v>
      </c>
      <c r="N105" s="34"/>
      <c r="O105" s="33">
        <v>40</v>
      </c>
      <c r="P105" s="6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5" s="408"/>
      <c r="R105" s="408"/>
      <c r="S105" s="408"/>
      <c r="T105" s="409"/>
      <c r="U105" s="35"/>
      <c r="V105" s="35"/>
      <c r="W105" s="36" t="s">
        <v>71</v>
      </c>
      <c r="X105" s="403">
        <v>0</v>
      </c>
      <c r="Y105" s="404">
        <f>IFERROR(IF(X105="",0,CEILING((X105/$H105),1)*$H105),"")</f>
        <v>0</v>
      </c>
      <c r="Z105" s="37" t="str">
        <f>IFERROR(IF(Y105=0,"",ROUNDUP(Y105/H105,0)*0.01898),"")</f>
        <v/>
      </c>
      <c r="AA105" s="57"/>
      <c r="AB105" s="58"/>
      <c r="AC105" s="146" t="s">
        <v>191</v>
      </c>
      <c r="AG105" s="65"/>
      <c r="AJ105" s="69"/>
      <c r="AK105" s="69">
        <v>0</v>
      </c>
      <c r="BB105" s="147" t="s">
        <v>1</v>
      </c>
      <c r="BM105" s="65">
        <f>IFERROR(X105*I105/H105,"0")</f>
        <v>0</v>
      </c>
      <c r="BN105" s="65">
        <f>IFERROR(Y105*I105/H105,"0")</f>
        <v>0</v>
      </c>
      <c r="BO105" s="65">
        <f>IFERROR(1/J105*(X105/H105),"0")</f>
        <v>0</v>
      </c>
      <c r="BP105" s="65">
        <f>IFERROR(1/J105*(Y105/H105),"0")</f>
        <v>0</v>
      </c>
    </row>
    <row r="106" spans="1:68" x14ac:dyDescent="0.2">
      <c r="A106" s="419"/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20"/>
      <c r="O106" s="421"/>
      <c r="P106" s="415" t="s">
        <v>76</v>
      </c>
      <c r="Q106" s="416"/>
      <c r="R106" s="416"/>
      <c r="S106" s="416"/>
      <c r="T106" s="416"/>
      <c r="U106" s="416"/>
      <c r="V106" s="417"/>
      <c r="W106" s="38" t="s">
        <v>77</v>
      </c>
      <c r="X106" s="405">
        <f>IFERROR(X103/H103,"0")+IFERROR(X104/H104,"0")+IFERROR(X105/H105,"0")</f>
        <v>0</v>
      </c>
      <c r="Y106" s="405">
        <f>IFERROR(Y103/H103,"0")+IFERROR(Y104/H104,"0")+IFERROR(Y105/H105,"0")</f>
        <v>0</v>
      </c>
      <c r="Z106" s="405">
        <f>IFERROR(IF(Z103="",0,Z103),"0")+IFERROR(IF(Z104="",0,Z104),"0")+IFERROR(IF(Z105="",0,Z105),"0")</f>
        <v>0</v>
      </c>
      <c r="AA106" s="406"/>
      <c r="AB106" s="406"/>
      <c r="AC106" s="406"/>
    </row>
    <row r="107" spans="1:68" x14ac:dyDescent="0.2">
      <c r="A107" s="420"/>
      <c r="B107" s="420"/>
      <c r="C107" s="420"/>
      <c r="D107" s="420"/>
      <c r="E107" s="420"/>
      <c r="F107" s="420"/>
      <c r="G107" s="420"/>
      <c r="H107" s="420"/>
      <c r="I107" s="420"/>
      <c r="J107" s="420"/>
      <c r="K107" s="420"/>
      <c r="L107" s="420"/>
      <c r="M107" s="420"/>
      <c r="N107" s="420"/>
      <c r="O107" s="421"/>
      <c r="P107" s="415" t="s">
        <v>76</v>
      </c>
      <c r="Q107" s="416"/>
      <c r="R107" s="416"/>
      <c r="S107" s="416"/>
      <c r="T107" s="416"/>
      <c r="U107" s="416"/>
      <c r="V107" s="417"/>
      <c r="W107" s="38" t="s">
        <v>71</v>
      </c>
      <c r="X107" s="405">
        <f>IFERROR(SUM(X103:X105),"0")</f>
        <v>0</v>
      </c>
      <c r="Y107" s="405">
        <f>IFERROR(SUM(Y103:Y105),"0")</f>
        <v>0</v>
      </c>
      <c r="Z107" s="38"/>
      <c r="AA107" s="406"/>
      <c r="AB107" s="406"/>
      <c r="AC107" s="406"/>
    </row>
    <row r="108" spans="1:68" ht="27.75" customHeight="1" x14ac:dyDescent="0.2">
      <c r="A108" s="461" t="s">
        <v>192</v>
      </c>
      <c r="B108" s="462"/>
      <c r="C108" s="462"/>
      <c r="D108" s="462"/>
      <c r="E108" s="462"/>
      <c r="F108" s="462"/>
      <c r="G108" s="462"/>
      <c r="H108" s="462"/>
      <c r="I108" s="462"/>
      <c r="J108" s="462"/>
      <c r="K108" s="462"/>
      <c r="L108" s="462"/>
      <c r="M108" s="462"/>
      <c r="N108" s="462"/>
      <c r="O108" s="462"/>
      <c r="P108" s="462"/>
      <c r="Q108" s="462"/>
      <c r="R108" s="462"/>
      <c r="S108" s="462"/>
      <c r="T108" s="462"/>
      <c r="U108" s="462"/>
      <c r="V108" s="462"/>
      <c r="W108" s="462"/>
      <c r="X108" s="462"/>
      <c r="Y108" s="462"/>
      <c r="Z108" s="462"/>
      <c r="AA108" s="49"/>
      <c r="AB108" s="49"/>
      <c r="AC108" s="49"/>
    </row>
    <row r="109" spans="1:68" ht="16.5" customHeight="1" x14ac:dyDescent="0.25">
      <c r="A109" s="434" t="s">
        <v>193</v>
      </c>
      <c r="B109" s="420"/>
      <c r="C109" s="420"/>
      <c r="D109" s="420"/>
      <c r="E109" s="420"/>
      <c r="F109" s="420"/>
      <c r="G109" s="420"/>
      <c r="H109" s="420"/>
      <c r="I109" s="420"/>
      <c r="J109" s="420"/>
      <c r="K109" s="420"/>
      <c r="L109" s="420"/>
      <c r="M109" s="420"/>
      <c r="N109" s="420"/>
      <c r="O109" s="420"/>
      <c r="P109" s="420"/>
      <c r="Q109" s="420"/>
      <c r="R109" s="420"/>
      <c r="S109" s="420"/>
      <c r="T109" s="420"/>
      <c r="U109" s="420"/>
      <c r="V109" s="420"/>
      <c r="W109" s="420"/>
      <c r="X109" s="420"/>
      <c r="Y109" s="420"/>
      <c r="Z109" s="420"/>
      <c r="AA109" s="398"/>
      <c r="AB109" s="398"/>
      <c r="AC109" s="398"/>
    </row>
    <row r="110" spans="1:68" ht="14.25" customHeight="1" x14ac:dyDescent="0.25">
      <c r="A110" s="422" t="s">
        <v>182</v>
      </c>
      <c r="B110" s="420"/>
      <c r="C110" s="420"/>
      <c r="D110" s="420"/>
      <c r="E110" s="420"/>
      <c r="F110" s="420"/>
      <c r="G110" s="420"/>
      <c r="H110" s="420"/>
      <c r="I110" s="420"/>
      <c r="J110" s="420"/>
      <c r="K110" s="420"/>
      <c r="L110" s="420"/>
      <c r="M110" s="420"/>
      <c r="N110" s="420"/>
      <c r="O110" s="420"/>
      <c r="P110" s="420"/>
      <c r="Q110" s="420"/>
      <c r="R110" s="420"/>
      <c r="S110" s="420"/>
      <c r="T110" s="420"/>
      <c r="U110" s="420"/>
      <c r="V110" s="420"/>
      <c r="W110" s="420"/>
      <c r="X110" s="420"/>
      <c r="Y110" s="420"/>
      <c r="Z110" s="420"/>
      <c r="AA110" s="399"/>
      <c r="AB110" s="399"/>
      <c r="AC110" s="399"/>
    </row>
    <row r="111" spans="1:68" ht="27" customHeight="1" x14ac:dyDescent="0.25">
      <c r="A111" s="55" t="s">
        <v>194</v>
      </c>
      <c r="B111" s="55" t="s">
        <v>195</v>
      </c>
      <c r="C111" s="32">
        <v>4301031191</v>
      </c>
      <c r="D111" s="411">
        <v>4680115880993</v>
      </c>
      <c r="E111" s="412"/>
      <c r="F111" s="402">
        <v>0.7</v>
      </c>
      <c r="G111" s="33">
        <v>6</v>
      </c>
      <c r="H111" s="402">
        <v>4.2</v>
      </c>
      <c r="I111" s="402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1" s="408"/>
      <c r="R111" s="408"/>
      <c r="S111" s="408"/>
      <c r="T111" s="409"/>
      <c r="U111" s="35"/>
      <c r="V111" s="35"/>
      <c r="W111" s="36" t="s">
        <v>71</v>
      </c>
      <c r="X111" s="403">
        <v>0</v>
      </c>
      <c r="Y111" s="404">
        <f t="shared" ref="Y111:Y118" si="5">IFERROR(IF(X111="",0,CEILING((X111/$H111),1)*$H111),"")</f>
        <v>0</v>
      </c>
      <c r="Z111" s="37" t="str">
        <f>IFERROR(IF(Y111=0,"",ROUNDUP(Y111/H111,0)*0.00902),"")</f>
        <v/>
      </c>
      <c r="AA111" s="57"/>
      <c r="AB111" s="58"/>
      <c r="AC111" s="148" t="s">
        <v>196</v>
      </c>
      <c r="AG111" s="65"/>
      <c r="AJ111" s="69"/>
      <c r="AK111" s="69">
        <v>0</v>
      </c>
      <c r="BB111" s="149" t="s">
        <v>1</v>
      </c>
      <c r="BM111" s="65">
        <f t="shared" ref="BM111:BM118" si="6">IFERROR(X111*I111/H111,"0")</f>
        <v>0</v>
      </c>
      <c r="BN111" s="65">
        <f t="shared" ref="BN111:BN118" si="7">IFERROR(Y111*I111/H111,"0")</f>
        <v>0</v>
      </c>
      <c r="BO111" s="65">
        <f t="shared" ref="BO111:BO118" si="8">IFERROR(1/J111*(X111/H111),"0")</f>
        <v>0</v>
      </c>
      <c r="BP111" s="65">
        <f t="shared" ref="BP111:BP118" si="9">IFERROR(1/J111*(Y111/H111),"0")</f>
        <v>0</v>
      </c>
    </row>
    <row r="112" spans="1:68" ht="27" customHeight="1" x14ac:dyDescent="0.25">
      <c r="A112" s="55" t="s">
        <v>197</v>
      </c>
      <c r="B112" s="55" t="s">
        <v>198</v>
      </c>
      <c r="C112" s="32">
        <v>4301031204</v>
      </c>
      <c r="D112" s="411">
        <v>4680115881761</v>
      </c>
      <c r="E112" s="412"/>
      <c r="F112" s="402">
        <v>0.7</v>
      </c>
      <c r="G112" s="33">
        <v>6</v>
      </c>
      <c r="H112" s="402">
        <v>4.2</v>
      </c>
      <c r="I112" s="402">
        <v>4.47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5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2" s="408"/>
      <c r="R112" s="408"/>
      <c r="S112" s="408"/>
      <c r="T112" s="409"/>
      <c r="U112" s="35"/>
      <c r="V112" s="35"/>
      <c r="W112" s="36" t="s">
        <v>71</v>
      </c>
      <c r="X112" s="403">
        <v>90</v>
      </c>
      <c r="Y112" s="404">
        <f t="shared" si="5"/>
        <v>92.4</v>
      </c>
      <c r="Z112" s="37">
        <f>IFERROR(IF(Y112=0,"",ROUNDUP(Y112/H112,0)*0.00902),"")</f>
        <v>0.19844000000000001</v>
      </c>
      <c r="AA112" s="57"/>
      <c r="AB112" s="58"/>
      <c r="AC112" s="150" t="s">
        <v>199</v>
      </c>
      <c r="AG112" s="65"/>
      <c r="AJ112" s="69"/>
      <c r="AK112" s="69">
        <v>0</v>
      </c>
      <c r="BB112" s="151" t="s">
        <v>1</v>
      </c>
      <c r="BM112" s="65">
        <f t="shared" si="6"/>
        <v>95.785714285714278</v>
      </c>
      <c r="BN112" s="65">
        <f t="shared" si="7"/>
        <v>98.34</v>
      </c>
      <c r="BO112" s="65">
        <f t="shared" si="8"/>
        <v>0.16233766233766234</v>
      </c>
      <c r="BP112" s="65">
        <f t="shared" si="9"/>
        <v>0.16666666666666669</v>
      </c>
    </row>
    <row r="113" spans="1:68" ht="27" customHeight="1" x14ac:dyDescent="0.25">
      <c r="A113" s="55" t="s">
        <v>200</v>
      </c>
      <c r="B113" s="55" t="s">
        <v>201</v>
      </c>
      <c r="C113" s="32">
        <v>4301031201</v>
      </c>
      <c r="D113" s="411">
        <v>4680115881563</v>
      </c>
      <c r="E113" s="412"/>
      <c r="F113" s="402">
        <v>0.7</v>
      </c>
      <c r="G113" s="33">
        <v>6</v>
      </c>
      <c r="H113" s="402">
        <v>4.2</v>
      </c>
      <c r="I113" s="402">
        <v>4.41</v>
      </c>
      <c r="J113" s="33">
        <v>132</v>
      </c>
      <c r="K113" s="33" t="s">
        <v>94</v>
      </c>
      <c r="L113" s="33"/>
      <c r="M113" s="34" t="s">
        <v>70</v>
      </c>
      <c r="N113" s="34"/>
      <c r="O113" s="33">
        <v>40</v>
      </c>
      <c r="P113" s="4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3" s="408"/>
      <c r="R113" s="408"/>
      <c r="S113" s="408"/>
      <c r="T113" s="409"/>
      <c r="U113" s="35"/>
      <c r="V113" s="35"/>
      <c r="W113" s="36" t="s">
        <v>71</v>
      </c>
      <c r="X113" s="403">
        <v>80</v>
      </c>
      <c r="Y113" s="404">
        <f t="shared" si="5"/>
        <v>84</v>
      </c>
      <c r="Z113" s="37">
        <f>IFERROR(IF(Y113=0,"",ROUNDUP(Y113/H113,0)*0.00902),"")</f>
        <v>0.1804</v>
      </c>
      <c r="AA113" s="57"/>
      <c r="AB113" s="58"/>
      <c r="AC113" s="152" t="s">
        <v>202</v>
      </c>
      <c r="AG113" s="65"/>
      <c r="AJ113" s="69"/>
      <c r="AK113" s="69">
        <v>0</v>
      </c>
      <c r="BB113" s="153" t="s">
        <v>1</v>
      </c>
      <c r="BM113" s="65">
        <f t="shared" si="6"/>
        <v>84</v>
      </c>
      <c r="BN113" s="65">
        <f t="shared" si="7"/>
        <v>88.199999999999989</v>
      </c>
      <c r="BO113" s="65">
        <f t="shared" si="8"/>
        <v>0.14430014430014429</v>
      </c>
      <c r="BP113" s="65">
        <f t="shared" si="9"/>
        <v>0.15151515151515152</v>
      </c>
    </row>
    <row r="114" spans="1:68" ht="27" customHeight="1" x14ac:dyDescent="0.25">
      <c r="A114" s="55" t="s">
        <v>203</v>
      </c>
      <c r="B114" s="55" t="s">
        <v>204</v>
      </c>
      <c r="C114" s="32">
        <v>4301031199</v>
      </c>
      <c r="D114" s="411">
        <v>4680115880986</v>
      </c>
      <c r="E114" s="412"/>
      <c r="F114" s="402">
        <v>0.35</v>
      </c>
      <c r="G114" s="33">
        <v>6</v>
      </c>
      <c r="H114" s="402">
        <v>2.1</v>
      </c>
      <c r="I114" s="402">
        <v>2.23</v>
      </c>
      <c r="J114" s="33">
        <v>234</v>
      </c>
      <c r="K114" s="33" t="s">
        <v>166</v>
      </c>
      <c r="L114" s="33"/>
      <c r="M114" s="34" t="s">
        <v>70</v>
      </c>
      <c r="N114" s="34"/>
      <c r="O114" s="33">
        <v>40</v>
      </c>
      <c r="P114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4" s="408"/>
      <c r="R114" s="408"/>
      <c r="S114" s="408"/>
      <c r="T114" s="409"/>
      <c r="U114" s="35"/>
      <c r="V114" s="35"/>
      <c r="W114" s="36" t="s">
        <v>71</v>
      </c>
      <c r="X114" s="403">
        <v>0</v>
      </c>
      <c r="Y114" s="404">
        <f t="shared" si="5"/>
        <v>0</v>
      </c>
      <c r="Z114" s="37" t="str">
        <f>IFERROR(IF(Y114=0,"",ROUNDUP(Y114/H114,0)*0.00502),"")</f>
        <v/>
      </c>
      <c r="AA114" s="57"/>
      <c r="AB114" s="58"/>
      <c r="AC114" s="154" t="s">
        <v>196</v>
      </c>
      <c r="AG114" s="65"/>
      <c r="AJ114" s="69"/>
      <c r="AK114" s="69">
        <v>0</v>
      </c>
      <c r="BB114" s="155" t="s">
        <v>1</v>
      </c>
      <c r="BM114" s="65">
        <f t="shared" si="6"/>
        <v>0</v>
      </c>
      <c r="BN114" s="65">
        <f t="shared" si="7"/>
        <v>0</v>
      </c>
      <c r="BO114" s="65">
        <f t="shared" si="8"/>
        <v>0</v>
      </c>
      <c r="BP114" s="65">
        <f t="shared" si="9"/>
        <v>0</v>
      </c>
    </row>
    <row r="115" spans="1:68" ht="27" customHeight="1" x14ac:dyDescent="0.25">
      <c r="A115" s="55" t="s">
        <v>205</v>
      </c>
      <c r="B115" s="55" t="s">
        <v>206</v>
      </c>
      <c r="C115" s="32">
        <v>4301031205</v>
      </c>
      <c r="D115" s="411">
        <v>4680115881785</v>
      </c>
      <c r="E115" s="412"/>
      <c r="F115" s="402">
        <v>0.35</v>
      </c>
      <c r="G115" s="33">
        <v>6</v>
      </c>
      <c r="H115" s="402">
        <v>2.1</v>
      </c>
      <c r="I115" s="402">
        <v>2.23</v>
      </c>
      <c r="J115" s="33">
        <v>234</v>
      </c>
      <c r="K115" s="33" t="s">
        <v>166</v>
      </c>
      <c r="L115" s="33"/>
      <c r="M115" s="34" t="s">
        <v>70</v>
      </c>
      <c r="N115" s="34"/>
      <c r="O115" s="33">
        <v>40</v>
      </c>
      <c r="P115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5" s="408"/>
      <c r="R115" s="408"/>
      <c r="S115" s="408"/>
      <c r="T115" s="409"/>
      <c r="U115" s="35"/>
      <c r="V115" s="35"/>
      <c r="W115" s="36" t="s">
        <v>71</v>
      </c>
      <c r="X115" s="403">
        <v>100</v>
      </c>
      <c r="Y115" s="404">
        <f t="shared" si="5"/>
        <v>100.80000000000001</v>
      </c>
      <c r="Z115" s="37">
        <f>IFERROR(IF(Y115=0,"",ROUNDUP(Y115/H115,0)*0.00502),"")</f>
        <v>0.24096000000000001</v>
      </c>
      <c r="AA115" s="57"/>
      <c r="AB115" s="58"/>
      <c r="AC115" s="156" t="s">
        <v>199</v>
      </c>
      <c r="AG115" s="65"/>
      <c r="AJ115" s="69"/>
      <c r="AK115" s="69">
        <v>0</v>
      </c>
      <c r="BB115" s="157" t="s">
        <v>1</v>
      </c>
      <c r="BM115" s="65">
        <f t="shared" si="6"/>
        <v>106.19047619047619</v>
      </c>
      <c r="BN115" s="65">
        <f t="shared" si="7"/>
        <v>107.04</v>
      </c>
      <c r="BO115" s="65">
        <f t="shared" si="8"/>
        <v>0.20350020350020354</v>
      </c>
      <c r="BP115" s="65">
        <f t="shared" si="9"/>
        <v>0.20512820512820515</v>
      </c>
    </row>
    <row r="116" spans="1:68" ht="37.5" customHeight="1" x14ac:dyDescent="0.25">
      <c r="A116" s="55" t="s">
        <v>207</v>
      </c>
      <c r="B116" s="55" t="s">
        <v>208</v>
      </c>
      <c r="C116" s="32">
        <v>4301031202</v>
      </c>
      <c r="D116" s="411">
        <v>4680115881679</v>
      </c>
      <c r="E116" s="412"/>
      <c r="F116" s="402">
        <v>0.35</v>
      </c>
      <c r="G116" s="33">
        <v>6</v>
      </c>
      <c r="H116" s="402">
        <v>2.1</v>
      </c>
      <c r="I116" s="402">
        <v>2.2000000000000002</v>
      </c>
      <c r="J116" s="33">
        <v>234</v>
      </c>
      <c r="K116" s="33" t="s">
        <v>166</v>
      </c>
      <c r="L116" s="33"/>
      <c r="M116" s="34" t="s">
        <v>70</v>
      </c>
      <c r="N116" s="34"/>
      <c r="O116" s="33">
        <v>40</v>
      </c>
      <c r="P116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6" s="408"/>
      <c r="R116" s="408"/>
      <c r="S116" s="408"/>
      <c r="T116" s="409"/>
      <c r="U116" s="35"/>
      <c r="V116" s="35"/>
      <c r="W116" s="36" t="s">
        <v>71</v>
      </c>
      <c r="X116" s="403">
        <v>100</v>
      </c>
      <c r="Y116" s="404">
        <f t="shared" si="5"/>
        <v>100.80000000000001</v>
      </c>
      <c r="Z116" s="37">
        <f>IFERROR(IF(Y116=0,"",ROUNDUP(Y116/H116,0)*0.00502),"")</f>
        <v>0.24096000000000001</v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104.76190476190477</v>
      </c>
      <c r="BN116" s="65">
        <f t="shared" si="7"/>
        <v>105.60000000000002</v>
      </c>
      <c r="BO116" s="65">
        <f t="shared" si="8"/>
        <v>0.20350020350020354</v>
      </c>
      <c r="BP116" s="65">
        <f t="shared" si="9"/>
        <v>0.20512820512820515</v>
      </c>
    </row>
    <row r="117" spans="1:68" ht="27" customHeight="1" x14ac:dyDescent="0.25">
      <c r="A117" s="55" t="s">
        <v>209</v>
      </c>
      <c r="B117" s="55" t="s">
        <v>210</v>
      </c>
      <c r="C117" s="32">
        <v>4301031158</v>
      </c>
      <c r="D117" s="411">
        <v>4680115880191</v>
      </c>
      <c r="E117" s="412"/>
      <c r="F117" s="402">
        <v>0.4</v>
      </c>
      <c r="G117" s="33">
        <v>6</v>
      </c>
      <c r="H117" s="402">
        <v>2.4</v>
      </c>
      <c r="I117" s="402">
        <v>2.58</v>
      </c>
      <c r="J117" s="33">
        <v>182</v>
      </c>
      <c r="K117" s="33" t="s">
        <v>69</v>
      </c>
      <c r="L117" s="33"/>
      <c r="M117" s="34" t="s">
        <v>70</v>
      </c>
      <c r="N117" s="34"/>
      <c r="O117" s="33">
        <v>40</v>
      </c>
      <c r="P117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7" s="408"/>
      <c r="R117" s="408"/>
      <c r="S117" s="408"/>
      <c r="T117" s="409"/>
      <c r="U117" s="35"/>
      <c r="V117" s="35"/>
      <c r="W117" s="36" t="s">
        <v>71</v>
      </c>
      <c r="X117" s="403">
        <v>0</v>
      </c>
      <c r="Y117" s="404">
        <f t="shared" si="5"/>
        <v>0</v>
      </c>
      <c r="Z117" s="37" t="str">
        <f>IFERROR(IF(Y117=0,"",ROUNDUP(Y117/H117,0)*0.00651),"")</f>
        <v/>
      </c>
      <c r="AA117" s="57"/>
      <c r="AB117" s="58"/>
      <c r="AC117" s="160" t="s">
        <v>202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ht="27" customHeight="1" x14ac:dyDescent="0.25">
      <c r="A118" s="55" t="s">
        <v>211</v>
      </c>
      <c r="B118" s="55" t="s">
        <v>212</v>
      </c>
      <c r="C118" s="32">
        <v>4301031245</v>
      </c>
      <c r="D118" s="411">
        <v>4680115883963</v>
      </c>
      <c r="E118" s="412"/>
      <c r="F118" s="402">
        <v>0.28000000000000003</v>
      </c>
      <c r="G118" s="33">
        <v>6</v>
      </c>
      <c r="H118" s="402">
        <v>1.68</v>
      </c>
      <c r="I118" s="402">
        <v>1.78</v>
      </c>
      <c r="J118" s="33">
        <v>234</v>
      </c>
      <c r="K118" s="33" t="s">
        <v>166</v>
      </c>
      <c r="L118" s="33"/>
      <c r="M118" s="34" t="s">
        <v>70</v>
      </c>
      <c r="N118" s="34"/>
      <c r="O118" s="33">
        <v>40</v>
      </c>
      <c r="P118" s="4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8" s="408"/>
      <c r="R118" s="408"/>
      <c r="S118" s="408"/>
      <c r="T118" s="409"/>
      <c r="U118" s="35"/>
      <c r="V118" s="35"/>
      <c r="W118" s="36" t="s">
        <v>71</v>
      </c>
      <c r="X118" s="403">
        <v>0</v>
      </c>
      <c r="Y118" s="404">
        <f t="shared" si="5"/>
        <v>0</v>
      </c>
      <c r="Z118" s="37" t="str">
        <f>IFERROR(IF(Y118=0,"",ROUNDUP(Y118/H118,0)*0.00502),"")</f>
        <v/>
      </c>
      <c r="AA118" s="57"/>
      <c r="AB118" s="58"/>
      <c r="AC118" s="162" t="s">
        <v>213</v>
      </c>
      <c r="AG118" s="65"/>
      <c r="AJ118" s="69"/>
      <c r="AK118" s="69">
        <v>0</v>
      </c>
      <c r="BB118" s="163" t="s">
        <v>1</v>
      </c>
      <c r="BM118" s="65">
        <f t="shared" si="6"/>
        <v>0</v>
      </c>
      <c r="BN118" s="65">
        <f t="shared" si="7"/>
        <v>0</v>
      </c>
      <c r="BO118" s="65">
        <f t="shared" si="8"/>
        <v>0</v>
      </c>
      <c r="BP118" s="65">
        <f t="shared" si="9"/>
        <v>0</v>
      </c>
    </row>
    <row r="119" spans="1:68" x14ac:dyDescent="0.2">
      <c r="A119" s="419"/>
      <c r="B119" s="420"/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0"/>
      <c r="N119" s="420"/>
      <c r="O119" s="421"/>
      <c r="P119" s="415" t="s">
        <v>76</v>
      </c>
      <c r="Q119" s="416"/>
      <c r="R119" s="416"/>
      <c r="S119" s="416"/>
      <c r="T119" s="416"/>
      <c r="U119" s="416"/>
      <c r="V119" s="417"/>
      <c r="W119" s="38" t="s">
        <v>77</v>
      </c>
      <c r="X119" s="405">
        <f>IFERROR(X111/H111,"0")+IFERROR(X112/H112,"0")+IFERROR(X113/H113,"0")+IFERROR(X114/H114,"0")+IFERROR(X115/H115,"0")+IFERROR(X116/H116,"0")+IFERROR(X117/H117,"0")+IFERROR(X118/H118,"0")</f>
        <v>135.71428571428572</v>
      </c>
      <c r="Y119" s="405">
        <f>IFERROR(Y111/H111,"0")+IFERROR(Y112/H112,"0")+IFERROR(Y113/H113,"0")+IFERROR(Y114/H114,"0")+IFERROR(Y115/H115,"0")+IFERROR(Y116/H116,"0")+IFERROR(Y117/H117,"0")+IFERROR(Y118/H118,"0")</f>
        <v>138</v>
      </c>
      <c r="Z119" s="405">
        <f>IFERROR(IF(Z111="",0,Z111),"0")+IFERROR(IF(Z112="",0,Z112),"0")+IFERROR(IF(Z113="",0,Z113),"0")+IFERROR(IF(Z114="",0,Z114),"0")+IFERROR(IF(Z115="",0,Z115),"0")+IFERROR(IF(Z116="",0,Z116),"0")+IFERROR(IF(Z117="",0,Z117),"0")+IFERROR(IF(Z118="",0,Z118),"0")</f>
        <v>0.86075999999999997</v>
      </c>
      <c r="AA119" s="406"/>
      <c r="AB119" s="406"/>
      <c r="AC119" s="406"/>
    </row>
    <row r="120" spans="1:68" x14ac:dyDescent="0.2">
      <c r="A120" s="420"/>
      <c r="B120" s="420"/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0"/>
      <c r="N120" s="420"/>
      <c r="O120" s="421"/>
      <c r="P120" s="415" t="s">
        <v>76</v>
      </c>
      <c r="Q120" s="416"/>
      <c r="R120" s="416"/>
      <c r="S120" s="416"/>
      <c r="T120" s="416"/>
      <c r="U120" s="416"/>
      <c r="V120" s="417"/>
      <c r="W120" s="38" t="s">
        <v>71</v>
      </c>
      <c r="X120" s="405">
        <f>IFERROR(SUM(X111:X118),"0")</f>
        <v>370</v>
      </c>
      <c r="Y120" s="405">
        <f>IFERROR(SUM(Y111:Y118),"0")</f>
        <v>378.00000000000006</v>
      </c>
      <c r="Z120" s="38"/>
      <c r="AA120" s="406"/>
      <c r="AB120" s="406"/>
      <c r="AC120" s="406"/>
    </row>
    <row r="121" spans="1:68" ht="14.25" customHeight="1" x14ac:dyDescent="0.25">
      <c r="A121" s="422" t="s">
        <v>78</v>
      </c>
      <c r="B121" s="420"/>
      <c r="C121" s="420"/>
      <c r="D121" s="420"/>
      <c r="E121" s="420"/>
      <c r="F121" s="420"/>
      <c r="G121" s="420"/>
      <c r="H121" s="420"/>
      <c r="I121" s="420"/>
      <c r="J121" s="420"/>
      <c r="K121" s="420"/>
      <c r="L121" s="420"/>
      <c r="M121" s="420"/>
      <c r="N121" s="420"/>
      <c r="O121" s="420"/>
      <c r="P121" s="420"/>
      <c r="Q121" s="420"/>
      <c r="R121" s="420"/>
      <c r="S121" s="420"/>
      <c r="T121" s="420"/>
      <c r="U121" s="420"/>
      <c r="V121" s="420"/>
      <c r="W121" s="420"/>
      <c r="X121" s="420"/>
      <c r="Y121" s="420"/>
      <c r="Z121" s="420"/>
      <c r="AA121" s="399"/>
      <c r="AB121" s="399"/>
      <c r="AC121" s="399"/>
    </row>
    <row r="122" spans="1:68" ht="27" customHeight="1" x14ac:dyDescent="0.25">
      <c r="A122" s="55" t="s">
        <v>214</v>
      </c>
      <c r="B122" s="55" t="s">
        <v>215</v>
      </c>
      <c r="C122" s="32">
        <v>4301032053</v>
      </c>
      <c r="D122" s="411">
        <v>4680115886780</v>
      </c>
      <c r="E122" s="412"/>
      <c r="F122" s="402">
        <v>7.0000000000000007E-2</v>
      </c>
      <c r="G122" s="33">
        <v>18</v>
      </c>
      <c r="H122" s="402">
        <v>1.26</v>
      </c>
      <c r="I122" s="402">
        <v>1.45</v>
      </c>
      <c r="J122" s="33">
        <v>216</v>
      </c>
      <c r="K122" s="33" t="s">
        <v>216</v>
      </c>
      <c r="L122" s="33"/>
      <c r="M122" s="34" t="s">
        <v>217</v>
      </c>
      <c r="N122" s="34"/>
      <c r="O122" s="33">
        <v>60</v>
      </c>
      <c r="P122" s="5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2" s="408"/>
      <c r="R122" s="408"/>
      <c r="S122" s="408"/>
      <c r="T122" s="409"/>
      <c r="U122" s="35"/>
      <c r="V122" s="35"/>
      <c r="W122" s="36" t="s">
        <v>71</v>
      </c>
      <c r="X122" s="403">
        <v>0</v>
      </c>
      <c r="Y122" s="404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218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219</v>
      </c>
      <c r="B123" s="55" t="s">
        <v>220</v>
      </c>
      <c r="C123" s="32">
        <v>4301032051</v>
      </c>
      <c r="D123" s="411">
        <v>4680115886742</v>
      </c>
      <c r="E123" s="412"/>
      <c r="F123" s="402">
        <v>7.0000000000000007E-2</v>
      </c>
      <c r="G123" s="33">
        <v>18</v>
      </c>
      <c r="H123" s="402">
        <v>1.26</v>
      </c>
      <c r="I123" s="402">
        <v>1.45</v>
      </c>
      <c r="J123" s="33">
        <v>216</v>
      </c>
      <c r="K123" s="33" t="s">
        <v>216</v>
      </c>
      <c r="L123" s="33"/>
      <c r="M123" s="34" t="s">
        <v>217</v>
      </c>
      <c r="N123" s="34"/>
      <c r="O123" s="33">
        <v>90</v>
      </c>
      <c r="P123" s="6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3" s="408"/>
      <c r="R123" s="408"/>
      <c r="S123" s="408"/>
      <c r="T123" s="409"/>
      <c r="U123" s="35"/>
      <c r="V123" s="35"/>
      <c r="W123" s="36" t="s">
        <v>71</v>
      </c>
      <c r="X123" s="403">
        <v>0</v>
      </c>
      <c r="Y123" s="404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ht="27" customHeight="1" x14ac:dyDescent="0.25">
      <c r="A124" s="55" t="s">
        <v>222</v>
      </c>
      <c r="B124" s="55" t="s">
        <v>223</v>
      </c>
      <c r="C124" s="32">
        <v>4301032052</v>
      </c>
      <c r="D124" s="411">
        <v>4680115886766</v>
      </c>
      <c r="E124" s="412"/>
      <c r="F124" s="402">
        <v>7.0000000000000007E-2</v>
      </c>
      <c r="G124" s="33">
        <v>18</v>
      </c>
      <c r="H124" s="402">
        <v>1.26</v>
      </c>
      <c r="I124" s="402">
        <v>1.45</v>
      </c>
      <c r="J124" s="33">
        <v>216</v>
      </c>
      <c r="K124" s="33" t="s">
        <v>216</v>
      </c>
      <c r="L124" s="33"/>
      <c r="M124" s="34" t="s">
        <v>217</v>
      </c>
      <c r="N124" s="34"/>
      <c r="O124" s="33">
        <v>90</v>
      </c>
      <c r="P124" s="65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4" s="408"/>
      <c r="R124" s="408"/>
      <c r="S124" s="408"/>
      <c r="T124" s="409"/>
      <c r="U124" s="35"/>
      <c r="V124" s="35"/>
      <c r="W124" s="36" t="s">
        <v>71</v>
      </c>
      <c r="X124" s="403">
        <v>0</v>
      </c>
      <c r="Y124" s="404">
        <f>IFERROR(IF(X124="",0,CEILING((X124/$H124),1)*$H124),"")</f>
        <v>0</v>
      </c>
      <c r="Z124" s="37" t="str">
        <f>IFERROR(IF(Y124=0,"",ROUNDUP(Y124/H124,0)*0.0059),"")</f>
        <v/>
      </c>
      <c r="AA124" s="57"/>
      <c r="AB124" s="58"/>
      <c r="AC124" s="168" t="s">
        <v>221</v>
      </c>
      <c r="AG124" s="65"/>
      <c r="AJ124" s="69"/>
      <c r="AK124" s="69">
        <v>0</v>
      </c>
      <c r="BB124" s="169" t="s">
        <v>1</v>
      </c>
      <c r="BM124" s="65">
        <f>IFERROR(X124*I124/H124,"0")</f>
        <v>0</v>
      </c>
      <c r="BN124" s="65">
        <f>IFERROR(Y124*I124/H124,"0")</f>
        <v>0</v>
      </c>
      <c r="BO124" s="65">
        <f>IFERROR(1/J124*(X124/H124),"0")</f>
        <v>0</v>
      </c>
      <c r="BP124" s="65">
        <f>IFERROR(1/J124*(Y124/H124),"0")</f>
        <v>0</v>
      </c>
    </row>
    <row r="125" spans="1:68" x14ac:dyDescent="0.2">
      <c r="A125" s="419"/>
      <c r="B125" s="420"/>
      <c r="C125" s="420"/>
      <c r="D125" s="420"/>
      <c r="E125" s="420"/>
      <c r="F125" s="420"/>
      <c r="G125" s="420"/>
      <c r="H125" s="420"/>
      <c r="I125" s="420"/>
      <c r="J125" s="420"/>
      <c r="K125" s="420"/>
      <c r="L125" s="420"/>
      <c r="M125" s="420"/>
      <c r="N125" s="420"/>
      <c r="O125" s="421"/>
      <c r="P125" s="415" t="s">
        <v>76</v>
      </c>
      <c r="Q125" s="416"/>
      <c r="R125" s="416"/>
      <c r="S125" s="416"/>
      <c r="T125" s="416"/>
      <c r="U125" s="416"/>
      <c r="V125" s="417"/>
      <c r="W125" s="38" t="s">
        <v>77</v>
      </c>
      <c r="X125" s="405">
        <f>IFERROR(X122/H122,"0")+IFERROR(X123/H123,"0")+IFERROR(X124/H124,"0")</f>
        <v>0</v>
      </c>
      <c r="Y125" s="405">
        <f>IFERROR(Y122/H122,"0")+IFERROR(Y123/H123,"0")+IFERROR(Y124/H124,"0")</f>
        <v>0</v>
      </c>
      <c r="Z125" s="405">
        <f>IFERROR(IF(Z122="",0,Z122),"0")+IFERROR(IF(Z123="",0,Z123),"0")+IFERROR(IF(Z124="",0,Z124),"0")</f>
        <v>0</v>
      </c>
      <c r="AA125" s="406"/>
      <c r="AB125" s="406"/>
      <c r="AC125" s="406"/>
    </row>
    <row r="126" spans="1:68" x14ac:dyDescent="0.2">
      <c r="A126" s="420"/>
      <c r="B126" s="420"/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0"/>
      <c r="N126" s="420"/>
      <c r="O126" s="421"/>
      <c r="P126" s="415" t="s">
        <v>76</v>
      </c>
      <c r="Q126" s="416"/>
      <c r="R126" s="416"/>
      <c r="S126" s="416"/>
      <c r="T126" s="416"/>
      <c r="U126" s="416"/>
      <c r="V126" s="417"/>
      <c r="W126" s="38" t="s">
        <v>71</v>
      </c>
      <c r="X126" s="405">
        <f>IFERROR(SUM(X122:X124),"0")</f>
        <v>0</v>
      </c>
      <c r="Y126" s="405">
        <f>IFERROR(SUM(Y122:Y124),"0")</f>
        <v>0</v>
      </c>
      <c r="Z126" s="38"/>
      <c r="AA126" s="406"/>
      <c r="AB126" s="406"/>
      <c r="AC126" s="406"/>
    </row>
    <row r="127" spans="1:68" ht="14.25" customHeight="1" x14ac:dyDescent="0.25">
      <c r="A127" s="422" t="s">
        <v>224</v>
      </c>
      <c r="B127" s="420"/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0"/>
      <c r="N127" s="420"/>
      <c r="O127" s="420"/>
      <c r="P127" s="420"/>
      <c r="Q127" s="420"/>
      <c r="R127" s="420"/>
      <c r="S127" s="420"/>
      <c r="T127" s="420"/>
      <c r="U127" s="420"/>
      <c r="V127" s="420"/>
      <c r="W127" s="420"/>
      <c r="X127" s="420"/>
      <c r="Y127" s="420"/>
      <c r="Z127" s="420"/>
      <c r="AA127" s="399"/>
      <c r="AB127" s="399"/>
      <c r="AC127" s="399"/>
    </row>
    <row r="128" spans="1:68" ht="27" customHeight="1" x14ac:dyDescent="0.25">
      <c r="A128" s="55" t="s">
        <v>225</v>
      </c>
      <c r="B128" s="55" t="s">
        <v>226</v>
      </c>
      <c r="C128" s="32">
        <v>4301170013</v>
      </c>
      <c r="D128" s="411">
        <v>4680115886797</v>
      </c>
      <c r="E128" s="412"/>
      <c r="F128" s="402">
        <v>7.0000000000000007E-2</v>
      </c>
      <c r="G128" s="33">
        <v>18</v>
      </c>
      <c r="H128" s="402">
        <v>1.26</v>
      </c>
      <c r="I128" s="402">
        <v>1.45</v>
      </c>
      <c r="J128" s="33">
        <v>216</v>
      </c>
      <c r="K128" s="33" t="s">
        <v>216</v>
      </c>
      <c r="L128" s="33"/>
      <c r="M128" s="34" t="s">
        <v>217</v>
      </c>
      <c r="N128" s="34"/>
      <c r="O128" s="33">
        <v>90</v>
      </c>
      <c r="P128" s="62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8" s="408"/>
      <c r="R128" s="408"/>
      <c r="S128" s="408"/>
      <c r="T128" s="409"/>
      <c r="U128" s="35"/>
      <c r="V128" s="35"/>
      <c r="W128" s="36" t="s">
        <v>71</v>
      </c>
      <c r="X128" s="403">
        <v>0</v>
      </c>
      <c r="Y128" s="404">
        <f>IFERROR(IF(X128="",0,CEILING((X128/$H128),1)*$H128),"")</f>
        <v>0</v>
      </c>
      <c r="Z128" s="37" t="str">
        <f>IFERROR(IF(Y128=0,"",ROUNDUP(Y128/H128,0)*0.0059),"")</f>
        <v/>
      </c>
      <c r="AA128" s="57"/>
      <c r="AB128" s="58"/>
      <c r="AC128" s="170" t="s">
        <v>221</v>
      </c>
      <c r="AG128" s="65"/>
      <c r="AJ128" s="69"/>
      <c r="AK128" s="69">
        <v>0</v>
      </c>
      <c r="BB128" s="171" t="s">
        <v>1</v>
      </c>
      <c r="BM128" s="65">
        <f>IFERROR(X128*I128/H128,"0")</f>
        <v>0</v>
      </c>
      <c r="BN128" s="65">
        <f>IFERROR(Y128*I128/H128,"0")</f>
        <v>0</v>
      </c>
      <c r="BO128" s="65">
        <f>IFERROR(1/J128*(X128/H128),"0")</f>
        <v>0</v>
      </c>
      <c r="BP128" s="65">
        <f>IFERROR(1/J128*(Y128/H128),"0")</f>
        <v>0</v>
      </c>
    </row>
    <row r="129" spans="1:68" x14ac:dyDescent="0.2">
      <c r="A129" s="419"/>
      <c r="B129" s="420"/>
      <c r="C129" s="420"/>
      <c r="D129" s="420"/>
      <c r="E129" s="420"/>
      <c r="F129" s="420"/>
      <c r="G129" s="420"/>
      <c r="H129" s="420"/>
      <c r="I129" s="420"/>
      <c r="J129" s="420"/>
      <c r="K129" s="420"/>
      <c r="L129" s="420"/>
      <c r="M129" s="420"/>
      <c r="N129" s="420"/>
      <c r="O129" s="421"/>
      <c r="P129" s="415" t="s">
        <v>76</v>
      </c>
      <c r="Q129" s="416"/>
      <c r="R129" s="416"/>
      <c r="S129" s="416"/>
      <c r="T129" s="416"/>
      <c r="U129" s="416"/>
      <c r="V129" s="417"/>
      <c r="W129" s="38" t="s">
        <v>77</v>
      </c>
      <c r="X129" s="405">
        <f>IFERROR(X128/H128,"0")</f>
        <v>0</v>
      </c>
      <c r="Y129" s="405">
        <f>IFERROR(Y128/H128,"0")</f>
        <v>0</v>
      </c>
      <c r="Z129" s="405">
        <f>IFERROR(IF(Z128="",0,Z128),"0")</f>
        <v>0</v>
      </c>
      <c r="AA129" s="406"/>
      <c r="AB129" s="406"/>
      <c r="AC129" s="406"/>
    </row>
    <row r="130" spans="1:68" x14ac:dyDescent="0.2">
      <c r="A130" s="420"/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0"/>
      <c r="N130" s="420"/>
      <c r="O130" s="421"/>
      <c r="P130" s="415" t="s">
        <v>76</v>
      </c>
      <c r="Q130" s="416"/>
      <c r="R130" s="416"/>
      <c r="S130" s="416"/>
      <c r="T130" s="416"/>
      <c r="U130" s="416"/>
      <c r="V130" s="417"/>
      <c r="W130" s="38" t="s">
        <v>71</v>
      </c>
      <c r="X130" s="405">
        <f>IFERROR(SUM(X128:X128),"0")</f>
        <v>0</v>
      </c>
      <c r="Y130" s="405">
        <f>IFERROR(SUM(Y128:Y128),"0")</f>
        <v>0</v>
      </c>
      <c r="Z130" s="38"/>
      <c r="AA130" s="406"/>
      <c r="AB130" s="406"/>
      <c r="AC130" s="406"/>
    </row>
    <row r="131" spans="1:68" ht="16.5" customHeight="1" x14ac:dyDescent="0.25">
      <c r="A131" s="434" t="s">
        <v>227</v>
      </c>
      <c r="B131" s="420"/>
      <c r="C131" s="420"/>
      <c r="D131" s="420"/>
      <c r="E131" s="420"/>
      <c r="F131" s="420"/>
      <c r="G131" s="420"/>
      <c r="H131" s="420"/>
      <c r="I131" s="420"/>
      <c r="J131" s="420"/>
      <c r="K131" s="420"/>
      <c r="L131" s="420"/>
      <c r="M131" s="420"/>
      <c r="N131" s="420"/>
      <c r="O131" s="420"/>
      <c r="P131" s="420"/>
      <c r="Q131" s="420"/>
      <c r="R131" s="420"/>
      <c r="S131" s="420"/>
      <c r="T131" s="420"/>
      <c r="U131" s="420"/>
      <c r="V131" s="420"/>
      <c r="W131" s="420"/>
      <c r="X131" s="420"/>
      <c r="Y131" s="420"/>
      <c r="Z131" s="420"/>
      <c r="AA131" s="398"/>
      <c r="AB131" s="398"/>
      <c r="AC131" s="398"/>
    </row>
    <row r="132" spans="1:68" ht="14.25" customHeight="1" x14ac:dyDescent="0.25">
      <c r="A132" s="422" t="s">
        <v>86</v>
      </c>
      <c r="B132" s="420"/>
      <c r="C132" s="420"/>
      <c r="D132" s="420"/>
      <c r="E132" s="420"/>
      <c r="F132" s="420"/>
      <c r="G132" s="420"/>
      <c r="H132" s="420"/>
      <c r="I132" s="420"/>
      <c r="J132" s="420"/>
      <c r="K132" s="420"/>
      <c r="L132" s="420"/>
      <c r="M132" s="420"/>
      <c r="N132" s="420"/>
      <c r="O132" s="420"/>
      <c r="P132" s="420"/>
      <c r="Q132" s="420"/>
      <c r="R132" s="420"/>
      <c r="S132" s="420"/>
      <c r="T132" s="420"/>
      <c r="U132" s="420"/>
      <c r="V132" s="420"/>
      <c r="W132" s="420"/>
      <c r="X132" s="420"/>
      <c r="Y132" s="420"/>
      <c r="Z132" s="420"/>
      <c r="AA132" s="399"/>
      <c r="AB132" s="399"/>
      <c r="AC132" s="399"/>
    </row>
    <row r="133" spans="1:68" ht="16.5" customHeight="1" x14ac:dyDescent="0.25">
      <c r="A133" s="55" t="s">
        <v>228</v>
      </c>
      <c r="B133" s="55" t="s">
        <v>229</v>
      </c>
      <c r="C133" s="32">
        <v>4301011450</v>
      </c>
      <c r="D133" s="411">
        <v>4680115881402</v>
      </c>
      <c r="E133" s="412"/>
      <c r="F133" s="402">
        <v>1.35</v>
      </c>
      <c r="G133" s="33">
        <v>8</v>
      </c>
      <c r="H133" s="402">
        <v>10.8</v>
      </c>
      <c r="I133" s="402">
        <v>11.234999999999999</v>
      </c>
      <c r="J133" s="33">
        <v>64</v>
      </c>
      <c r="K133" s="33" t="s">
        <v>89</v>
      </c>
      <c r="L133" s="33"/>
      <c r="M133" s="34" t="s">
        <v>90</v>
      </c>
      <c r="N133" s="34"/>
      <c r="O133" s="33">
        <v>55</v>
      </c>
      <c r="P133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3" s="408"/>
      <c r="R133" s="408"/>
      <c r="S133" s="408"/>
      <c r="T133" s="409"/>
      <c r="U133" s="35"/>
      <c r="V133" s="35"/>
      <c r="W133" s="36" t="s">
        <v>71</v>
      </c>
      <c r="X133" s="403">
        <v>0</v>
      </c>
      <c r="Y133" s="404">
        <f>IFERROR(IF(X133="",0,CEILING((X133/$H133),1)*$H133),"")</f>
        <v>0</v>
      </c>
      <c r="Z133" s="37" t="str">
        <f>IFERROR(IF(Y133=0,"",ROUNDUP(Y133/H133,0)*0.01898),"")</f>
        <v/>
      </c>
      <c r="AA133" s="57"/>
      <c r="AB133" s="58"/>
      <c r="AC133" s="172" t="s">
        <v>230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ht="27" customHeight="1" x14ac:dyDescent="0.25">
      <c r="A134" s="55" t="s">
        <v>231</v>
      </c>
      <c r="B134" s="55" t="s">
        <v>232</v>
      </c>
      <c r="C134" s="32">
        <v>4301011768</v>
      </c>
      <c r="D134" s="411">
        <v>4680115881396</v>
      </c>
      <c r="E134" s="412"/>
      <c r="F134" s="402">
        <v>0.45</v>
      </c>
      <c r="G134" s="33">
        <v>6</v>
      </c>
      <c r="H134" s="402">
        <v>2.7</v>
      </c>
      <c r="I134" s="402">
        <v>2.88</v>
      </c>
      <c r="J134" s="33">
        <v>182</v>
      </c>
      <c r="K134" s="33" t="s">
        <v>69</v>
      </c>
      <c r="L134" s="33"/>
      <c r="M134" s="34" t="s">
        <v>90</v>
      </c>
      <c r="N134" s="34"/>
      <c r="O134" s="33">
        <v>55</v>
      </c>
      <c r="P134" s="6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4" s="408"/>
      <c r="R134" s="408"/>
      <c r="S134" s="408"/>
      <c r="T134" s="409"/>
      <c r="U134" s="35"/>
      <c r="V134" s="35"/>
      <c r="W134" s="36" t="s">
        <v>71</v>
      </c>
      <c r="X134" s="403">
        <v>0</v>
      </c>
      <c r="Y134" s="404">
        <f>IFERROR(IF(X134="",0,CEILING((X134/$H134),1)*$H134),"")</f>
        <v>0</v>
      </c>
      <c r="Z134" s="37" t="str">
        <f>IFERROR(IF(Y134=0,"",ROUNDUP(Y134/H134,0)*0.00651),"")</f>
        <v/>
      </c>
      <c r="AA134" s="57"/>
      <c r="AB134" s="58"/>
      <c r="AC134" s="174" t="s">
        <v>230</v>
      </c>
      <c r="AG134" s="65"/>
      <c r="AJ134" s="69"/>
      <c r="AK134" s="69">
        <v>0</v>
      </c>
      <c r="BB134" s="175" t="s">
        <v>1</v>
      </c>
      <c r="BM134" s="65">
        <f>IFERROR(X134*I134/H134,"0")</f>
        <v>0</v>
      </c>
      <c r="BN134" s="65">
        <f>IFERROR(Y134*I134/H134,"0")</f>
        <v>0</v>
      </c>
      <c r="BO134" s="65">
        <f>IFERROR(1/J134*(X134/H134),"0")</f>
        <v>0</v>
      </c>
      <c r="BP134" s="65">
        <f>IFERROR(1/J134*(Y134/H134),"0")</f>
        <v>0</v>
      </c>
    </row>
    <row r="135" spans="1:68" x14ac:dyDescent="0.2">
      <c r="A135" s="419"/>
      <c r="B135" s="420"/>
      <c r="C135" s="420"/>
      <c r="D135" s="420"/>
      <c r="E135" s="420"/>
      <c r="F135" s="420"/>
      <c r="G135" s="420"/>
      <c r="H135" s="420"/>
      <c r="I135" s="420"/>
      <c r="J135" s="420"/>
      <c r="K135" s="420"/>
      <c r="L135" s="420"/>
      <c r="M135" s="420"/>
      <c r="N135" s="420"/>
      <c r="O135" s="421"/>
      <c r="P135" s="415" t="s">
        <v>76</v>
      </c>
      <c r="Q135" s="416"/>
      <c r="R135" s="416"/>
      <c r="S135" s="416"/>
      <c r="T135" s="416"/>
      <c r="U135" s="416"/>
      <c r="V135" s="417"/>
      <c r="W135" s="38" t="s">
        <v>77</v>
      </c>
      <c r="X135" s="405">
        <f>IFERROR(X133/H133,"0")+IFERROR(X134/H134,"0")</f>
        <v>0</v>
      </c>
      <c r="Y135" s="405">
        <f>IFERROR(Y133/H133,"0")+IFERROR(Y134/H134,"0")</f>
        <v>0</v>
      </c>
      <c r="Z135" s="405">
        <f>IFERROR(IF(Z133="",0,Z133),"0")+IFERROR(IF(Z134="",0,Z134),"0")</f>
        <v>0</v>
      </c>
      <c r="AA135" s="406"/>
      <c r="AB135" s="406"/>
      <c r="AC135" s="406"/>
    </row>
    <row r="136" spans="1:68" x14ac:dyDescent="0.2">
      <c r="A136" s="420"/>
      <c r="B136" s="420"/>
      <c r="C136" s="420"/>
      <c r="D136" s="420"/>
      <c r="E136" s="420"/>
      <c r="F136" s="420"/>
      <c r="G136" s="420"/>
      <c r="H136" s="420"/>
      <c r="I136" s="420"/>
      <c r="J136" s="420"/>
      <c r="K136" s="420"/>
      <c r="L136" s="420"/>
      <c r="M136" s="420"/>
      <c r="N136" s="420"/>
      <c r="O136" s="421"/>
      <c r="P136" s="415" t="s">
        <v>76</v>
      </c>
      <c r="Q136" s="416"/>
      <c r="R136" s="416"/>
      <c r="S136" s="416"/>
      <c r="T136" s="416"/>
      <c r="U136" s="416"/>
      <c r="V136" s="417"/>
      <c r="W136" s="38" t="s">
        <v>71</v>
      </c>
      <c r="X136" s="405">
        <f>IFERROR(SUM(X133:X134),"0")</f>
        <v>0</v>
      </c>
      <c r="Y136" s="405">
        <f>IFERROR(SUM(Y133:Y134),"0")</f>
        <v>0</v>
      </c>
      <c r="Z136" s="38"/>
      <c r="AA136" s="406"/>
      <c r="AB136" s="406"/>
      <c r="AC136" s="406"/>
    </row>
    <row r="137" spans="1:68" ht="14.25" customHeight="1" x14ac:dyDescent="0.25">
      <c r="A137" s="422" t="s">
        <v>117</v>
      </c>
      <c r="B137" s="420"/>
      <c r="C137" s="420"/>
      <c r="D137" s="420"/>
      <c r="E137" s="420"/>
      <c r="F137" s="420"/>
      <c r="G137" s="420"/>
      <c r="H137" s="420"/>
      <c r="I137" s="420"/>
      <c r="J137" s="420"/>
      <c r="K137" s="420"/>
      <c r="L137" s="420"/>
      <c r="M137" s="420"/>
      <c r="N137" s="420"/>
      <c r="O137" s="420"/>
      <c r="P137" s="420"/>
      <c r="Q137" s="420"/>
      <c r="R137" s="420"/>
      <c r="S137" s="420"/>
      <c r="T137" s="420"/>
      <c r="U137" s="420"/>
      <c r="V137" s="420"/>
      <c r="W137" s="420"/>
      <c r="X137" s="420"/>
      <c r="Y137" s="420"/>
      <c r="Z137" s="420"/>
      <c r="AA137" s="399"/>
      <c r="AB137" s="399"/>
      <c r="AC137" s="399"/>
    </row>
    <row r="138" spans="1:68" ht="16.5" customHeight="1" x14ac:dyDescent="0.25">
      <c r="A138" s="55" t="s">
        <v>233</v>
      </c>
      <c r="B138" s="55" t="s">
        <v>234</v>
      </c>
      <c r="C138" s="32">
        <v>4301020262</v>
      </c>
      <c r="D138" s="411">
        <v>4680115882935</v>
      </c>
      <c r="E138" s="412"/>
      <c r="F138" s="402">
        <v>1.35</v>
      </c>
      <c r="G138" s="33">
        <v>8</v>
      </c>
      <c r="H138" s="402">
        <v>10.8</v>
      </c>
      <c r="I138" s="402">
        <v>11.234999999999999</v>
      </c>
      <c r="J138" s="33">
        <v>64</v>
      </c>
      <c r="K138" s="33" t="s">
        <v>89</v>
      </c>
      <c r="L138" s="33"/>
      <c r="M138" s="34" t="s">
        <v>95</v>
      </c>
      <c r="N138" s="34"/>
      <c r="O138" s="33">
        <v>50</v>
      </c>
      <c r="P138" s="5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8" s="408"/>
      <c r="R138" s="408"/>
      <c r="S138" s="408"/>
      <c r="T138" s="409"/>
      <c r="U138" s="35"/>
      <c r="V138" s="35"/>
      <c r="W138" s="36" t="s">
        <v>71</v>
      </c>
      <c r="X138" s="403">
        <v>0</v>
      </c>
      <c r="Y138" s="404">
        <f>IFERROR(IF(X138="",0,CEILING((X138/$H138),1)*$H138),"")</f>
        <v>0</v>
      </c>
      <c r="Z138" s="37" t="str">
        <f>IFERROR(IF(Y138=0,"",ROUNDUP(Y138/H138,0)*0.01898),"")</f>
        <v/>
      </c>
      <c r="AA138" s="57"/>
      <c r="AB138" s="58"/>
      <c r="AC138" s="176" t="s">
        <v>235</v>
      </c>
      <c r="AG138" s="65"/>
      <c r="AJ138" s="69"/>
      <c r="AK138" s="69">
        <v>0</v>
      </c>
      <c r="BB138" s="177" t="s">
        <v>1</v>
      </c>
      <c r="BM138" s="65">
        <f>IFERROR(X138*I138/H138,"0")</f>
        <v>0</v>
      </c>
      <c r="BN138" s="65">
        <f>IFERROR(Y138*I138/H138,"0")</f>
        <v>0</v>
      </c>
      <c r="BO138" s="65">
        <f>IFERROR(1/J138*(X138/H138),"0")</f>
        <v>0</v>
      </c>
      <c r="BP138" s="65">
        <f>IFERROR(1/J138*(Y138/H138),"0")</f>
        <v>0</v>
      </c>
    </row>
    <row r="139" spans="1:68" ht="16.5" customHeight="1" x14ac:dyDescent="0.25">
      <c r="A139" s="55" t="s">
        <v>236</v>
      </c>
      <c r="B139" s="55" t="s">
        <v>237</v>
      </c>
      <c r="C139" s="32">
        <v>4301020220</v>
      </c>
      <c r="D139" s="411">
        <v>4680115880764</v>
      </c>
      <c r="E139" s="412"/>
      <c r="F139" s="402">
        <v>0.35</v>
      </c>
      <c r="G139" s="33">
        <v>6</v>
      </c>
      <c r="H139" s="402">
        <v>2.1</v>
      </c>
      <c r="I139" s="402">
        <v>2.2799999999999998</v>
      </c>
      <c r="J139" s="33">
        <v>182</v>
      </c>
      <c r="K139" s="33" t="s">
        <v>69</v>
      </c>
      <c r="L139" s="33"/>
      <c r="M139" s="34" t="s">
        <v>90</v>
      </c>
      <c r="N139" s="34"/>
      <c r="O139" s="33">
        <v>50</v>
      </c>
      <c r="P139" s="6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9" s="408"/>
      <c r="R139" s="408"/>
      <c r="S139" s="408"/>
      <c r="T139" s="409"/>
      <c r="U139" s="35"/>
      <c r="V139" s="35"/>
      <c r="W139" s="36" t="s">
        <v>71</v>
      </c>
      <c r="X139" s="403">
        <v>0</v>
      </c>
      <c r="Y139" s="404">
        <f>IFERROR(IF(X139="",0,CEILING((X139/$H139),1)*$H139),"")</f>
        <v>0</v>
      </c>
      <c r="Z139" s="37" t="str">
        <f>IFERROR(IF(Y139=0,"",ROUNDUP(Y139/H139,0)*0.00651),"")</f>
        <v/>
      </c>
      <c r="AA139" s="57"/>
      <c r="AB139" s="58"/>
      <c r="AC139" s="178" t="s">
        <v>235</v>
      </c>
      <c r="AG139" s="65"/>
      <c r="AJ139" s="69"/>
      <c r="AK139" s="69">
        <v>0</v>
      </c>
      <c r="BB139" s="179" t="s">
        <v>1</v>
      </c>
      <c r="BM139" s="65">
        <f>IFERROR(X139*I139/H139,"0")</f>
        <v>0</v>
      </c>
      <c r="BN139" s="65">
        <f>IFERROR(Y139*I139/H139,"0")</f>
        <v>0</v>
      </c>
      <c r="BO139" s="65">
        <f>IFERROR(1/J139*(X139/H139),"0")</f>
        <v>0</v>
      </c>
      <c r="BP139" s="65">
        <f>IFERROR(1/J139*(Y139/H139),"0")</f>
        <v>0</v>
      </c>
    </row>
    <row r="140" spans="1:68" x14ac:dyDescent="0.2">
      <c r="A140" s="419"/>
      <c r="B140" s="420"/>
      <c r="C140" s="420"/>
      <c r="D140" s="420"/>
      <c r="E140" s="420"/>
      <c r="F140" s="420"/>
      <c r="G140" s="420"/>
      <c r="H140" s="420"/>
      <c r="I140" s="420"/>
      <c r="J140" s="420"/>
      <c r="K140" s="420"/>
      <c r="L140" s="420"/>
      <c r="M140" s="420"/>
      <c r="N140" s="420"/>
      <c r="O140" s="421"/>
      <c r="P140" s="415" t="s">
        <v>76</v>
      </c>
      <c r="Q140" s="416"/>
      <c r="R140" s="416"/>
      <c r="S140" s="416"/>
      <c r="T140" s="416"/>
      <c r="U140" s="416"/>
      <c r="V140" s="417"/>
      <c r="W140" s="38" t="s">
        <v>77</v>
      </c>
      <c r="X140" s="405">
        <f>IFERROR(X138/H138,"0")+IFERROR(X139/H139,"0")</f>
        <v>0</v>
      </c>
      <c r="Y140" s="405">
        <f>IFERROR(Y138/H138,"0")+IFERROR(Y139/H139,"0")</f>
        <v>0</v>
      </c>
      <c r="Z140" s="405">
        <f>IFERROR(IF(Z138="",0,Z138),"0")+IFERROR(IF(Z139="",0,Z139),"0")</f>
        <v>0</v>
      </c>
      <c r="AA140" s="406"/>
      <c r="AB140" s="406"/>
      <c r="AC140" s="406"/>
    </row>
    <row r="141" spans="1:68" x14ac:dyDescent="0.2">
      <c r="A141" s="420"/>
      <c r="B141" s="420"/>
      <c r="C141" s="420"/>
      <c r="D141" s="420"/>
      <c r="E141" s="420"/>
      <c r="F141" s="420"/>
      <c r="G141" s="420"/>
      <c r="H141" s="420"/>
      <c r="I141" s="420"/>
      <c r="J141" s="420"/>
      <c r="K141" s="420"/>
      <c r="L141" s="420"/>
      <c r="M141" s="420"/>
      <c r="N141" s="420"/>
      <c r="O141" s="421"/>
      <c r="P141" s="415" t="s">
        <v>76</v>
      </c>
      <c r="Q141" s="416"/>
      <c r="R141" s="416"/>
      <c r="S141" s="416"/>
      <c r="T141" s="416"/>
      <c r="U141" s="416"/>
      <c r="V141" s="417"/>
      <c r="W141" s="38" t="s">
        <v>71</v>
      </c>
      <c r="X141" s="405">
        <f>IFERROR(SUM(X138:X139),"0")</f>
        <v>0</v>
      </c>
      <c r="Y141" s="405">
        <f>IFERROR(SUM(Y138:Y139),"0")</f>
        <v>0</v>
      </c>
      <c r="Z141" s="38"/>
      <c r="AA141" s="406"/>
      <c r="AB141" s="406"/>
      <c r="AC141" s="406"/>
    </row>
    <row r="142" spans="1:68" ht="14.25" customHeight="1" x14ac:dyDescent="0.25">
      <c r="A142" s="422" t="s">
        <v>182</v>
      </c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0"/>
      <c r="N142" s="420"/>
      <c r="O142" s="420"/>
      <c r="P142" s="420"/>
      <c r="Q142" s="420"/>
      <c r="R142" s="420"/>
      <c r="S142" s="420"/>
      <c r="T142" s="420"/>
      <c r="U142" s="420"/>
      <c r="V142" s="420"/>
      <c r="W142" s="420"/>
      <c r="X142" s="420"/>
      <c r="Y142" s="420"/>
      <c r="Z142" s="420"/>
      <c r="AA142" s="399"/>
      <c r="AB142" s="399"/>
      <c r="AC142" s="399"/>
    </row>
    <row r="143" spans="1:68" ht="27" customHeight="1" x14ac:dyDescent="0.25">
      <c r="A143" s="55" t="s">
        <v>238</v>
      </c>
      <c r="B143" s="55" t="s">
        <v>239</v>
      </c>
      <c r="C143" s="32">
        <v>4301031224</v>
      </c>
      <c r="D143" s="411">
        <v>4680115882683</v>
      </c>
      <c r="E143" s="412"/>
      <c r="F143" s="402">
        <v>0.9</v>
      </c>
      <c r="G143" s="33">
        <v>6</v>
      </c>
      <c r="H143" s="402">
        <v>5.4</v>
      </c>
      <c r="I143" s="402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3" s="408"/>
      <c r="R143" s="408"/>
      <c r="S143" s="408"/>
      <c r="T143" s="409"/>
      <c r="U143" s="35"/>
      <c r="V143" s="35"/>
      <c r="W143" s="36" t="s">
        <v>71</v>
      </c>
      <c r="X143" s="403">
        <v>80</v>
      </c>
      <c r="Y143" s="404">
        <f>IFERROR(IF(X143="",0,CEILING((X143/$H143),1)*$H143),"")</f>
        <v>81</v>
      </c>
      <c r="Z143" s="37">
        <f>IFERROR(IF(Y143=0,"",ROUNDUP(Y143/H143,0)*0.00902),"")</f>
        <v>0.1353</v>
      </c>
      <c r="AA143" s="57"/>
      <c r="AB143" s="58"/>
      <c r="AC143" s="180" t="s">
        <v>240</v>
      </c>
      <c r="AG143" s="65"/>
      <c r="AJ143" s="69"/>
      <c r="AK143" s="69">
        <v>0</v>
      </c>
      <c r="BB143" s="181" t="s">
        <v>1</v>
      </c>
      <c r="BM143" s="65">
        <f>IFERROR(X143*I143/H143,"0")</f>
        <v>83.111111111111114</v>
      </c>
      <c r="BN143" s="65">
        <f>IFERROR(Y143*I143/H143,"0")</f>
        <v>84.15</v>
      </c>
      <c r="BO143" s="65">
        <f>IFERROR(1/J143*(X143/H143),"0")</f>
        <v>0.11223344556677889</v>
      </c>
      <c r="BP143" s="65">
        <f>IFERROR(1/J143*(Y143/H143),"0")</f>
        <v>0.11363636363636363</v>
      </c>
    </row>
    <row r="144" spans="1:68" ht="27" customHeight="1" x14ac:dyDescent="0.25">
      <c r="A144" s="55" t="s">
        <v>241</v>
      </c>
      <c r="B144" s="55" t="s">
        <v>242</v>
      </c>
      <c r="C144" s="32">
        <v>4301031230</v>
      </c>
      <c r="D144" s="411">
        <v>4680115882690</v>
      </c>
      <c r="E144" s="412"/>
      <c r="F144" s="402">
        <v>0.9</v>
      </c>
      <c r="G144" s="33">
        <v>6</v>
      </c>
      <c r="H144" s="402">
        <v>5.4</v>
      </c>
      <c r="I144" s="402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4" s="408"/>
      <c r="R144" s="408"/>
      <c r="S144" s="408"/>
      <c r="T144" s="409"/>
      <c r="U144" s="35"/>
      <c r="V144" s="35"/>
      <c r="W144" s="36" t="s">
        <v>71</v>
      </c>
      <c r="X144" s="403">
        <v>0</v>
      </c>
      <c r="Y144" s="404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243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244</v>
      </c>
      <c r="B145" s="55" t="s">
        <v>245</v>
      </c>
      <c r="C145" s="32">
        <v>4301031220</v>
      </c>
      <c r="D145" s="411">
        <v>4680115882669</v>
      </c>
      <c r="E145" s="412"/>
      <c r="F145" s="402">
        <v>0.9</v>
      </c>
      <c r="G145" s="33">
        <v>6</v>
      </c>
      <c r="H145" s="402">
        <v>5.4</v>
      </c>
      <c r="I145" s="402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5" s="408"/>
      <c r="R145" s="408"/>
      <c r="S145" s="408"/>
      <c r="T145" s="409"/>
      <c r="U145" s="35"/>
      <c r="V145" s="35"/>
      <c r="W145" s="36" t="s">
        <v>71</v>
      </c>
      <c r="X145" s="403">
        <v>0</v>
      </c>
      <c r="Y145" s="404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246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ht="27" customHeight="1" x14ac:dyDescent="0.25">
      <c r="A146" s="55" t="s">
        <v>247</v>
      </c>
      <c r="B146" s="55" t="s">
        <v>248</v>
      </c>
      <c r="C146" s="32">
        <v>4301031221</v>
      </c>
      <c r="D146" s="411">
        <v>4680115882676</v>
      </c>
      <c r="E146" s="412"/>
      <c r="F146" s="402">
        <v>0.9</v>
      </c>
      <c r="G146" s="33">
        <v>6</v>
      </c>
      <c r="H146" s="402">
        <v>5.4</v>
      </c>
      <c r="I146" s="402">
        <v>5.61</v>
      </c>
      <c r="J146" s="33">
        <v>132</v>
      </c>
      <c r="K146" s="33" t="s">
        <v>94</v>
      </c>
      <c r="L146" s="33"/>
      <c r="M146" s="34" t="s">
        <v>70</v>
      </c>
      <c r="N146" s="34"/>
      <c r="O146" s="33">
        <v>40</v>
      </c>
      <c r="P146" s="6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6" s="408"/>
      <c r="R146" s="408"/>
      <c r="S146" s="408"/>
      <c r="T146" s="409"/>
      <c r="U146" s="35"/>
      <c r="V146" s="35"/>
      <c r="W146" s="36" t="s">
        <v>71</v>
      </c>
      <c r="X146" s="403">
        <v>0</v>
      </c>
      <c r="Y146" s="404">
        <f>IFERROR(IF(X146="",0,CEILING((X146/$H146),1)*$H146),"")</f>
        <v>0</v>
      </c>
      <c r="Z146" s="37" t="str">
        <f>IFERROR(IF(Y146=0,"",ROUNDUP(Y146/H146,0)*0.00902),"")</f>
        <v/>
      </c>
      <c r="AA146" s="57"/>
      <c r="AB146" s="58"/>
      <c r="AC146" s="186" t="s">
        <v>249</v>
      </c>
      <c r="AG146" s="65"/>
      <c r="AJ146" s="69"/>
      <c r="AK146" s="69">
        <v>0</v>
      </c>
      <c r="BB146" s="187" t="s">
        <v>1</v>
      </c>
      <c r="BM146" s="65">
        <f>IFERROR(X146*I146/H146,"0")</f>
        <v>0</v>
      </c>
      <c r="BN146" s="65">
        <f>IFERROR(Y146*I146/H146,"0")</f>
        <v>0</v>
      </c>
      <c r="BO146" s="65">
        <f>IFERROR(1/J146*(X146/H146),"0")</f>
        <v>0</v>
      </c>
      <c r="BP146" s="65">
        <f>IFERROR(1/J146*(Y146/H146),"0")</f>
        <v>0</v>
      </c>
    </row>
    <row r="147" spans="1:68" x14ac:dyDescent="0.2">
      <c r="A147" s="419"/>
      <c r="B147" s="420"/>
      <c r="C147" s="420"/>
      <c r="D147" s="420"/>
      <c r="E147" s="420"/>
      <c r="F147" s="420"/>
      <c r="G147" s="420"/>
      <c r="H147" s="420"/>
      <c r="I147" s="420"/>
      <c r="J147" s="420"/>
      <c r="K147" s="420"/>
      <c r="L147" s="420"/>
      <c r="M147" s="420"/>
      <c r="N147" s="420"/>
      <c r="O147" s="421"/>
      <c r="P147" s="415" t="s">
        <v>76</v>
      </c>
      <c r="Q147" s="416"/>
      <c r="R147" s="416"/>
      <c r="S147" s="416"/>
      <c r="T147" s="416"/>
      <c r="U147" s="416"/>
      <c r="V147" s="417"/>
      <c r="W147" s="38" t="s">
        <v>77</v>
      </c>
      <c r="X147" s="405">
        <f>IFERROR(X143/H143,"0")+IFERROR(X144/H144,"0")+IFERROR(X145/H145,"0")+IFERROR(X146/H146,"0")</f>
        <v>14.814814814814813</v>
      </c>
      <c r="Y147" s="405">
        <f>IFERROR(Y143/H143,"0")+IFERROR(Y144/H144,"0")+IFERROR(Y145/H145,"0")+IFERROR(Y146/H146,"0")</f>
        <v>14.999999999999998</v>
      </c>
      <c r="Z147" s="405">
        <f>IFERROR(IF(Z143="",0,Z143),"0")+IFERROR(IF(Z144="",0,Z144),"0")+IFERROR(IF(Z145="",0,Z145),"0")+IFERROR(IF(Z146="",0,Z146),"0")</f>
        <v>0.1353</v>
      </c>
      <c r="AA147" s="406"/>
      <c r="AB147" s="406"/>
      <c r="AC147" s="406"/>
    </row>
    <row r="148" spans="1:68" x14ac:dyDescent="0.2">
      <c r="A148" s="420"/>
      <c r="B148" s="420"/>
      <c r="C148" s="420"/>
      <c r="D148" s="420"/>
      <c r="E148" s="420"/>
      <c r="F148" s="420"/>
      <c r="G148" s="420"/>
      <c r="H148" s="420"/>
      <c r="I148" s="420"/>
      <c r="J148" s="420"/>
      <c r="K148" s="420"/>
      <c r="L148" s="420"/>
      <c r="M148" s="420"/>
      <c r="N148" s="420"/>
      <c r="O148" s="421"/>
      <c r="P148" s="415" t="s">
        <v>76</v>
      </c>
      <c r="Q148" s="416"/>
      <c r="R148" s="416"/>
      <c r="S148" s="416"/>
      <c r="T148" s="416"/>
      <c r="U148" s="416"/>
      <c r="V148" s="417"/>
      <c r="W148" s="38" t="s">
        <v>71</v>
      </c>
      <c r="X148" s="405">
        <f>IFERROR(SUM(X143:X146),"0")</f>
        <v>80</v>
      </c>
      <c r="Y148" s="405">
        <f>IFERROR(SUM(Y143:Y146),"0")</f>
        <v>81</v>
      </c>
      <c r="Z148" s="38"/>
      <c r="AA148" s="406"/>
      <c r="AB148" s="406"/>
      <c r="AC148" s="406"/>
    </row>
    <row r="149" spans="1:68" ht="14.25" customHeight="1" x14ac:dyDescent="0.25">
      <c r="A149" s="422" t="s">
        <v>66</v>
      </c>
      <c r="B149" s="420"/>
      <c r="C149" s="420"/>
      <c r="D149" s="420"/>
      <c r="E149" s="420"/>
      <c r="F149" s="420"/>
      <c r="G149" s="420"/>
      <c r="H149" s="420"/>
      <c r="I149" s="420"/>
      <c r="J149" s="420"/>
      <c r="K149" s="420"/>
      <c r="L149" s="420"/>
      <c r="M149" s="420"/>
      <c r="N149" s="420"/>
      <c r="O149" s="420"/>
      <c r="P149" s="420"/>
      <c r="Q149" s="420"/>
      <c r="R149" s="420"/>
      <c r="S149" s="420"/>
      <c r="T149" s="420"/>
      <c r="U149" s="420"/>
      <c r="V149" s="420"/>
      <c r="W149" s="420"/>
      <c r="X149" s="420"/>
      <c r="Y149" s="420"/>
      <c r="Z149" s="420"/>
      <c r="AA149" s="399"/>
      <c r="AB149" s="399"/>
      <c r="AC149" s="399"/>
    </row>
    <row r="150" spans="1:68" ht="27" customHeight="1" x14ac:dyDescent="0.25">
      <c r="A150" s="55" t="s">
        <v>250</v>
      </c>
      <c r="B150" s="55" t="s">
        <v>251</v>
      </c>
      <c r="C150" s="32">
        <v>4301051408</v>
      </c>
      <c r="D150" s="411">
        <v>4680115881594</v>
      </c>
      <c r="E150" s="412"/>
      <c r="F150" s="402">
        <v>1.35</v>
      </c>
      <c r="G150" s="33">
        <v>6</v>
      </c>
      <c r="H150" s="402">
        <v>8.1</v>
      </c>
      <c r="I150" s="402">
        <v>8.6189999999999998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4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0" s="408"/>
      <c r="R150" s="408"/>
      <c r="S150" s="408"/>
      <c r="T150" s="409"/>
      <c r="U150" s="35"/>
      <c r="V150" s="35"/>
      <c r="W150" s="36" t="s">
        <v>71</v>
      </c>
      <c r="X150" s="403">
        <v>0</v>
      </c>
      <c r="Y150" s="404">
        <f t="shared" ref="Y150:Y157" si="10">IFERROR(IF(X150="",0,CEILING((X150/$H150),1)*$H150),"")</f>
        <v>0</v>
      </c>
      <c r="Z150" s="37" t="str">
        <f>IFERROR(IF(Y150=0,"",ROUNDUP(Y150/H150,0)*0.01898),"")</f>
        <v/>
      </c>
      <c r="AA150" s="57"/>
      <c r="AB150" s="58"/>
      <c r="AC150" s="188" t="s">
        <v>252</v>
      </c>
      <c r="AG150" s="65"/>
      <c r="AJ150" s="69"/>
      <c r="AK150" s="69">
        <v>0</v>
      </c>
      <c r="BB150" s="189" t="s">
        <v>1</v>
      </c>
      <c r="BM150" s="65">
        <f t="shared" ref="BM150:BM157" si="11">IFERROR(X150*I150/H150,"0")</f>
        <v>0</v>
      </c>
      <c r="BN150" s="65">
        <f t="shared" ref="BN150:BN157" si="12">IFERROR(Y150*I150/H150,"0")</f>
        <v>0</v>
      </c>
      <c r="BO150" s="65">
        <f t="shared" ref="BO150:BO157" si="13">IFERROR(1/J150*(X150/H150),"0")</f>
        <v>0</v>
      </c>
      <c r="BP150" s="65">
        <f t="shared" ref="BP150:BP157" si="14">IFERROR(1/J150*(Y150/H150),"0")</f>
        <v>0</v>
      </c>
    </row>
    <row r="151" spans="1:68" ht="27" customHeight="1" x14ac:dyDescent="0.25">
      <c r="A151" s="55" t="s">
        <v>253</v>
      </c>
      <c r="B151" s="55" t="s">
        <v>254</v>
      </c>
      <c r="C151" s="32">
        <v>4301051411</v>
      </c>
      <c r="D151" s="411">
        <v>4680115881617</v>
      </c>
      <c r="E151" s="412"/>
      <c r="F151" s="402">
        <v>1.35</v>
      </c>
      <c r="G151" s="33">
        <v>6</v>
      </c>
      <c r="H151" s="402">
        <v>8.1</v>
      </c>
      <c r="I151" s="402">
        <v>8.6010000000000009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40</v>
      </c>
      <c r="P151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1" s="408"/>
      <c r="R151" s="408"/>
      <c r="S151" s="408"/>
      <c r="T151" s="409"/>
      <c r="U151" s="35"/>
      <c r="V151" s="35"/>
      <c r="W151" s="36" t="s">
        <v>71</v>
      </c>
      <c r="X151" s="403">
        <v>300</v>
      </c>
      <c r="Y151" s="404">
        <f t="shared" si="10"/>
        <v>307.8</v>
      </c>
      <c r="Z151" s="37">
        <f>IFERROR(IF(Y151=0,"",ROUNDUP(Y151/H151,0)*0.01898),"")</f>
        <v>0.72123999999999999</v>
      </c>
      <c r="AA151" s="57"/>
      <c r="AB151" s="58"/>
      <c r="AC151" s="190" t="s">
        <v>255</v>
      </c>
      <c r="AG151" s="65"/>
      <c r="AJ151" s="69"/>
      <c r="AK151" s="69">
        <v>0</v>
      </c>
      <c r="BB151" s="191" t="s">
        <v>1</v>
      </c>
      <c r="BM151" s="65">
        <f t="shared" si="11"/>
        <v>318.5555555555556</v>
      </c>
      <c r="BN151" s="65">
        <f t="shared" si="12"/>
        <v>326.83800000000008</v>
      </c>
      <c r="BO151" s="65">
        <f t="shared" si="13"/>
        <v>0.57870370370370372</v>
      </c>
      <c r="BP151" s="65">
        <f t="shared" si="14"/>
        <v>0.59375</v>
      </c>
    </row>
    <row r="152" spans="1:68" ht="16.5" customHeight="1" x14ac:dyDescent="0.25">
      <c r="A152" s="55" t="s">
        <v>256</v>
      </c>
      <c r="B152" s="55" t="s">
        <v>257</v>
      </c>
      <c r="C152" s="32">
        <v>4301051656</v>
      </c>
      <c r="D152" s="411">
        <v>4680115880573</v>
      </c>
      <c r="E152" s="412"/>
      <c r="F152" s="402">
        <v>1.45</v>
      </c>
      <c r="G152" s="33">
        <v>6</v>
      </c>
      <c r="H152" s="402">
        <v>8.6999999999999993</v>
      </c>
      <c r="I152" s="402">
        <v>9.2189999999999994</v>
      </c>
      <c r="J152" s="33">
        <v>64</v>
      </c>
      <c r="K152" s="33" t="s">
        <v>89</v>
      </c>
      <c r="L152" s="33"/>
      <c r="M152" s="34" t="s">
        <v>95</v>
      </c>
      <c r="N152" s="34"/>
      <c r="O152" s="33">
        <v>45</v>
      </c>
      <c r="P152" s="4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2" s="408"/>
      <c r="R152" s="408"/>
      <c r="S152" s="408"/>
      <c r="T152" s="409"/>
      <c r="U152" s="35"/>
      <c r="V152" s="35"/>
      <c r="W152" s="36" t="s">
        <v>71</v>
      </c>
      <c r="X152" s="403">
        <v>200</v>
      </c>
      <c r="Y152" s="404">
        <f t="shared" si="10"/>
        <v>200.1</v>
      </c>
      <c r="Z152" s="37">
        <f>IFERROR(IF(Y152=0,"",ROUNDUP(Y152/H152,0)*0.01898),"")</f>
        <v>0.43653999999999998</v>
      </c>
      <c r="AA152" s="57"/>
      <c r="AB152" s="58"/>
      <c r="AC152" s="192" t="s">
        <v>258</v>
      </c>
      <c r="AG152" s="65"/>
      <c r="AJ152" s="69"/>
      <c r="AK152" s="69">
        <v>0</v>
      </c>
      <c r="BB152" s="193" t="s">
        <v>1</v>
      </c>
      <c r="BM152" s="65">
        <f t="shared" si="11"/>
        <v>211.93103448275863</v>
      </c>
      <c r="BN152" s="65">
        <f t="shared" si="12"/>
        <v>212.03699999999998</v>
      </c>
      <c r="BO152" s="65">
        <f t="shared" si="13"/>
        <v>0.35919540229885061</v>
      </c>
      <c r="BP152" s="65">
        <f t="shared" si="14"/>
        <v>0.359375</v>
      </c>
    </row>
    <row r="153" spans="1:68" ht="27" customHeight="1" x14ac:dyDescent="0.25">
      <c r="A153" s="55" t="s">
        <v>259</v>
      </c>
      <c r="B153" s="55" t="s">
        <v>260</v>
      </c>
      <c r="C153" s="32">
        <v>4301051407</v>
      </c>
      <c r="D153" s="411">
        <v>4680115882195</v>
      </c>
      <c r="E153" s="412"/>
      <c r="F153" s="402">
        <v>0.4</v>
      </c>
      <c r="G153" s="33">
        <v>6</v>
      </c>
      <c r="H153" s="402">
        <v>2.4</v>
      </c>
      <c r="I153" s="402">
        <v>2.67</v>
      </c>
      <c r="J153" s="33">
        <v>182</v>
      </c>
      <c r="K153" s="33" t="s">
        <v>69</v>
      </c>
      <c r="L153" s="33"/>
      <c r="M153" s="34" t="s">
        <v>95</v>
      </c>
      <c r="N153" s="34"/>
      <c r="O153" s="33">
        <v>40</v>
      </c>
      <c r="P153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3" s="408"/>
      <c r="R153" s="408"/>
      <c r="S153" s="408"/>
      <c r="T153" s="409"/>
      <c r="U153" s="35"/>
      <c r="V153" s="35"/>
      <c r="W153" s="36" t="s">
        <v>71</v>
      </c>
      <c r="X153" s="403">
        <v>0</v>
      </c>
      <c r="Y153" s="404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252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261</v>
      </c>
      <c r="B154" s="55" t="s">
        <v>262</v>
      </c>
      <c r="C154" s="32">
        <v>4301051752</v>
      </c>
      <c r="D154" s="411">
        <v>4680115882607</v>
      </c>
      <c r="E154" s="412"/>
      <c r="F154" s="402">
        <v>0.3</v>
      </c>
      <c r="G154" s="33">
        <v>6</v>
      </c>
      <c r="H154" s="402">
        <v>1.8</v>
      </c>
      <c r="I154" s="402">
        <v>2.052</v>
      </c>
      <c r="J154" s="33">
        <v>182</v>
      </c>
      <c r="K154" s="33" t="s">
        <v>69</v>
      </c>
      <c r="L154" s="33"/>
      <c r="M154" s="34" t="s">
        <v>112</v>
      </c>
      <c r="N154" s="34"/>
      <c r="O154" s="33">
        <v>45</v>
      </c>
      <c r="P154" s="5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4" s="408"/>
      <c r="R154" s="408"/>
      <c r="S154" s="408"/>
      <c r="T154" s="409"/>
      <c r="U154" s="35"/>
      <c r="V154" s="35"/>
      <c r="W154" s="36" t="s">
        <v>71</v>
      </c>
      <c r="X154" s="403">
        <v>0</v>
      </c>
      <c r="Y154" s="404">
        <f t="shared" si="10"/>
        <v>0</v>
      </c>
      <c r="Z154" s="37" t="str">
        <f>IFERROR(IF(Y154=0,"",ROUNDUP(Y154/H154,0)*0.00651),"")</f>
        <v/>
      </c>
      <c r="AA154" s="57"/>
      <c r="AB154" s="58"/>
      <c r="AC154" s="196" t="s">
        <v>263</v>
      </c>
      <c r="AG154" s="65"/>
      <c r="AJ154" s="69"/>
      <c r="AK154" s="69">
        <v>0</v>
      </c>
      <c r="BB154" s="197" t="s">
        <v>1</v>
      </c>
      <c r="BM154" s="65">
        <f t="shared" si="11"/>
        <v>0</v>
      </c>
      <c r="BN154" s="65">
        <f t="shared" si="12"/>
        <v>0</v>
      </c>
      <c r="BO154" s="65">
        <f t="shared" si="13"/>
        <v>0</v>
      </c>
      <c r="BP154" s="65">
        <f t="shared" si="14"/>
        <v>0</v>
      </c>
    </row>
    <row r="155" spans="1:68" ht="27" customHeight="1" x14ac:dyDescent="0.25">
      <c r="A155" s="55" t="s">
        <v>264</v>
      </c>
      <c r="B155" s="55" t="s">
        <v>265</v>
      </c>
      <c r="C155" s="32">
        <v>4301051666</v>
      </c>
      <c r="D155" s="411">
        <v>4680115880092</v>
      </c>
      <c r="E155" s="412"/>
      <c r="F155" s="402">
        <v>0.4</v>
      </c>
      <c r="G155" s="33">
        <v>6</v>
      </c>
      <c r="H155" s="402">
        <v>2.4</v>
      </c>
      <c r="I155" s="402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4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5" s="408"/>
      <c r="R155" s="408"/>
      <c r="S155" s="408"/>
      <c r="T155" s="409"/>
      <c r="U155" s="35"/>
      <c r="V155" s="35"/>
      <c r="W155" s="36" t="s">
        <v>71</v>
      </c>
      <c r="X155" s="403">
        <v>80</v>
      </c>
      <c r="Y155" s="404">
        <f t="shared" si="10"/>
        <v>81.599999999999994</v>
      </c>
      <c r="Z155" s="37">
        <f>IFERROR(IF(Y155=0,"",ROUNDUP(Y155/H155,0)*0.00651),"")</f>
        <v>0.22134000000000001</v>
      </c>
      <c r="AA155" s="57"/>
      <c r="AB155" s="58"/>
      <c r="AC155" s="198" t="s">
        <v>258</v>
      </c>
      <c r="AG155" s="65"/>
      <c r="AJ155" s="69"/>
      <c r="AK155" s="69">
        <v>0</v>
      </c>
      <c r="BB155" s="199" t="s">
        <v>1</v>
      </c>
      <c r="BM155" s="65">
        <f t="shared" si="11"/>
        <v>88.40000000000002</v>
      </c>
      <c r="BN155" s="65">
        <f t="shared" si="12"/>
        <v>90.168000000000006</v>
      </c>
      <c r="BO155" s="65">
        <f t="shared" si="13"/>
        <v>0.18315018315018317</v>
      </c>
      <c r="BP155" s="65">
        <f t="shared" si="14"/>
        <v>0.18681318681318682</v>
      </c>
    </row>
    <row r="156" spans="1:68" ht="27" customHeight="1" x14ac:dyDescent="0.25">
      <c r="A156" s="55" t="s">
        <v>266</v>
      </c>
      <c r="B156" s="55" t="s">
        <v>267</v>
      </c>
      <c r="C156" s="32">
        <v>4301051668</v>
      </c>
      <c r="D156" s="411">
        <v>4680115880221</v>
      </c>
      <c r="E156" s="412"/>
      <c r="F156" s="402">
        <v>0.4</v>
      </c>
      <c r="G156" s="33">
        <v>6</v>
      </c>
      <c r="H156" s="402">
        <v>2.4</v>
      </c>
      <c r="I156" s="402">
        <v>2.6520000000000001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45</v>
      </c>
      <c r="P156" s="5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6" s="408"/>
      <c r="R156" s="408"/>
      <c r="S156" s="408"/>
      <c r="T156" s="409"/>
      <c r="U156" s="35"/>
      <c r="V156" s="35"/>
      <c r="W156" s="36" t="s">
        <v>71</v>
      </c>
      <c r="X156" s="403">
        <v>80</v>
      </c>
      <c r="Y156" s="404">
        <f t="shared" si="10"/>
        <v>81.599999999999994</v>
      </c>
      <c r="Z156" s="37">
        <f>IFERROR(IF(Y156=0,"",ROUNDUP(Y156/H156,0)*0.00651),"")</f>
        <v>0.22134000000000001</v>
      </c>
      <c r="AA156" s="57"/>
      <c r="AB156" s="58"/>
      <c r="AC156" s="200" t="s">
        <v>258</v>
      </c>
      <c r="AG156" s="65"/>
      <c r="AJ156" s="69"/>
      <c r="AK156" s="69">
        <v>0</v>
      </c>
      <c r="BB156" s="201" t="s">
        <v>1</v>
      </c>
      <c r="BM156" s="65">
        <f t="shared" si="11"/>
        <v>88.40000000000002</v>
      </c>
      <c r="BN156" s="65">
        <f t="shared" si="12"/>
        <v>90.168000000000006</v>
      </c>
      <c r="BO156" s="65">
        <f t="shared" si="13"/>
        <v>0.18315018315018317</v>
      </c>
      <c r="BP156" s="65">
        <f t="shared" si="14"/>
        <v>0.18681318681318682</v>
      </c>
    </row>
    <row r="157" spans="1:68" ht="27" customHeight="1" x14ac:dyDescent="0.25">
      <c r="A157" s="55" t="s">
        <v>268</v>
      </c>
      <c r="B157" s="55" t="s">
        <v>269</v>
      </c>
      <c r="C157" s="32">
        <v>4301051410</v>
      </c>
      <c r="D157" s="411">
        <v>4680115882164</v>
      </c>
      <c r="E157" s="412"/>
      <c r="F157" s="402">
        <v>0.4</v>
      </c>
      <c r="G157" s="33">
        <v>6</v>
      </c>
      <c r="H157" s="402">
        <v>2.4</v>
      </c>
      <c r="I157" s="402">
        <v>2.6579999999999999</v>
      </c>
      <c r="J157" s="33">
        <v>182</v>
      </c>
      <c r="K157" s="33" t="s">
        <v>69</v>
      </c>
      <c r="L157" s="33"/>
      <c r="M157" s="34" t="s">
        <v>95</v>
      </c>
      <c r="N157" s="34"/>
      <c r="O157" s="33">
        <v>40</v>
      </c>
      <c r="P157" s="4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7" s="408"/>
      <c r="R157" s="408"/>
      <c r="S157" s="408"/>
      <c r="T157" s="409"/>
      <c r="U157" s="35"/>
      <c r="V157" s="35"/>
      <c r="W157" s="36" t="s">
        <v>71</v>
      </c>
      <c r="X157" s="403">
        <v>0</v>
      </c>
      <c r="Y157" s="404">
        <f t="shared" si="10"/>
        <v>0</v>
      </c>
      <c r="Z157" s="37" t="str">
        <f>IFERROR(IF(Y157=0,"",ROUNDUP(Y157/H157,0)*0.00651),"")</f>
        <v/>
      </c>
      <c r="AA157" s="57"/>
      <c r="AB157" s="58"/>
      <c r="AC157" s="202" t="s">
        <v>270</v>
      </c>
      <c r="AG157" s="65"/>
      <c r="AJ157" s="69"/>
      <c r="AK157" s="69">
        <v>0</v>
      </c>
      <c r="BB157" s="203" t="s">
        <v>1</v>
      </c>
      <c r="BM157" s="65">
        <f t="shared" si="11"/>
        <v>0</v>
      </c>
      <c r="BN157" s="65">
        <f t="shared" si="12"/>
        <v>0</v>
      </c>
      <c r="BO157" s="65">
        <f t="shared" si="13"/>
        <v>0</v>
      </c>
      <c r="BP157" s="65">
        <f t="shared" si="14"/>
        <v>0</v>
      </c>
    </row>
    <row r="158" spans="1:68" x14ac:dyDescent="0.2">
      <c r="A158" s="419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0"/>
      <c r="N158" s="420"/>
      <c r="O158" s="421"/>
      <c r="P158" s="415" t="s">
        <v>76</v>
      </c>
      <c r="Q158" s="416"/>
      <c r="R158" s="416"/>
      <c r="S158" s="416"/>
      <c r="T158" s="416"/>
      <c r="U158" s="416"/>
      <c r="V158" s="417"/>
      <c r="W158" s="38" t="s">
        <v>77</v>
      </c>
      <c r="X158" s="405">
        <f>IFERROR(X150/H150,"0")+IFERROR(X151/H151,"0")+IFERROR(X152/H152,"0")+IFERROR(X153/H153,"0")+IFERROR(X154/H154,"0")+IFERROR(X155/H155,"0")+IFERROR(X156/H156,"0")+IFERROR(X157/H157,"0")</f>
        <v>126.69220945083015</v>
      </c>
      <c r="Y158" s="405">
        <f>IFERROR(Y150/H150,"0")+IFERROR(Y151/H151,"0")+IFERROR(Y152/H152,"0")+IFERROR(Y153/H153,"0")+IFERROR(Y154/H154,"0")+IFERROR(Y155/H155,"0")+IFERROR(Y156/H156,"0")+IFERROR(Y157/H157,"0")</f>
        <v>129</v>
      </c>
      <c r="Z158" s="405">
        <f>IFERROR(IF(Z150="",0,Z150),"0")+IFERROR(IF(Z151="",0,Z151),"0")+IFERROR(IF(Z152="",0,Z152),"0")+IFERROR(IF(Z153="",0,Z153),"0")+IFERROR(IF(Z154="",0,Z154),"0")+IFERROR(IF(Z155="",0,Z155),"0")+IFERROR(IF(Z156="",0,Z156),"0")+IFERROR(IF(Z157="",0,Z157),"0")</f>
        <v>1.6004600000000002</v>
      </c>
      <c r="AA158" s="406"/>
      <c r="AB158" s="406"/>
      <c r="AC158" s="406"/>
    </row>
    <row r="159" spans="1:68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0"/>
      <c r="N159" s="420"/>
      <c r="O159" s="421"/>
      <c r="P159" s="415" t="s">
        <v>76</v>
      </c>
      <c r="Q159" s="416"/>
      <c r="R159" s="416"/>
      <c r="S159" s="416"/>
      <c r="T159" s="416"/>
      <c r="U159" s="416"/>
      <c r="V159" s="417"/>
      <c r="W159" s="38" t="s">
        <v>71</v>
      </c>
      <c r="X159" s="405">
        <f>IFERROR(SUM(X150:X157),"0")</f>
        <v>660</v>
      </c>
      <c r="Y159" s="405">
        <f>IFERROR(SUM(Y150:Y157),"0")</f>
        <v>671.1</v>
      </c>
      <c r="Z159" s="38"/>
      <c r="AA159" s="406"/>
      <c r="AB159" s="406"/>
      <c r="AC159" s="406"/>
    </row>
    <row r="160" spans="1:68" ht="14.25" customHeight="1" x14ac:dyDescent="0.25">
      <c r="A160" s="422" t="s">
        <v>128</v>
      </c>
      <c r="B160" s="420"/>
      <c r="C160" s="420"/>
      <c r="D160" s="420"/>
      <c r="E160" s="420"/>
      <c r="F160" s="420"/>
      <c r="G160" s="420"/>
      <c r="H160" s="420"/>
      <c r="I160" s="420"/>
      <c r="J160" s="420"/>
      <c r="K160" s="420"/>
      <c r="L160" s="420"/>
      <c r="M160" s="420"/>
      <c r="N160" s="420"/>
      <c r="O160" s="420"/>
      <c r="P160" s="420"/>
      <c r="Q160" s="420"/>
      <c r="R160" s="420"/>
      <c r="S160" s="420"/>
      <c r="T160" s="420"/>
      <c r="U160" s="420"/>
      <c r="V160" s="420"/>
      <c r="W160" s="420"/>
      <c r="X160" s="420"/>
      <c r="Y160" s="420"/>
      <c r="Z160" s="420"/>
      <c r="AA160" s="399"/>
      <c r="AB160" s="399"/>
      <c r="AC160" s="399"/>
    </row>
    <row r="161" spans="1:68" ht="27" customHeight="1" x14ac:dyDescent="0.25">
      <c r="A161" s="55" t="s">
        <v>271</v>
      </c>
      <c r="B161" s="55" t="s">
        <v>272</v>
      </c>
      <c r="C161" s="32">
        <v>4301060389</v>
      </c>
      <c r="D161" s="411">
        <v>4680115880801</v>
      </c>
      <c r="E161" s="412"/>
      <c r="F161" s="402">
        <v>0.4</v>
      </c>
      <c r="G161" s="33">
        <v>6</v>
      </c>
      <c r="H161" s="402">
        <v>2.4</v>
      </c>
      <c r="I161" s="402">
        <v>2.6520000000000001</v>
      </c>
      <c r="J161" s="33">
        <v>182</v>
      </c>
      <c r="K161" s="33" t="s">
        <v>69</v>
      </c>
      <c r="L161" s="33"/>
      <c r="M161" s="34" t="s">
        <v>95</v>
      </c>
      <c r="N161" s="34"/>
      <c r="O161" s="33">
        <v>40</v>
      </c>
      <c r="P161" s="5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1" s="408"/>
      <c r="R161" s="408"/>
      <c r="S161" s="408"/>
      <c r="T161" s="409"/>
      <c r="U161" s="35"/>
      <c r="V161" s="35"/>
      <c r="W161" s="36" t="s">
        <v>71</v>
      </c>
      <c r="X161" s="403">
        <v>0</v>
      </c>
      <c r="Y161" s="404">
        <f>IFERROR(IF(X161="",0,CEILING((X161/$H161),1)*$H161),"")</f>
        <v>0</v>
      </c>
      <c r="Z161" s="37" t="str">
        <f>IFERROR(IF(Y161=0,"",ROUNDUP(Y161/H161,0)*0.00651),"")</f>
        <v/>
      </c>
      <c r="AA161" s="57"/>
      <c r="AB161" s="58"/>
      <c r="AC161" s="204" t="s">
        <v>273</v>
      </c>
      <c r="AG161" s="65"/>
      <c r="AJ161" s="69"/>
      <c r="AK161" s="69">
        <v>0</v>
      </c>
      <c r="BB161" s="205" t="s">
        <v>1</v>
      </c>
      <c r="BM161" s="65">
        <f>IFERROR(X161*I161/H161,"0")</f>
        <v>0</v>
      </c>
      <c r="BN161" s="65">
        <f>IFERROR(Y161*I161/H161,"0")</f>
        <v>0</v>
      </c>
      <c r="BO161" s="65">
        <f>IFERROR(1/J161*(X161/H161),"0")</f>
        <v>0</v>
      </c>
      <c r="BP161" s="65">
        <f>IFERROR(1/J161*(Y161/H161),"0")</f>
        <v>0</v>
      </c>
    </row>
    <row r="162" spans="1:68" x14ac:dyDescent="0.2">
      <c r="A162" s="419"/>
      <c r="B162" s="420"/>
      <c r="C162" s="420"/>
      <c r="D162" s="420"/>
      <c r="E162" s="420"/>
      <c r="F162" s="420"/>
      <c r="G162" s="420"/>
      <c r="H162" s="420"/>
      <c r="I162" s="420"/>
      <c r="J162" s="420"/>
      <c r="K162" s="420"/>
      <c r="L162" s="420"/>
      <c r="M162" s="420"/>
      <c r="N162" s="420"/>
      <c r="O162" s="421"/>
      <c r="P162" s="415" t="s">
        <v>76</v>
      </c>
      <c r="Q162" s="416"/>
      <c r="R162" s="416"/>
      <c r="S162" s="416"/>
      <c r="T162" s="416"/>
      <c r="U162" s="416"/>
      <c r="V162" s="417"/>
      <c r="W162" s="38" t="s">
        <v>77</v>
      </c>
      <c r="X162" s="405">
        <f>IFERROR(X161/H161,"0")</f>
        <v>0</v>
      </c>
      <c r="Y162" s="405">
        <f>IFERROR(Y161/H161,"0")</f>
        <v>0</v>
      </c>
      <c r="Z162" s="405">
        <f>IFERROR(IF(Z161="",0,Z161),"0")</f>
        <v>0</v>
      </c>
      <c r="AA162" s="406"/>
      <c r="AB162" s="406"/>
      <c r="AC162" s="406"/>
    </row>
    <row r="163" spans="1:68" x14ac:dyDescent="0.2">
      <c r="A163" s="420"/>
      <c r="B163" s="420"/>
      <c r="C163" s="420"/>
      <c r="D163" s="420"/>
      <c r="E163" s="420"/>
      <c r="F163" s="420"/>
      <c r="G163" s="420"/>
      <c r="H163" s="420"/>
      <c r="I163" s="420"/>
      <c r="J163" s="420"/>
      <c r="K163" s="420"/>
      <c r="L163" s="420"/>
      <c r="M163" s="420"/>
      <c r="N163" s="420"/>
      <c r="O163" s="421"/>
      <c r="P163" s="415" t="s">
        <v>76</v>
      </c>
      <c r="Q163" s="416"/>
      <c r="R163" s="416"/>
      <c r="S163" s="416"/>
      <c r="T163" s="416"/>
      <c r="U163" s="416"/>
      <c r="V163" s="417"/>
      <c r="W163" s="38" t="s">
        <v>71</v>
      </c>
      <c r="X163" s="405">
        <f>IFERROR(SUM(X161:X161),"0")</f>
        <v>0</v>
      </c>
      <c r="Y163" s="405">
        <f>IFERROR(SUM(Y161:Y161),"0")</f>
        <v>0</v>
      </c>
      <c r="Z163" s="38"/>
      <c r="AA163" s="406"/>
      <c r="AB163" s="406"/>
      <c r="AC163" s="406"/>
    </row>
    <row r="164" spans="1:68" ht="16.5" customHeight="1" x14ac:dyDescent="0.25">
      <c r="A164" s="434" t="s">
        <v>274</v>
      </c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0"/>
      <c r="N164" s="420"/>
      <c r="O164" s="420"/>
      <c r="P164" s="420"/>
      <c r="Q164" s="420"/>
      <c r="R164" s="420"/>
      <c r="S164" s="420"/>
      <c r="T164" s="420"/>
      <c r="U164" s="420"/>
      <c r="V164" s="420"/>
      <c r="W164" s="420"/>
      <c r="X164" s="420"/>
      <c r="Y164" s="420"/>
      <c r="Z164" s="420"/>
      <c r="AA164" s="398"/>
      <c r="AB164" s="398"/>
      <c r="AC164" s="398"/>
    </row>
    <row r="165" spans="1:68" ht="14.25" customHeight="1" x14ac:dyDescent="0.25">
      <c r="A165" s="422" t="s">
        <v>86</v>
      </c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0"/>
      <c r="N165" s="420"/>
      <c r="O165" s="420"/>
      <c r="P165" s="420"/>
      <c r="Q165" s="420"/>
      <c r="R165" s="420"/>
      <c r="S165" s="420"/>
      <c r="T165" s="420"/>
      <c r="U165" s="420"/>
      <c r="V165" s="420"/>
      <c r="W165" s="420"/>
      <c r="X165" s="420"/>
      <c r="Y165" s="420"/>
      <c r="Z165" s="420"/>
      <c r="AA165" s="399"/>
      <c r="AB165" s="399"/>
      <c r="AC165" s="399"/>
    </row>
    <row r="166" spans="1:68" ht="27" customHeight="1" x14ac:dyDescent="0.25">
      <c r="A166" s="55" t="s">
        <v>275</v>
      </c>
      <c r="B166" s="55" t="s">
        <v>276</v>
      </c>
      <c r="C166" s="32">
        <v>4301011826</v>
      </c>
      <c r="D166" s="411">
        <v>4680115884137</v>
      </c>
      <c r="E166" s="412"/>
      <c r="F166" s="402">
        <v>1.45</v>
      </c>
      <c r="G166" s="33">
        <v>8</v>
      </c>
      <c r="H166" s="402">
        <v>11.6</v>
      </c>
      <c r="I166" s="402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4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6" s="408"/>
      <c r="R166" s="408"/>
      <c r="S166" s="408"/>
      <c r="T166" s="409"/>
      <c r="U166" s="35"/>
      <c r="V166" s="35"/>
      <c r="W166" s="36" t="s">
        <v>71</v>
      </c>
      <c r="X166" s="403">
        <v>0</v>
      </c>
      <c r="Y166" s="404">
        <f t="shared" ref="Y166:Y172" si="15">IFERROR(IF(X166="",0,CEILING((X166/$H166),1)*$H166),"")</f>
        <v>0</v>
      </c>
      <c r="Z166" s="37" t="str">
        <f>IFERROR(IF(Y166=0,"",ROUNDUP(Y166/H166,0)*0.01898),"")</f>
        <v/>
      </c>
      <c r="AA166" s="57"/>
      <c r="AB166" s="58"/>
      <c r="AC166" s="206" t="s">
        <v>277</v>
      </c>
      <c r="AG166" s="65"/>
      <c r="AJ166" s="69"/>
      <c r="AK166" s="69">
        <v>0</v>
      </c>
      <c r="BB166" s="207" t="s">
        <v>1</v>
      </c>
      <c r="BM166" s="65">
        <f t="shared" ref="BM166:BM172" si="16">IFERROR(X166*I166/H166,"0")</f>
        <v>0</v>
      </c>
      <c r="BN166" s="65">
        <f t="shared" ref="BN166:BN172" si="17">IFERROR(Y166*I166/H166,"0")</f>
        <v>0</v>
      </c>
      <c r="BO166" s="65">
        <f t="shared" ref="BO166:BO172" si="18">IFERROR(1/J166*(X166/H166),"0")</f>
        <v>0</v>
      </c>
      <c r="BP166" s="65">
        <f t="shared" ref="BP166:BP172" si="19">IFERROR(1/J166*(Y166/H166),"0")</f>
        <v>0</v>
      </c>
    </row>
    <row r="167" spans="1:68" ht="27" customHeight="1" x14ac:dyDescent="0.25">
      <c r="A167" s="55" t="s">
        <v>278</v>
      </c>
      <c r="B167" s="55" t="s">
        <v>279</v>
      </c>
      <c r="C167" s="32">
        <v>4301011724</v>
      </c>
      <c r="D167" s="411">
        <v>4680115884236</v>
      </c>
      <c r="E167" s="412"/>
      <c r="F167" s="402">
        <v>1.45</v>
      </c>
      <c r="G167" s="33">
        <v>8</v>
      </c>
      <c r="H167" s="402">
        <v>11.6</v>
      </c>
      <c r="I167" s="402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5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7" s="408"/>
      <c r="R167" s="408"/>
      <c r="S167" s="408"/>
      <c r="T167" s="409"/>
      <c r="U167" s="35"/>
      <c r="V167" s="35"/>
      <c r="W167" s="36" t="s">
        <v>71</v>
      </c>
      <c r="X167" s="403">
        <v>0</v>
      </c>
      <c r="Y167" s="404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280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281</v>
      </c>
      <c r="B168" s="55" t="s">
        <v>282</v>
      </c>
      <c r="C168" s="32">
        <v>4301011721</v>
      </c>
      <c r="D168" s="411">
        <v>4680115884175</v>
      </c>
      <c r="E168" s="412"/>
      <c r="F168" s="402">
        <v>1.45</v>
      </c>
      <c r="G168" s="33">
        <v>8</v>
      </c>
      <c r="H168" s="402">
        <v>11.6</v>
      </c>
      <c r="I168" s="402">
        <v>12.035</v>
      </c>
      <c r="J168" s="33">
        <v>64</v>
      </c>
      <c r="K168" s="33" t="s">
        <v>89</v>
      </c>
      <c r="L168" s="33"/>
      <c r="M168" s="34" t="s">
        <v>90</v>
      </c>
      <c r="N168" s="34"/>
      <c r="O168" s="33">
        <v>55</v>
      </c>
      <c r="P168" s="4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8" s="408"/>
      <c r="R168" s="408"/>
      <c r="S168" s="408"/>
      <c r="T168" s="409"/>
      <c r="U168" s="35"/>
      <c r="V168" s="35"/>
      <c r="W168" s="36" t="s">
        <v>71</v>
      </c>
      <c r="X168" s="403">
        <v>0</v>
      </c>
      <c r="Y168" s="404">
        <f t="shared" si="15"/>
        <v>0</v>
      </c>
      <c r="Z168" s="37" t="str">
        <f>IFERROR(IF(Y168=0,"",ROUNDUP(Y168/H168,0)*0.01898),"")</f>
        <v/>
      </c>
      <c r="AA168" s="57"/>
      <c r="AB168" s="58"/>
      <c r="AC168" s="210" t="s">
        <v>283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284</v>
      </c>
      <c r="B169" s="55" t="s">
        <v>285</v>
      </c>
      <c r="C169" s="32">
        <v>4301011824</v>
      </c>
      <c r="D169" s="411">
        <v>4680115884144</v>
      </c>
      <c r="E169" s="412"/>
      <c r="F169" s="402">
        <v>0.4</v>
      </c>
      <c r="G169" s="33">
        <v>10</v>
      </c>
      <c r="H169" s="402">
        <v>4</v>
      </c>
      <c r="I169" s="402">
        <v>4.21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5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9" s="408"/>
      <c r="R169" s="408"/>
      <c r="S169" s="408"/>
      <c r="T169" s="409"/>
      <c r="U169" s="35"/>
      <c r="V169" s="35"/>
      <c r="W169" s="36" t="s">
        <v>71</v>
      </c>
      <c r="X169" s="403">
        <v>0</v>
      </c>
      <c r="Y169" s="404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277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286</v>
      </c>
      <c r="B170" s="55" t="s">
        <v>287</v>
      </c>
      <c r="C170" s="32">
        <v>4301012149</v>
      </c>
      <c r="D170" s="411">
        <v>4680115886551</v>
      </c>
      <c r="E170" s="412"/>
      <c r="F170" s="402">
        <v>0.4</v>
      </c>
      <c r="G170" s="33">
        <v>10</v>
      </c>
      <c r="H170" s="402">
        <v>4</v>
      </c>
      <c r="I170" s="402">
        <v>4.21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4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170" s="408"/>
      <c r="R170" s="408"/>
      <c r="S170" s="408"/>
      <c r="T170" s="409"/>
      <c r="U170" s="35"/>
      <c r="V170" s="35"/>
      <c r="W170" s="36" t="s">
        <v>71</v>
      </c>
      <c r="X170" s="403">
        <v>0</v>
      </c>
      <c r="Y170" s="404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288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289</v>
      </c>
      <c r="B171" s="55" t="s">
        <v>290</v>
      </c>
      <c r="C171" s="32">
        <v>4301011726</v>
      </c>
      <c r="D171" s="411">
        <v>4680115884182</v>
      </c>
      <c r="E171" s="412"/>
      <c r="F171" s="402">
        <v>0.37</v>
      </c>
      <c r="G171" s="33">
        <v>10</v>
      </c>
      <c r="H171" s="402">
        <v>3.7</v>
      </c>
      <c r="I171" s="402">
        <v>3.91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4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1" s="408"/>
      <c r="R171" s="408"/>
      <c r="S171" s="408"/>
      <c r="T171" s="409"/>
      <c r="U171" s="35"/>
      <c r="V171" s="35"/>
      <c r="W171" s="36" t="s">
        <v>71</v>
      </c>
      <c r="X171" s="403">
        <v>0</v>
      </c>
      <c r="Y171" s="404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280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ht="27" customHeight="1" x14ac:dyDescent="0.25">
      <c r="A172" s="55" t="s">
        <v>291</v>
      </c>
      <c r="B172" s="55" t="s">
        <v>292</v>
      </c>
      <c r="C172" s="32">
        <v>4301011722</v>
      </c>
      <c r="D172" s="411">
        <v>4680115884205</v>
      </c>
      <c r="E172" s="412"/>
      <c r="F172" s="402">
        <v>0.4</v>
      </c>
      <c r="G172" s="33">
        <v>10</v>
      </c>
      <c r="H172" s="402">
        <v>4</v>
      </c>
      <c r="I172" s="402">
        <v>4.21</v>
      </c>
      <c r="J172" s="33">
        <v>132</v>
      </c>
      <c r="K172" s="33" t="s">
        <v>94</v>
      </c>
      <c r="L172" s="33"/>
      <c r="M172" s="34" t="s">
        <v>90</v>
      </c>
      <c r="N172" s="34"/>
      <c r="O172" s="33">
        <v>55</v>
      </c>
      <c r="P172" s="4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2" s="408"/>
      <c r="R172" s="408"/>
      <c r="S172" s="408"/>
      <c r="T172" s="409"/>
      <c r="U172" s="35"/>
      <c r="V172" s="35"/>
      <c r="W172" s="36" t="s">
        <v>71</v>
      </c>
      <c r="X172" s="403">
        <v>0</v>
      </c>
      <c r="Y172" s="404">
        <f t="shared" si="15"/>
        <v>0</v>
      </c>
      <c r="Z172" s="37" t="str">
        <f>IFERROR(IF(Y172=0,"",ROUNDUP(Y172/H172,0)*0.00902),"")</f>
        <v/>
      </c>
      <c r="AA172" s="57"/>
      <c r="AB172" s="58"/>
      <c r="AC172" s="218" t="s">
        <v>283</v>
      </c>
      <c r="AG172" s="65"/>
      <c r="AJ172" s="69"/>
      <c r="AK172" s="69">
        <v>0</v>
      </c>
      <c r="BB172" s="219" t="s">
        <v>1</v>
      </c>
      <c r="BM172" s="65">
        <f t="shared" si="16"/>
        <v>0</v>
      </c>
      <c r="BN172" s="65">
        <f t="shared" si="17"/>
        <v>0</v>
      </c>
      <c r="BO172" s="65">
        <f t="shared" si="18"/>
        <v>0</v>
      </c>
      <c r="BP172" s="65">
        <f t="shared" si="19"/>
        <v>0</v>
      </c>
    </row>
    <row r="173" spans="1:68" x14ac:dyDescent="0.2">
      <c r="A173" s="419"/>
      <c r="B173" s="420"/>
      <c r="C173" s="420"/>
      <c r="D173" s="420"/>
      <c r="E173" s="420"/>
      <c r="F173" s="420"/>
      <c r="G173" s="420"/>
      <c r="H173" s="420"/>
      <c r="I173" s="420"/>
      <c r="J173" s="420"/>
      <c r="K173" s="420"/>
      <c r="L173" s="420"/>
      <c r="M173" s="420"/>
      <c r="N173" s="420"/>
      <c r="O173" s="421"/>
      <c r="P173" s="415" t="s">
        <v>76</v>
      </c>
      <c r="Q173" s="416"/>
      <c r="R173" s="416"/>
      <c r="S173" s="416"/>
      <c r="T173" s="416"/>
      <c r="U173" s="416"/>
      <c r="V173" s="417"/>
      <c r="W173" s="38" t="s">
        <v>77</v>
      </c>
      <c r="X173" s="405">
        <f>IFERROR(X166/H166,"0")+IFERROR(X167/H167,"0")+IFERROR(X168/H168,"0")+IFERROR(X169/H169,"0")+IFERROR(X170/H170,"0")+IFERROR(X171/H171,"0")+IFERROR(X172/H172,"0")</f>
        <v>0</v>
      </c>
      <c r="Y173" s="405">
        <f>IFERROR(Y166/H166,"0")+IFERROR(Y167/H167,"0")+IFERROR(Y168/H168,"0")+IFERROR(Y169/H169,"0")+IFERROR(Y170/H170,"0")+IFERROR(Y171/H171,"0")+IFERROR(Y172/H172,"0")</f>
        <v>0</v>
      </c>
      <c r="Z173" s="405">
        <f>IFERROR(IF(Z166="",0,Z166),"0")+IFERROR(IF(Z167="",0,Z167),"0")+IFERROR(IF(Z168="",0,Z168),"0")+IFERROR(IF(Z169="",0,Z169),"0")+IFERROR(IF(Z170="",0,Z170),"0")+IFERROR(IF(Z171="",0,Z171),"0")+IFERROR(IF(Z172="",0,Z172),"0")</f>
        <v>0</v>
      </c>
      <c r="AA173" s="406"/>
      <c r="AB173" s="406"/>
      <c r="AC173" s="406"/>
    </row>
    <row r="174" spans="1:68" x14ac:dyDescent="0.2">
      <c r="A174" s="420"/>
      <c r="B174" s="420"/>
      <c r="C174" s="420"/>
      <c r="D174" s="420"/>
      <c r="E174" s="420"/>
      <c r="F174" s="420"/>
      <c r="G174" s="420"/>
      <c r="H174" s="420"/>
      <c r="I174" s="420"/>
      <c r="J174" s="420"/>
      <c r="K174" s="420"/>
      <c r="L174" s="420"/>
      <c r="M174" s="420"/>
      <c r="N174" s="420"/>
      <c r="O174" s="421"/>
      <c r="P174" s="415" t="s">
        <v>76</v>
      </c>
      <c r="Q174" s="416"/>
      <c r="R174" s="416"/>
      <c r="S174" s="416"/>
      <c r="T174" s="416"/>
      <c r="U174" s="416"/>
      <c r="V174" s="417"/>
      <c r="W174" s="38" t="s">
        <v>71</v>
      </c>
      <c r="X174" s="405">
        <f>IFERROR(SUM(X166:X172),"0")</f>
        <v>0</v>
      </c>
      <c r="Y174" s="405">
        <f>IFERROR(SUM(Y166:Y172),"0")</f>
        <v>0</v>
      </c>
      <c r="Z174" s="38"/>
      <c r="AA174" s="406"/>
      <c r="AB174" s="406"/>
      <c r="AC174" s="406"/>
    </row>
    <row r="175" spans="1:68" ht="16.5" customHeight="1" x14ac:dyDescent="0.25">
      <c r="A175" s="434" t="s">
        <v>293</v>
      </c>
      <c r="B175" s="420"/>
      <c r="C175" s="420"/>
      <c r="D175" s="420"/>
      <c r="E175" s="420"/>
      <c r="F175" s="420"/>
      <c r="G175" s="420"/>
      <c r="H175" s="420"/>
      <c r="I175" s="420"/>
      <c r="J175" s="420"/>
      <c r="K175" s="420"/>
      <c r="L175" s="420"/>
      <c r="M175" s="420"/>
      <c r="N175" s="420"/>
      <c r="O175" s="420"/>
      <c r="P175" s="420"/>
      <c r="Q175" s="420"/>
      <c r="R175" s="420"/>
      <c r="S175" s="420"/>
      <c r="T175" s="420"/>
      <c r="U175" s="420"/>
      <c r="V175" s="420"/>
      <c r="W175" s="420"/>
      <c r="X175" s="420"/>
      <c r="Y175" s="420"/>
      <c r="Z175" s="420"/>
      <c r="AA175" s="398"/>
      <c r="AB175" s="398"/>
      <c r="AC175" s="398"/>
    </row>
    <row r="176" spans="1:68" ht="14.25" customHeight="1" x14ac:dyDescent="0.25">
      <c r="A176" s="422" t="s">
        <v>86</v>
      </c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0"/>
      <c r="N176" s="420"/>
      <c r="O176" s="420"/>
      <c r="P176" s="420"/>
      <c r="Q176" s="420"/>
      <c r="R176" s="420"/>
      <c r="S176" s="420"/>
      <c r="T176" s="420"/>
      <c r="U176" s="420"/>
      <c r="V176" s="420"/>
      <c r="W176" s="420"/>
      <c r="X176" s="420"/>
      <c r="Y176" s="420"/>
      <c r="Z176" s="420"/>
      <c r="AA176" s="399"/>
      <c r="AB176" s="399"/>
      <c r="AC176" s="399"/>
    </row>
    <row r="177" spans="1:68" ht="27" customHeight="1" x14ac:dyDescent="0.25">
      <c r="A177" s="55" t="s">
        <v>294</v>
      </c>
      <c r="B177" s="55" t="s">
        <v>295</v>
      </c>
      <c r="C177" s="32">
        <v>4301011855</v>
      </c>
      <c r="D177" s="411">
        <v>4680115885837</v>
      </c>
      <c r="E177" s="412"/>
      <c r="F177" s="402">
        <v>1.35</v>
      </c>
      <c r="G177" s="33">
        <v>8</v>
      </c>
      <c r="H177" s="402">
        <v>10.8</v>
      </c>
      <c r="I177" s="402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408"/>
      <c r="R177" s="408"/>
      <c r="S177" s="408"/>
      <c r="T177" s="409"/>
      <c r="U177" s="35"/>
      <c r="V177" s="35"/>
      <c r="W177" s="36" t="s">
        <v>71</v>
      </c>
      <c r="X177" s="403">
        <v>0</v>
      </c>
      <c r="Y177" s="404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296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27" customHeight="1" x14ac:dyDescent="0.25">
      <c r="A178" s="55" t="s">
        <v>297</v>
      </c>
      <c r="B178" s="55" t="s">
        <v>298</v>
      </c>
      <c r="C178" s="32">
        <v>4301011850</v>
      </c>
      <c r="D178" s="411">
        <v>4680115885806</v>
      </c>
      <c r="E178" s="412"/>
      <c r="F178" s="402">
        <v>1.35</v>
      </c>
      <c r="G178" s="33">
        <v>8</v>
      </c>
      <c r="H178" s="402">
        <v>10.8</v>
      </c>
      <c r="I178" s="402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8" s="408"/>
      <c r="R178" s="408"/>
      <c r="S178" s="408"/>
      <c r="T178" s="409"/>
      <c r="U178" s="35"/>
      <c r="V178" s="35"/>
      <c r="W178" s="36" t="s">
        <v>71</v>
      </c>
      <c r="X178" s="403">
        <v>0</v>
      </c>
      <c r="Y178" s="404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299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37.5" customHeight="1" x14ac:dyDescent="0.25">
      <c r="A179" s="55" t="s">
        <v>300</v>
      </c>
      <c r="B179" s="55" t="s">
        <v>301</v>
      </c>
      <c r="C179" s="32">
        <v>4301011853</v>
      </c>
      <c r="D179" s="411">
        <v>4680115885851</v>
      </c>
      <c r="E179" s="412"/>
      <c r="F179" s="402">
        <v>1.35</v>
      </c>
      <c r="G179" s="33">
        <v>8</v>
      </c>
      <c r="H179" s="402">
        <v>10.8</v>
      </c>
      <c r="I179" s="402">
        <v>11.234999999999999</v>
      </c>
      <c r="J179" s="33">
        <v>64</v>
      </c>
      <c r="K179" s="33" t="s">
        <v>89</v>
      </c>
      <c r="L179" s="33"/>
      <c r="M179" s="34" t="s">
        <v>90</v>
      </c>
      <c r="N179" s="34"/>
      <c r="O179" s="33">
        <v>55</v>
      </c>
      <c r="P179" s="5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9" s="408"/>
      <c r="R179" s="408"/>
      <c r="S179" s="408"/>
      <c r="T179" s="409"/>
      <c r="U179" s="35"/>
      <c r="V179" s="35"/>
      <c r="W179" s="36" t="s">
        <v>71</v>
      </c>
      <c r="X179" s="403">
        <v>0</v>
      </c>
      <c r="Y179" s="404">
        <f>IFERROR(IF(X179="",0,CEILING((X179/$H179),1)*$H179),"")</f>
        <v>0</v>
      </c>
      <c r="Z179" s="37" t="str">
        <f>IFERROR(IF(Y179=0,"",ROUNDUP(Y179/H179,0)*0.01898),"")</f>
        <v/>
      </c>
      <c r="AA179" s="57"/>
      <c r="AB179" s="58"/>
      <c r="AC179" s="224" t="s">
        <v>302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303</v>
      </c>
      <c r="B180" s="55" t="s">
        <v>304</v>
      </c>
      <c r="C180" s="32">
        <v>4301011852</v>
      </c>
      <c r="D180" s="411">
        <v>4680115885844</v>
      </c>
      <c r="E180" s="412"/>
      <c r="F180" s="402">
        <v>0.4</v>
      </c>
      <c r="G180" s="33">
        <v>10</v>
      </c>
      <c r="H180" s="402">
        <v>4</v>
      </c>
      <c r="I180" s="402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4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408"/>
      <c r="R180" s="408"/>
      <c r="S180" s="408"/>
      <c r="T180" s="409"/>
      <c r="U180" s="35"/>
      <c r="V180" s="35"/>
      <c r="W180" s="36" t="s">
        <v>71</v>
      </c>
      <c r="X180" s="403">
        <v>0</v>
      </c>
      <c r="Y180" s="404">
        <f>IFERROR(IF(X180="",0,CEILING((X180/$H180),1)*$H180),"")</f>
        <v>0</v>
      </c>
      <c r="Z180" s="37" t="str">
        <f>IFERROR(IF(Y180=0,"",ROUNDUP(Y180/H180,0)*0.00902),"")</f>
        <v/>
      </c>
      <c r="AA180" s="57"/>
      <c r="AB180" s="58"/>
      <c r="AC180" s="226" t="s">
        <v>305</v>
      </c>
      <c r="AG180" s="65"/>
      <c r="AJ180" s="69"/>
      <c r="AK180" s="69">
        <v>0</v>
      </c>
      <c r="BB180" s="227" t="s">
        <v>1</v>
      </c>
      <c r="BM180" s="65">
        <f>IFERROR(X180*I180/H180,"0")</f>
        <v>0</v>
      </c>
      <c r="BN180" s="65">
        <f>IFERROR(Y180*I180/H180,"0")</f>
        <v>0</v>
      </c>
      <c r="BO180" s="65">
        <f>IFERROR(1/J180*(X180/H180),"0")</f>
        <v>0</v>
      </c>
      <c r="BP180" s="65">
        <f>IFERROR(1/J180*(Y180/H180),"0")</f>
        <v>0</v>
      </c>
    </row>
    <row r="181" spans="1:68" ht="27" customHeight="1" x14ac:dyDescent="0.25">
      <c r="A181" s="55" t="s">
        <v>306</v>
      </c>
      <c r="B181" s="55" t="s">
        <v>307</v>
      </c>
      <c r="C181" s="32">
        <v>4301011851</v>
      </c>
      <c r="D181" s="411">
        <v>4680115885820</v>
      </c>
      <c r="E181" s="412"/>
      <c r="F181" s="402">
        <v>0.4</v>
      </c>
      <c r="G181" s="33">
        <v>10</v>
      </c>
      <c r="H181" s="402">
        <v>4</v>
      </c>
      <c r="I181" s="402">
        <v>4.21</v>
      </c>
      <c r="J181" s="33">
        <v>132</v>
      </c>
      <c r="K181" s="33" t="s">
        <v>94</v>
      </c>
      <c r="L181" s="33"/>
      <c r="M181" s="34" t="s">
        <v>90</v>
      </c>
      <c r="N181" s="34"/>
      <c r="O181" s="33">
        <v>55</v>
      </c>
      <c r="P181" s="64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408"/>
      <c r="R181" s="408"/>
      <c r="S181" s="408"/>
      <c r="T181" s="409"/>
      <c r="U181" s="35"/>
      <c r="V181" s="35"/>
      <c r="W181" s="36" t="s">
        <v>71</v>
      </c>
      <c r="X181" s="403">
        <v>0</v>
      </c>
      <c r="Y181" s="404">
        <f>IFERROR(IF(X181="",0,CEILING((X181/$H181),1)*$H181),"")</f>
        <v>0</v>
      </c>
      <c r="Z181" s="37" t="str">
        <f>IFERROR(IF(Y181=0,"",ROUNDUP(Y181/H181,0)*0.00902),"")</f>
        <v/>
      </c>
      <c r="AA181" s="57"/>
      <c r="AB181" s="58"/>
      <c r="AC181" s="228" t="s">
        <v>308</v>
      </c>
      <c r="AG181" s="65"/>
      <c r="AJ181" s="69"/>
      <c r="AK181" s="69">
        <v>0</v>
      </c>
      <c r="BB181" s="229" t="s">
        <v>1</v>
      </c>
      <c r="BM181" s="65">
        <f>IFERROR(X181*I181/H181,"0")</f>
        <v>0</v>
      </c>
      <c r="BN181" s="65">
        <f>IFERROR(Y181*I181/H181,"0")</f>
        <v>0</v>
      </c>
      <c r="BO181" s="65">
        <f>IFERROR(1/J181*(X181/H181),"0")</f>
        <v>0</v>
      </c>
      <c r="BP181" s="65">
        <f>IFERROR(1/J181*(Y181/H181),"0")</f>
        <v>0</v>
      </c>
    </row>
    <row r="182" spans="1:68" x14ac:dyDescent="0.2">
      <c r="A182" s="419"/>
      <c r="B182" s="420"/>
      <c r="C182" s="420"/>
      <c r="D182" s="420"/>
      <c r="E182" s="420"/>
      <c r="F182" s="420"/>
      <c r="G182" s="420"/>
      <c r="H182" s="420"/>
      <c r="I182" s="420"/>
      <c r="J182" s="420"/>
      <c r="K182" s="420"/>
      <c r="L182" s="420"/>
      <c r="M182" s="420"/>
      <c r="N182" s="420"/>
      <c r="O182" s="421"/>
      <c r="P182" s="415" t="s">
        <v>76</v>
      </c>
      <c r="Q182" s="416"/>
      <c r="R182" s="416"/>
      <c r="S182" s="416"/>
      <c r="T182" s="416"/>
      <c r="U182" s="416"/>
      <c r="V182" s="417"/>
      <c r="W182" s="38" t="s">
        <v>77</v>
      </c>
      <c r="X182" s="405">
        <f>IFERROR(X177/H177,"0")+IFERROR(X178/H178,"0")+IFERROR(X179/H179,"0")+IFERROR(X180/H180,"0")+IFERROR(X181/H181,"0")</f>
        <v>0</v>
      </c>
      <c r="Y182" s="405">
        <f>IFERROR(Y177/H177,"0")+IFERROR(Y178/H178,"0")+IFERROR(Y179/H179,"0")+IFERROR(Y180/H180,"0")+IFERROR(Y181/H181,"0")</f>
        <v>0</v>
      </c>
      <c r="Z182" s="405">
        <f>IFERROR(IF(Z177="",0,Z177),"0")+IFERROR(IF(Z178="",0,Z178),"0")+IFERROR(IF(Z179="",0,Z179),"0")+IFERROR(IF(Z180="",0,Z180),"0")+IFERROR(IF(Z181="",0,Z181),"0")</f>
        <v>0</v>
      </c>
      <c r="AA182" s="406"/>
      <c r="AB182" s="406"/>
      <c r="AC182" s="406"/>
    </row>
    <row r="183" spans="1:68" x14ac:dyDescent="0.2">
      <c r="A183" s="420"/>
      <c r="B183" s="420"/>
      <c r="C183" s="420"/>
      <c r="D183" s="420"/>
      <c r="E183" s="420"/>
      <c r="F183" s="420"/>
      <c r="G183" s="420"/>
      <c r="H183" s="420"/>
      <c r="I183" s="420"/>
      <c r="J183" s="420"/>
      <c r="K183" s="420"/>
      <c r="L183" s="420"/>
      <c r="M183" s="420"/>
      <c r="N183" s="420"/>
      <c r="O183" s="421"/>
      <c r="P183" s="415" t="s">
        <v>76</v>
      </c>
      <c r="Q183" s="416"/>
      <c r="R183" s="416"/>
      <c r="S183" s="416"/>
      <c r="T183" s="416"/>
      <c r="U183" s="416"/>
      <c r="V183" s="417"/>
      <c r="W183" s="38" t="s">
        <v>71</v>
      </c>
      <c r="X183" s="405">
        <f>IFERROR(SUM(X177:X181),"0")</f>
        <v>0</v>
      </c>
      <c r="Y183" s="405">
        <f>IFERROR(SUM(Y177:Y181),"0")</f>
        <v>0</v>
      </c>
      <c r="Z183" s="38"/>
      <c r="AA183" s="406"/>
      <c r="AB183" s="406"/>
      <c r="AC183" s="406"/>
    </row>
    <row r="184" spans="1:68" ht="16.5" customHeight="1" x14ac:dyDescent="0.25">
      <c r="A184" s="434" t="s">
        <v>309</v>
      </c>
      <c r="B184" s="420"/>
      <c r="C184" s="420"/>
      <c r="D184" s="420"/>
      <c r="E184" s="420"/>
      <c r="F184" s="420"/>
      <c r="G184" s="420"/>
      <c r="H184" s="420"/>
      <c r="I184" s="420"/>
      <c r="J184" s="420"/>
      <c r="K184" s="420"/>
      <c r="L184" s="420"/>
      <c r="M184" s="420"/>
      <c r="N184" s="420"/>
      <c r="O184" s="420"/>
      <c r="P184" s="420"/>
      <c r="Q184" s="420"/>
      <c r="R184" s="420"/>
      <c r="S184" s="420"/>
      <c r="T184" s="420"/>
      <c r="U184" s="420"/>
      <c r="V184" s="420"/>
      <c r="W184" s="420"/>
      <c r="X184" s="420"/>
      <c r="Y184" s="420"/>
      <c r="Z184" s="420"/>
      <c r="AA184" s="398"/>
      <c r="AB184" s="398"/>
      <c r="AC184" s="398"/>
    </row>
    <row r="185" spans="1:68" ht="14.25" customHeight="1" x14ac:dyDescent="0.25">
      <c r="A185" s="422" t="s">
        <v>86</v>
      </c>
      <c r="B185" s="420"/>
      <c r="C185" s="420"/>
      <c r="D185" s="420"/>
      <c r="E185" s="420"/>
      <c r="F185" s="420"/>
      <c r="G185" s="420"/>
      <c r="H185" s="420"/>
      <c r="I185" s="420"/>
      <c r="J185" s="420"/>
      <c r="K185" s="420"/>
      <c r="L185" s="420"/>
      <c r="M185" s="420"/>
      <c r="N185" s="420"/>
      <c r="O185" s="420"/>
      <c r="P185" s="420"/>
      <c r="Q185" s="420"/>
      <c r="R185" s="420"/>
      <c r="S185" s="420"/>
      <c r="T185" s="420"/>
      <c r="U185" s="420"/>
      <c r="V185" s="420"/>
      <c r="W185" s="420"/>
      <c r="X185" s="420"/>
      <c r="Y185" s="420"/>
      <c r="Z185" s="420"/>
      <c r="AA185" s="399"/>
      <c r="AB185" s="399"/>
      <c r="AC185" s="399"/>
    </row>
    <row r="186" spans="1:68" ht="27" customHeight="1" x14ac:dyDescent="0.25">
      <c r="A186" s="55" t="s">
        <v>310</v>
      </c>
      <c r="B186" s="55" t="s">
        <v>311</v>
      </c>
      <c r="C186" s="32">
        <v>4301011223</v>
      </c>
      <c r="D186" s="411">
        <v>4607091383423</v>
      </c>
      <c r="E186" s="412"/>
      <c r="F186" s="402">
        <v>1.35</v>
      </c>
      <c r="G186" s="33">
        <v>8</v>
      </c>
      <c r="H186" s="402">
        <v>10.8</v>
      </c>
      <c r="I186" s="402">
        <v>11.331</v>
      </c>
      <c r="J186" s="33">
        <v>64</v>
      </c>
      <c r="K186" s="33" t="s">
        <v>89</v>
      </c>
      <c r="L186" s="33"/>
      <c r="M186" s="34" t="s">
        <v>95</v>
      </c>
      <c r="N186" s="34"/>
      <c r="O186" s="33">
        <v>35</v>
      </c>
      <c r="P186" s="6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408"/>
      <c r="R186" s="408"/>
      <c r="S186" s="408"/>
      <c r="T186" s="409"/>
      <c r="U186" s="35"/>
      <c r="V186" s="35"/>
      <c r="W186" s="36" t="s">
        <v>71</v>
      </c>
      <c r="X186" s="403">
        <v>0</v>
      </c>
      <c r="Y186" s="404">
        <f>IFERROR(IF(X186="",0,CEILING((X186/$H186),1)*$H186),"")</f>
        <v>0</v>
      </c>
      <c r="Z186" s="37" t="str">
        <f>IFERROR(IF(Y186=0,"",ROUNDUP(Y186/H186,0)*0.01898),"")</f>
        <v/>
      </c>
      <c r="AA186" s="57"/>
      <c r="AB186" s="58"/>
      <c r="AC186" s="230" t="s">
        <v>91</v>
      </c>
      <c r="AG186" s="65"/>
      <c r="AJ186" s="69"/>
      <c r="AK186" s="69">
        <v>0</v>
      </c>
      <c r="BB186" s="231" t="s">
        <v>1</v>
      </c>
      <c r="BM186" s="65">
        <f>IFERROR(X186*I186/H186,"0")</f>
        <v>0</v>
      </c>
      <c r="BN186" s="65">
        <f>IFERROR(Y186*I186/H186,"0")</f>
        <v>0</v>
      </c>
      <c r="BO186" s="65">
        <f>IFERROR(1/J186*(X186/H186),"0")</f>
        <v>0</v>
      </c>
      <c r="BP186" s="65">
        <f>IFERROR(1/J186*(Y186/H186),"0")</f>
        <v>0</v>
      </c>
    </row>
    <row r="187" spans="1:68" x14ac:dyDescent="0.2">
      <c r="A187" s="419"/>
      <c r="B187" s="420"/>
      <c r="C187" s="420"/>
      <c r="D187" s="420"/>
      <c r="E187" s="420"/>
      <c r="F187" s="420"/>
      <c r="G187" s="420"/>
      <c r="H187" s="420"/>
      <c r="I187" s="420"/>
      <c r="J187" s="420"/>
      <c r="K187" s="420"/>
      <c r="L187" s="420"/>
      <c r="M187" s="420"/>
      <c r="N187" s="420"/>
      <c r="O187" s="421"/>
      <c r="P187" s="415" t="s">
        <v>76</v>
      </c>
      <c r="Q187" s="416"/>
      <c r="R187" s="416"/>
      <c r="S187" s="416"/>
      <c r="T187" s="416"/>
      <c r="U187" s="416"/>
      <c r="V187" s="417"/>
      <c r="W187" s="38" t="s">
        <v>77</v>
      </c>
      <c r="X187" s="405">
        <f>IFERROR(X186/H186,"0")</f>
        <v>0</v>
      </c>
      <c r="Y187" s="405">
        <f>IFERROR(Y186/H186,"0")</f>
        <v>0</v>
      </c>
      <c r="Z187" s="405">
        <f>IFERROR(IF(Z186="",0,Z186),"0")</f>
        <v>0</v>
      </c>
      <c r="AA187" s="406"/>
      <c r="AB187" s="406"/>
      <c r="AC187" s="406"/>
    </row>
    <row r="188" spans="1:68" x14ac:dyDescent="0.2">
      <c r="A188" s="420"/>
      <c r="B188" s="420"/>
      <c r="C188" s="420"/>
      <c r="D188" s="420"/>
      <c r="E188" s="420"/>
      <c r="F188" s="420"/>
      <c r="G188" s="420"/>
      <c r="H188" s="420"/>
      <c r="I188" s="420"/>
      <c r="J188" s="420"/>
      <c r="K188" s="420"/>
      <c r="L188" s="420"/>
      <c r="M188" s="420"/>
      <c r="N188" s="420"/>
      <c r="O188" s="421"/>
      <c r="P188" s="415" t="s">
        <v>76</v>
      </c>
      <c r="Q188" s="416"/>
      <c r="R188" s="416"/>
      <c r="S188" s="416"/>
      <c r="T188" s="416"/>
      <c r="U188" s="416"/>
      <c r="V188" s="417"/>
      <c r="W188" s="38" t="s">
        <v>71</v>
      </c>
      <c r="X188" s="405">
        <f>IFERROR(SUM(X186:X186),"0")</f>
        <v>0</v>
      </c>
      <c r="Y188" s="405">
        <f>IFERROR(SUM(Y186:Y186),"0")</f>
        <v>0</v>
      </c>
      <c r="Z188" s="38"/>
      <c r="AA188" s="406"/>
      <c r="AB188" s="406"/>
      <c r="AC188" s="406"/>
    </row>
    <row r="189" spans="1:68" ht="16.5" customHeight="1" x14ac:dyDescent="0.25">
      <c r="A189" s="434" t="s">
        <v>312</v>
      </c>
      <c r="B189" s="420"/>
      <c r="C189" s="420"/>
      <c r="D189" s="420"/>
      <c r="E189" s="420"/>
      <c r="F189" s="420"/>
      <c r="G189" s="420"/>
      <c r="H189" s="420"/>
      <c r="I189" s="420"/>
      <c r="J189" s="420"/>
      <c r="K189" s="420"/>
      <c r="L189" s="420"/>
      <c r="M189" s="420"/>
      <c r="N189" s="420"/>
      <c r="O189" s="420"/>
      <c r="P189" s="420"/>
      <c r="Q189" s="420"/>
      <c r="R189" s="420"/>
      <c r="S189" s="420"/>
      <c r="T189" s="420"/>
      <c r="U189" s="420"/>
      <c r="V189" s="420"/>
      <c r="W189" s="420"/>
      <c r="X189" s="420"/>
      <c r="Y189" s="420"/>
      <c r="Z189" s="420"/>
      <c r="AA189" s="398"/>
      <c r="AB189" s="398"/>
      <c r="AC189" s="398"/>
    </row>
    <row r="190" spans="1:68" ht="14.25" customHeight="1" x14ac:dyDescent="0.25">
      <c r="A190" s="422" t="s">
        <v>66</v>
      </c>
      <c r="B190" s="420"/>
      <c r="C190" s="420"/>
      <c r="D190" s="420"/>
      <c r="E190" s="420"/>
      <c r="F190" s="420"/>
      <c r="G190" s="420"/>
      <c r="H190" s="420"/>
      <c r="I190" s="420"/>
      <c r="J190" s="420"/>
      <c r="K190" s="420"/>
      <c r="L190" s="420"/>
      <c r="M190" s="420"/>
      <c r="N190" s="420"/>
      <c r="O190" s="420"/>
      <c r="P190" s="420"/>
      <c r="Q190" s="420"/>
      <c r="R190" s="420"/>
      <c r="S190" s="420"/>
      <c r="T190" s="420"/>
      <c r="U190" s="420"/>
      <c r="V190" s="420"/>
      <c r="W190" s="420"/>
      <c r="X190" s="420"/>
      <c r="Y190" s="420"/>
      <c r="Z190" s="420"/>
      <c r="AA190" s="399"/>
      <c r="AB190" s="399"/>
      <c r="AC190" s="399"/>
    </row>
    <row r="191" spans="1:68" ht="37.5" customHeight="1" x14ac:dyDescent="0.25">
      <c r="A191" s="55" t="s">
        <v>313</v>
      </c>
      <c r="B191" s="55" t="s">
        <v>314</v>
      </c>
      <c r="C191" s="32">
        <v>4301051388</v>
      </c>
      <c r="D191" s="411">
        <v>4680115881211</v>
      </c>
      <c r="E191" s="412"/>
      <c r="F191" s="402">
        <v>0.4</v>
      </c>
      <c r="G191" s="33">
        <v>6</v>
      </c>
      <c r="H191" s="402">
        <v>2.4</v>
      </c>
      <c r="I191" s="402">
        <v>2.58</v>
      </c>
      <c r="J191" s="33">
        <v>182</v>
      </c>
      <c r="K191" s="33" t="s">
        <v>69</v>
      </c>
      <c r="L191" s="33"/>
      <c r="M191" s="34" t="s">
        <v>95</v>
      </c>
      <c r="N191" s="34"/>
      <c r="O191" s="33">
        <v>45</v>
      </c>
      <c r="P191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1" s="408"/>
      <c r="R191" s="408"/>
      <c r="S191" s="408"/>
      <c r="T191" s="409"/>
      <c r="U191" s="35"/>
      <c r="V191" s="35"/>
      <c r="W191" s="36" t="s">
        <v>71</v>
      </c>
      <c r="X191" s="403">
        <v>0</v>
      </c>
      <c r="Y191" s="404">
        <f>IFERROR(IF(X191="",0,CEILING((X191/$H191),1)*$H191),"")</f>
        <v>0</v>
      </c>
      <c r="Z191" s="37" t="str">
        <f>IFERROR(IF(Y191=0,"",ROUNDUP(Y191/H191,0)*0.00651),"")</f>
        <v/>
      </c>
      <c r="AA191" s="57"/>
      <c r="AB191" s="58"/>
      <c r="AC191" s="232" t="s">
        <v>315</v>
      </c>
      <c r="AG191" s="65"/>
      <c r="AJ191" s="69"/>
      <c r="AK191" s="69">
        <v>0</v>
      </c>
      <c r="BB191" s="233" t="s">
        <v>1</v>
      </c>
      <c r="BM191" s="65">
        <f>IFERROR(X191*I191/H191,"0")</f>
        <v>0</v>
      </c>
      <c r="BN191" s="65">
        <f>IFERROR(Y191*I191/H191,"0")</f>
        <v>0</v>
      </c>
      <c r="BO191" s="65">
        <f>IFERROR(1/J191*(X191/H191),"0")</f>
        <v>0</v>
      </c>
      <c r="BP191" s="65">
        <f>IFERROR(1/J191*(Y191/H191),"0")</f>
        <v>0</v>
      </c>
    </row>
    <row r="192" spans="1:68" x14ac:dyDescent="0.2">
      <c r="A192" s="419"/>
      <c r="B192" s="420"/>
      <c r="C192" s="420"/>
      <c r="D192" s="420"/>
      <c r="E192" s="420"/>
      <c r="F192" s="420"/>
      <c r="G192" s="420"/>
      <c r="H192" s="420"/>
      <c r="I192" s="420"/>
      <c r="J192" s="420"/>
      <c r="K192" s="420"/>
      <c r="L192" s="420"/>
      <c r="M192" s="420"/>
      <c r="N192" s="420"/>
      <c r="O192" s="421"/>
      <c r="P192" s="415" t="s">
        <v>76</v>
      </c>
      <c r="Q192" s="416"/>
      <c r="R192" s="416"/>
      <c r="S192" s="416"/>
      <c r="T192" s="416"/>
      <c r="U192" s="416"/>
      <c r="V192" s="417"/>
      <c r="W192" s="38" t="s">
        <v>77</v>
      </c>
      <c r="X192" s="405">
        <f>IFERROR(X191/H191,"0")</f>
        <v>0</v>
      </c>
      <c r="Y192" s="405">
        <f>IFERROR(Y191/H191,"0")</f>
        <v>0</v>
      </c>
      <c r="Z192" s="405">
        <f>IFERROR(IF(Z191="",0,Z191),"0")</f>
        <v>0</v>
      </c>
      <c r="AA192" s="406"/>
      <c r="AB192" s="406"/>
      <c r="AC192" s="406"/>
    </row>
    <row r="193" spans="1:68" x14ac:dyDescent="0.2">
      <c r="A193" s="420"/>
      <c r="B193" s="420"/>
      <c r="C193" s="420"/>
      <c r="D193" s="420"/>
      <c r="E193" s="420"/>
      <c r="F193" s="420"/>
      <c r="G193" s="420"/>
      <c r="H193" s="420"/>
      <c r="I193" s="420"/>
      <c r="J193" s="420"/>
      <c r="K193" s="420"/>
      <c r="L193" s="420"/>
      <c r="M193" s="420"/>
      <c r="N193" s="420"/>
      <c r="O193" s="421"/>
      <c r="P193" s="415" t="s">
        <v>76</v>
      </c>
      <c r="Q193" s="416"/>
      <c r="R193" s="416"/>
      <c r="S193" s="416"/>
      <c r="T193" s="416"/>
      <c r="U193" s="416"/>
      <c r="V193" s="417"/>
      <c r="W193" s="38" t="s">
        <v>71</v>
      </c>
      <c r="X193" s="405">
        <f>IFERROR(SUM(X191:X191),"0")</f>
        <v>0</v>
      </c>
      <c r="Y193" s="405">
        <f>IFERROR(SUM(Y191:Y191),"0")</f>
        <v>0</v>
      </c>
      <c r="Z193" s="38"/>
      <c r="AA193" s="406"/>
      <c r="AB193" s="406"/>
      <c r="AC193" s="406"/>
    </row>
    <row r="194" spans="1:68" ht="16.5" customHeight="1" x14ac:dyDescent="0.25">
      <c r="A194" s="434" t="s">
        <v>316</v>
      </c>
      <c r="B194" s="420"/>
      <c r="C194" s="420"/>
      <c r="D194" s="420"/>
      <c r="E194" s="420"/>
      <c r="F194" s="420"/>
      <c r="G194" s="420"/>
      <c r="H194" s="420"/>
      <c r="I194" s="420"/>
      <c r="J194" s="420"/>
      <c r="K194" s="420"/>
      <c r="L194" s="420"/>
      <c r="M194" s="420"/>
      <c r="N194" s="420"/>
      <c r="O194" s="420"/>
      <c r="P194" s="420"/>
      <c r="Q194" s="420"/>
      <c r="R194" s="420"/>
      <c r="S194" s="420"/>
      <c r="T194" s="420"/>
      <c r="U194" s="420"/>
      <c r="V194" s="420"/>
      <c r="W194" s="420"/>
      <c r="X194" s="420"/>
      <c r="Y194" s="420"/>
      <c r="Z194" s="420"/>
      <c r="AA194" s="398"/>
      <c r="AB194" s="398"/>
      <c r="AC194" s="398"/>
    </row>
    <row r="195" spans="1:68" ht="14.25" customHeight="1" x14ac:dyDescent="0.25">
      <c r="A195" s="422" t="s">
        <v>66</v>
      </c>
      <c r="B195" s="420"/>
      <c r="C195" s="420"/>
      <c r="D195" s="420"/>
      <c r="E195" s="420"/>
      <c r="F195" s="420"/>
      <c r="G195" s="420"/>
      <c r="H195" s="420"/>
      <c r="I195" s="420"/>
      <c r="J195" s="420"/>
      <c r="K195" s="420"/>
      <c r="L195" s="420"/>
      <c r="M195" s="420"/>
      <c r="N195" s="420"/>
      <c r="O195" s="420"/>
      <c r="P195" s="420"/>
      <c r="Q195" s="420"/>
      <c r="R195" s="420"/>
      <c r="S195" s="420"/>
      <c r="T195" s="420"/>
      <c r="U195" s="420"/>
      <c r="V195" s="420"/>
      <c r="W195" s="420"/>
      <c r="X195" s="420"/>
      <c r="Y195" s="420"/>
      <c r="Z195" s="420"/>
      <c r="AA195" s="399"/>
      <c r="AB195" s="399"/>
      <c r="AC195" s="399"/>
    </row>
    <row r="196" spans="1:68" ht="27" customHeight="1" x14ac:dyDescent="0.25">
      <c r="A196" s="55" t="s">
        <v>317</v>
      </c>
      <c r="B196" s="55" t="s">
        <v>318</v>
      </c>
      <c r="C196" s="32">
        <v>4301051782</v>
      </c>
      <c r="D196" s="411">
        <v>4680115884618</v>
      </c>
      <c r="E196" s="412"/>
      <c r="F196" s="402">
        <v>0.6</v>
      </c>
      <c r="G196" s="33">
        <v>6</v>
      </c>
      <c r="H196" s="402">
        <v>3.6</v>
      </c>
      <c r="I196" s="402">
        <v>3.81</v>
      </c>
      <c r="J196" s="33">
        <v>132</v>
      </c>
      <c r="K196" s="33" t="s">
        <v>94</v>
      </c>
      <c r="L196" s="33"/>
      <c r="M196" s="34" t="s">
        <v>95</v>
      </c>
      <c r="N196" s="34"/>
      <c r="O196" s="33">
        <v>45</v>
      </c>
      <c r="P196" s="6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6" s="408"/>
      <c r="R196" s="408"/>
      <c r="S196" s="408"/>
      <c r="T196" s="409"/>
      <c r="U196" s="35"/>
      <c r="V196" s="35"/>
      <c r="W196" s="36" t="s">
        <v>71</v>
      </c>
      <c r="X196" s="403">
        <v>0</v>
      </c>
      <c r="Y196" s="404">
        <f>IFERROR(IF(X196="",0,CEILING((X196/$H196),1)*$H196),"")</f>
        <v>0</v>
      </c>
      <c r="Z196" s="37" t="str">
        <f>IFERROR(IF(Y196=0,"",ROUNDUP(Y196/H196,0)*0.00902),"")</f>
        <v/>
      </c>
      <c r="AA196" s="57"/>
      <c r="AB196" s="58"/>
      <c r="AC196" s="234" t="s">
        <v>319</v>
      </c>
      <c r="AG196" s="65"/>
      <c r="AJ196" s="69"/>
      <c r="AK196" s="69">
        <v>0</v>
      </c>
      <c r="BB196" s="235" t="s">
        <v>1</v>
      </c>
      <c r="BM196" s="65">
        <f>IFERROR(X196*I196/H196,"0")</f>
        <v>0</v>
      </c>
      <c r="BN196" s="65">
        <f>IFERROR(Y196*I196/H196,"0")</f>
        <v>0</v>
      </c>
      <c r="BO196" s="65">
        <f>IFERROR(1/J196*(X196/H196),"0")</f>
        <v>0</v>
      </c>
      <c r="BP196" s="65">
        <f>IFERROR(1/J196*(Y196/H196),"0")</f>
        <v>0</v>
      </c>
    </row>
    <row r="197" spans="1:68" x14ac:dyDescent="0.2">
      <c r="A197" s="419"/>
      <c r="B197" s="420"/>
      <c r="C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0"/>
      <c r="N197" s="420"/>
      <c r="O197" s="421"/>
      <c r="P197" s="415" t="s">
        <v>76</v>
      </c>
      <c r="Q197" s="416"/>
      <c r="R197" s="416"/>
      <c r="S197" s="416"/>
      <c r="T197" s="416"/>
      <c r="U197" s="416"/>
      <c r="V197" s="417"/>
      <c r="W197" s="38" t="s">
        <v>77</v>
      </c>
      <c r="X197" s="405">
        <f>IFERROR(X196/H196,"0")</f>
        <v>0</v>
      </c>
      <c r="Y197" s="405">
        <f>IFERROR(Y196/H196,"0")</f>
        <v>0</v>
      </c>
      <c r="Z197" s="405">
        <f>IFERROR(IF(Z196="",0,Z196),"0")</f>
        <v>0</v>
      </c>
      <c r="AA197" s="406"/>
      <c r="AB197" s="406"/>
      <c r="AC197" s="406"/>
    </row>
    <row r="198" spans="1:68" x14ac:dyDescent="0.2">
      <c r="A198" s="420"/>
      <c r="B198" s="420"/>
      <c r="C198" s="420"/>
      <c r="D198" s="420"/>
      <c r="E198" s="420"/>
      <c r="F198" s="420"/>
      <c r="G198" s="420"/>
      <c r="H198" s="420"/>
      <c r="I198" s="420"/>
      <c r="J198" s="420"/>
      <c r="K198" s="420"/>
      <c r="L198" s="420"/>
      <c r="M198" s="420"/>
      <c r="N198" s="420"/>
      <c r="O198" s="421"/>
      <c r="P198" s="415" t="s">
        <v>76</v>
      </c>
      <c r="Q198" s="416"/>
      <c r="R198" s="416"/>
      <c r="S198" s="416"/>
      <c r="T198" s="416"/>
      <c r="U198" s="416"/>
      <c r="V198" s="417"/>
      <c r="W198" s="38" t="s">
        <v>71</v>
      </c>
      <c r="X198" s="405">
        <f>IFERROR(SUM(X196:X196),"0")</f>
        <v>0</v>
      </c>
      <c r="Y198" s="405">
        <f>IFERROR(SUM(Y196:Y196),"0")</f>
        <v>0</v>
      </c>
      <c r="Z198" s="38"/>
      <c r="AA198" s="406"/>
      <c r="AB198" s="406"/>
      <c r="AC198" s="406"/>
    </row>
    <row r="199" spans="1:68" ht="16.5" customHeight="1" x14ac:dyDescent="0.25">
      <c r="A199" s="434" t="s">
        <v>320</v>
      </c>
      <c r="B199" s="420"/>
      <c r="C199" s="420"/>
      <c r="D199" s="420"/>
      <c r="E199" s="420"/>
      <c r="F199" s="420"/>
      <c r="G199" s="420"/>
      <c r="H199" s="420"/>
      <c r="I199" s="420"/>
      <c r="J199" s="420"/>
      <c r="K199" s="420"/>
      <c r="L199" s="420"/>
      <c r="M199" s="420"/>
      <c r="N199" s="420"/>
      <c r="O199" s="420"/>
      <c r="P199" s="420"/>
      <c r="Q199" s="420"/>
      <c r="R199" s="420"/>
      <c r="S199" s="420"/>
      <c r="T199" s="420"/>
      <c r="U199" s="420"/>
      <c r="V199" s="420"/>
      <c r="W199" s="420"/>
      <c r="X199" s="420"/>
      <c r="Y199" s="420"/>
      <c r="Z199" s="420"/>
      <c r="AA199" s="398"/>
      <c r="AB199" s="398"/>
      <c r="AC199" s="398"/>
    </row>
    <row r="200" spans="1:68" ht="14.25" customHeight="1" x14ac:dyDescent="0.25">
      <c r="A200" s="422" t="s">
        <v>86</v>
      </c>
      <c r="B200" s="420"/>
      <c r="C200" s="420"/>
      <c r="D200" s="420"/>
      <c r="E200" s="420"/>
      <c r="F200" s="420"/>
      <c r="G200" s="420"/>
      <c r="H200" s="420"/>
      <c r="I200" s="420"/>
      <c r="J200" s="420"/>
      <c r="K200" s="420"/>
      <c r="L200" s="420"/>
      <c r="M200" s="420"/>
      <c r="N200" s="420"/>
      <c r="O200" s="420"/>
      <c r="P200" s="420"/>
      <c r="Q200" s="420"/>
      <c r="R200" s="420"/>
      <c r="S200" s="420"/>
      <c r="T200" s="420"/>
      <c r="U200" s="420"/>
      <c r="V200" s="420"/>
      <c r="W200" s="420"/>
      <c r="X200" s="420"/>
      <c r="Y200" s="420"/>
      <c r="Z200" s="420"/>
      <c r="AA200" s="399"/>
      <c r="AB200" s="399"/>
      <c r="AC200" s="399"/>
    </row>
    <row r="201" spans="1:68" ht="27" customHeight="1" x14ac:dyDescent="0.25">
      <c r="A201" s="55" t="s">
        <v>321</v>
      </c>
      <c r="B201" s="55" t="s">
        <v>322</v>
      </c>
      <c r="C201" s="32">
        <v>4301011662</v>
      </c>
      <c r="D201" s="411">
        <v>4680115883703</v>
      </c>
      <c r="E201" s="412"/>
      <c r="F201" s="402">
        <v>1.35</v>
      </c>
      <c r="G201" s="33">
        <v>8</v>
      </c>
      <c r="H201" s="402">
        <v>10.8</v>
      </c>
      <c r="I201" s="402">
        <v>11.234999999999999</v>
      </c>
      <c r="J201" s="33">
        <v>64</v>
      </c>
      <c r="K201" s="33" t="s">
        <v>89</v>
      </c>
      <c r="L201" s="33"/>
      <c r="M201" s="34" t="s">
        <v>90</v>
      </c>
      <c r="N201" s="34"/>
      <c r="O201" s="33">
        <v>55</v>
      </c>
      <c r="P201" s="6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1" s="408"/>
      <c r="R201" s="408"/>
      <c r="S201" s="408"/>
      <c r="T201" s="409"/>
      <c r="U201" s="35"/>
      <c r="V201" s="35"/>
      <c r="W201" s="36" t="s">
        <v>71</v>
      </c>
      <c r="X201" s="403">
        <v>0</v>
      </c>
      <c r="Y201" s="404">
        <f>IFERROR(IF(X201="",0,CEILING((X201/$H201),1)*$H201),"")</f>
        <v>0</v>
      </c>
      <c r="Z201" s="37" t="str">
        <f>IFERROR(IF(Y201=0,"",ROUNDUP(Y201/H201,0)*0.01898),"")</f>
        <v/>
      </c>
      <c r="AA201" s="57" t="s">
        <v>323</v>
      </c>
      <c r="AB201" s="58"/>
      <c r="AC201" s="236" t="s">
        <v>324</v>
      </c>
      <c r="AG201" s="65"/>
      <c r="AJ201" s="69"/>
      <c r="AK201" s="69">
        <v>0</v>
      </c>
      <c r="BB201" s="237" t="s">
        <v>1</v>
      </c>
      <c r="BM201" s="65">
        <f>IFERROR(X201*I201/H201,"0")</f>
        <v>0</v>
      </c>
      <c r="BN201" s="65">
        <f>IFERROR(Y201*I201/H201,"0")</f>
        <v>0</v>
      </c>
      <c r="BO201" s="65">
        <f>IFERROR(1/J201*(X201/H201),"0")</f>
        <v>0</v>
      </c>
      <c r="BP201" s="65">
        <f>IFERROR(1/J201*(Y201/H201),"0")</f>
        <v>0</v>
      </c>
    </row>
    <row r="202" spans="1:68" x14ac:dyDescent="0.2">
      <c r="A202" s="419"/>
      <c r="B202" s="420"/>
      <c r="C202" s="420"/>
      <c r="D202" s="420"/>
      <c r="E202" s="420"/>
      <c r="F202" s="420"/>
      <c r="G202" s="420"/>
      <c r="H202" s="420"/>
      <c r="I202" s="420"/>
      <c r="J202" s="420"/>
      <c r="K202" s="420"/>
      <c r="L202" s="420"/>
      <c r="M202" s="420"/>
      <c r="N202" s="420"/>
      <c r="O202" s="421"/>
      <c r="P202" s="415" t="s">
        <v>76</v>
      </c>
      <c r="Q202" s="416"/>
      <c r="R202" s="416"/>
      <c r="S202" s="416"/>
      <c r="T202" s="416"/>
      <c r="U202" s="416"/>
      <c r="V202" s="417"/>
      <c r="W202" s="38" t="s">
        <v>77</v>
      </c>
      <c r="X202" s="405">
        <f>IFERROR(X201/H201,"0")</f>
        <v>0</v>
      </c>
      <c r="Y202" s="405">
        <f>IFERROR(Y201/H201,"0")</f>
        <v>0</v>
      </c>
      <c r="Z202" s="405">
        <f>IFERROR(IF(Z201="",0,Z201),"0")</f>
        <v>0</v>
      </c>
      <c r="AA202" s="406"/>
      <c r="AB202" s="406"/>
      <c r="AC202" s="406"/>
    </row>
    <row r="203" spans="1:68" x14ac:dyDescent="0.2">
      <c r="A203" s="420"/>
      <c r="B203" s="420"/>
      <c r="C203" s="420"/>
      <c r="D203" s="420"/>
      <c r="E203" s="420"/>
      <c r="F203" s="420"/>
      <c r="G203" s="420"/>
      <c r="H203" s="420"/>
      <c r="I203" s="420"/>
      <c r="J203" s="420"/>
      <c r="K203" s="420"/>
      <c r="L203" s="420"/>
      <c r="M203" s="420"/>
      <c r="N203" s="420"/>
      <c r="O203" s="421"/>
      <c r="P203" s="415" t="s">
        <v>76</v>
      </c>
      <c r="Q203" s="416"/>
      <c r="R203" s="416"/>
      <c r="S203" s="416"/>
      <c r="T203" s="416"/>
      <c r="U203" s="416"/>
      <c r="V203" s="417"/>
      <c r="W203" s="38" t="s">
        <v>71</v>
      </c>
      <c r="X203" s="405">
        <f>IFERROR(SUM(X201:X201),"0")</f>
        <v>0</v>
      </c>
      <c r="Y203" s="405">
        <f>IFERROR(SUM(Y201:Y201),"0")</f>
        <v>0</v>
      </c>
      <c r="Z203" s="38"/>
      <c r="AA203" s="406"/>
      <c r="AB203" s="406"/>
      <c r="AC203" s="406"/>
    </row>
    <row r="204" spans="1:68" ht="16.5" customHeight="1" x14ac:dyDescent="0.25">
      <c r="A204" s="434" t="s">
        <v>325</v>
      </c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0"/>
      <c r="N204" s="420"/>
      <c r="O204" s="420"/>
      <c r="P204" s="420"/>
      <c r="Q204" s="420"/>
      <c r="R204" s="420"/>
      <c r="S204" s="420"/>
      <c r="T204" s="420"/>
      <c r="U204" s="420"/>
      <c r="V204" s="420"/>
      <c r="W204" s="420"/>
      <c r="X204" s="420"/>
      <c r="Y204" s="420"/>
      <c r="Z204" s="420"/>
      <c r="AA204" s="398"/>
      <c r="AB204" s="398"/>
      <c r="AC204" s="398"/>
    </row>
    <row r="205" spans="1:68" ht="14.25" customHeight="1" x14ac:dyDescent="0.25">
      <c r="A205" s="422" t="s">
        <v>86</v>
      </c>
      <c r="B205" s="420"/>
      <c r="C205" s="420"/>
      <c r="D205" s="420"/>
      <c r="E205" s="420"/>
      <c r="F205" s="420"/>
      <c r="G205" s="420"/>
      <c r="H205" s="420"/>
      <c r="I205" s="420"/>
      <c r="J205" s="420"/>
      <c r="K205" s="420"/>
      <c r="L205" s="420"/>
      <c r="M205" s="420"/>
      <c r="N205" s="420"/>
      <c r="O205" s="420"/>
      <c r="P205" s="420"/>
      <c r="Q205" s="420"/>
      <c r="R205" s="420"/>
      <c r="S205" s="420"/>
      <c r="T205" s="420"/>
      <c r="U205" s="420"/>
      <c r="V205" s="420"/>
      <c r="W205" s="420"/>
      <c r="X205" s="420"/>
      <c r="Y205" s="420"/>
      <c r="Z205" s="420"/>
      <c r="AA205" s="399"/>
      <c r="AB205" s="399"/>
      <c r="AC205" s="399"/>
    </row>
    <row r="206" spans="1:68" ht="27" customHeight="1" x14ac:dyDescent="0.25">
      <c r="A206" s="55" t="s">
        <v>326</v>
      </c>
      <c r="B206" s="55" t="s">
        <v>327</v>
      </c>
      <c r="C206" s="32">
        <v>4301012024</v>
      </c>
      <c r="D206" s="411">
        <v>4680115885615</v>
      </c>
      <c r="E206" s="412"/>
      <c r="F206" s="402">
        <v>1.35</v>
      </c>
      <c r="G206" s="33">
        <v>8</v>
      </c>
      <c r="H206" s="402">
        <v>10.8</v>
      </c>
      <c r="I206" s="402">
        <v>11.234999999999999</v>
      </c>
      <c r="J206" s="33">
        <v>64</v>
      </c>
      <c r="K206" s="33" t="s">
        <v>89</v>
      </c>
      <c r="L206" s="33"/>
      <c r="M206" s="34" t="s">
        <v>95</v>
      </c>
      <c r="N206" s="34"/>
      <c r="O206" s="33">
        <v>55</v>
      </c>
      <c r="P206" s="5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6" s="408"/>
      <c r="R206" s="408"/>
      <c r="S206" s="408"/>
      <c r="T206" s="409"/>
      <c r="U206" s="35"/>
      <c r="V206" s="35"/>
      <c r="W206" s="36" t="s">
        <v>71</v>
      </c>
      <c r="X206" s="403">
        <v>0</v>
      </c>
      <c r="Y206" s="404">
        <f>IFERROR(IF(X206="",0,CEILING((X206/$H206),1)*$H206),"")</f>
        <v>0</v>
      </c>
      <c r="Z206" s="37" t="str">
        <f>IFERROR(IF(Y206=0,"",ROUNDUP(Y206/H206,0)*0.01898),"")</f>
        <v/>
      </c>
      <c r="AA206" s="57"/>
      <c r="AB206" s="58"/>
      <c r="AC206" s="238" t="s">
        <v>328</v>
      </c>
      <c r="AG206" s="65"/>
      <c r="AJ206" s="69"/>
      <c r="AK206" s="69">
        <v>0</v>
      </c>
      <c r="BB206" s="239" t="s">
        <v>1</v>
      </c>
      <c r="BM206" s="65">
        <f>IFERROR(X206*I206/H206,"0")</f>
        <v>0</v>
      </c>
      <c r="BN206" s="65">
        <f>IFERROR(Y206*I206/H206,"0")</f>
        <v>0</v>
      </c>
      <c r="BO206" s="65">
        <f>IFERROR(1/J206*(X206/H206),"0")</f>
        <v>0</v>
      </c>
      <c r="BP206" s="65">
        <f>IFERROR(1/J206*(Y206/H206),"0")</f>
        <v>0</v>
      </c>
    </row>
    <row r="207" spans="1:68" ht="27" customHeight="1" x14ac:dyDescent="0.25">
      <c r="A207" s="55" t="s">
        <v>329</v>
      </c>
      <c r="B207" s="55" t="s">
        <v>330</v>
      </c>
      <c r="C207" s="32">
        <v>4301012016</v>
      </c>
      <c r="D207" s="411">
        <v>4680115885554</v>
      </c>
      <c r="E207" s="412"/>
      <c r="F207" s="402">
        <v>1.35</v>
      </c>
      <c r="G207" s="33">
        <v>8</v>
      </c>
      <c r="H207" s="402">
        <v>10.8</v>
      </c>
      <c r="I207" s="402">
        <v>11.234999999999999</v>
      </c>
      <c r="J207" s="33">
        <v>64</v>
      </c>
      <c r="K207" s="33" t="s">
        <v>89</v>
      </c>
      <c r="L207" s="33"/>
      <c r="M207" s="34" t="s">
        <v>95</v>
      </c>
      <c r="N207" s="34"/>
      <c r="O207" s="33">
        <v>55</v>
      </c>
      <c r="P207" s="5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7" s="408"/>
      <c r="R207" s="408"/>
      <c r="S207" s="408"/>
      <c r="T207" s="409"/>
      <c r="U207" s="35"/>
      <c r="V207" s="35"/>
      <c r="W207" s="36" t="s">
        <v>71</v>
      </c>
      <c r="X207" s="403">
        <v>0</v>
      </c>
      <c r="Y207" s="404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331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37.5" customHeight="1" x14ac:dyDescent="0.25">
      <c r="A208" s="55" t="s">
        <v>332</v>
      </c>
      <c r="B208" s="55" t="s">
        <v>333</v>
      </c>
      <c r="C208" s="32">
        <v>4301011858</v>
      </c>
      <c r="D208" s="411">
        <v>4680115885646</v>
      </c>
      <c r="E208" s="412"/>
      <c r="F208" s="402">
        <v>1.35</v>
      </c>
      <c r="G208" s="33">
        <v>8</v>
      </c>
      <c r="H208" s="402">
        <v>10.8</v>
      </c>
      <c r="I208" s="402">
        <v>11.234999999999999</v>
      </c>
      <c r="J208" s="33">
        <v>64</v>
      </c>
      <c r="K208" s="33" t="s">
        <v>89</v>
      </c>
      <c r="L208" s="33"/>
      <c r="M208" s="34" t="s">
        <v>90</v>
      </c>
      <c r="N208" s="34"/>
      <c r="O208" s="33">
        <v>55</v>
      </c>
      <c r="P208" s="51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408"/>
      <c r="R208" s="408"/>
      <c r="S208" s="408"/>
      <c r="T208" s="409"/>
      <c r="U208" s="35"/>
      <c r="V208" s="35"/>
      <c r="W208" s="36" t="s">
        <v>71</v>
      </c>
      <c r="X208" s="403">
        <v>0</v>
      </c>
      <c r="Y208" s="404">
        <f>IFERROR(IF(X208="",0,CEILING((X208/$H208),1)*$H208),"")</f>
        <v>0</v>
      </c>
      <c r="Z208" s="37" t="str">
        <f>IFERROR(IF(Y208=0,"",ROUNDUP(Y208/H208,0)*0.01898),"")</f>
        <v/>
      </c>
      <c r="AA208" s="57"/>
      <c r="AB208" s="58"/>
      <c r="AC208" s="242" t="s">
        <v>334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335</v>
      </c>
      <c r="B209" s="55" t="s">
        <v>336</v>
      </c>
      <c r="C209" s="32">
        <v>4301011857</v>
      </c>
      <c r="D209" s="411">
        <v>4680115885622</v>
      </c>
      <c r="E209" s="412"/>
      <c r="F209" s="402">
        <v>0.4</v>
      </c>
      <c r="G209" s="33">
        <v>10</v>
      </c>
      <c r="H209" s="402">
        <v>4</v>
      </c>
      <c r="I209" s="402">
        <v>4.21</v>
      </c>
      <c r="J209" s="33">
        <v>132</v>
      </c>
      <c r="K209" s="33" t="s">
        <v>94</v>
      </c>
      <c r="L209" s="33"/>
      <c r="M209" s="34" t="s">
        <v>90</v>
      </c>
      <c r="N209" s="34"/>
      <c r="O209" s="33">
        <v>55</v>
      </c>
      <c r="P209" s="44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9" s="408"/>
      <c r="R209" s="408"/>
      <c r="S209" s="408"/>
      <c r="T209" s="409"/>
      <c r="U209" s="35"/>
      <c r="V209" s="35"/>
      <c r="W209" s="36" t="s">
        <v>71</v>
      </c>
      <c r="X209" s="403">
        <v>0</v>
      </c>
      <c r="Y209" s="404">
        <f>IFERROR(IF(X209="",0,CEILING((X209/$H209),1)*$H209),"")</f>
        <v>0</v>
      </c>
      <c r="Z209" s="37" t="str">
        <f>IFERROR(IF(Y209=0,"",ROUNDUP(Y209/H209,0)*0.00902),"")</f>
        <v/>
      </c>
      <c r="AA209" s="57"/>
      <c r="AB209" s="58"/>
      <c r="AC209" s="244" t="s">
        <v>328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27" customHeight="1" x14ac:dyDescent="0.25">
      <c r="A210" s="55" t="s">
        <v>337</v>
      </c>
      <c r="B210" s="55" t="s">
        <v>338</v>
      </c>
      <c r="C210" s="32">
        <v>4301011859</v>
      </c>
      <c r="D210" s="411">
        <v>4680115885608</v>
      </c>
      <c r="E210" s="412"/>
      <c r="F210" s="402">
        <v>0.4</v>
      </c>
      <c r="G210" s="33">
        <v>10</v>
      </c>
      <c r="H210" s="402">
        <v>4</v>
      </c>
      <c r="I210" s="402">
        <v>4.21</v>
      </c>
      <c r="J210" s="33">
        <v>132</v>
      </c>
      <c r="K210" s="33" t="s">
        <v>94</v>
      </c>
      <c r="L210" s="33"/>
      <c r="M210" s="34" t="s">
        <v>90</v>
      </c>
      <c r="N210" s="34"/>
      <c r="O210" s="33">
        <v>55</v>
      </c>
      <c r="P210" s="5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0" s="408"/>
      <c r="R210" s="408"/>
      <c r="S210" s="408"/>
      <c r="T210" s="409"/>
      <c r="U210" s="35"/>
      <c r="V210" s="35"/>
      <c r="W210" s="36" t="s">
        <v>71</v>
      </c>
      <c r="X210" s="403">
        <v>0</v>
      </c>
      <c r="Y210" s="404">
        <f>IFERROR(IF(X210="",0,CEILING((X210/$H210),1)*$H210),"")</f>
        <v>0</v>
      </c>
      <c r="Z210" s="37" t="str">
        <f>IFERROR(IF(Y210=0,"",ROUNDUP(Y210/H210,0)*0.00902),"")</f>
        <v/>
      </c>
      <c r="AA210" s="57"/>
      <c r="AB210" s="58"/>
      <c r="AC210" s="246" t="s">
        <v>339</v>
      </c>
      <c r="AG210" s="65"/>
      <c r="AJ210" s="69"/>
      <c r="AK210" s="69">
        <v>0</v>
      </c>
      <c r="BB210" s="247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x14ac:dyDescent="0.2">
      <c r="A211" s="419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0"/>
      <c r="N211" s="420"/>
      <c r="O211" s="421"/>
      <c r="P211" s="415" t="s">
        <v>76</v>
      </c>
      <c r="Q211" s="416"/>
      <c r="R211" s="416"/>
      <c r="S211" s="416"/>
      <c r="T211" s="416"/>
      <c r="U211" s="416"/>
      <c r="V211" s="417"/>
      <c r="W211" s="38" t="s">
        <v>77</v>
      </c>
      <c r="X211" s="405">
        <f>IFERROR(X206/H206,"0")+IFERROR(X207/H207,"0")+IFERROR(X208/H208,"0")+IFERROR(X209/H209,"0")+IFERROR(X210/H210,"0")</f>
        <v>0</v>
      </c>
      <c r="Y211" s="405">
        <f>IFERROR(Y206/H206,"0")+IFERROR(Y207/H207,"0")+IFERROR(Y208/H208,"0")+IFERROR(Y209/H209,"0")+IFERROR(Y210/H210,"0")</f>
        <v>0</v>
      </c>
      <c r="Z211" s="405">
        <f>IFERROR(IF(Z206="",0,Z206),"0")+IFERROR(IF(Z207="",0,Z207),"0")+IFERROR(IF(Z208="",0,Z208),"0")+IFERROR(IF(Z209="",0,Z209),"0")+IFERROR(IF(Z210="",0,Z210),"0")</f>
        <v>0</v>
      </c>
      <c r="AA211" s="406"/>
      <c r="AB211" s="406"/>
      <c r="AC211" s="406"/>
    </row>
    <row r="212" spans="1:68" x14ac:dyDescent="0.2">
      <c r="A212" s="420"/>
      <c r="B212" s="420"/>
      <c r="C212" s="420"/>
      <c r="D212" s="420"/>
      <c r="E212" s="420"/>
      <c r="F212" s="420"/>
      <c r="G212" s="420"/>
      <c r="H212" s="420"/>
      <c r="I212" s="420"/>
      <c r="J212" s="420"/>
      <c r="K212" s="420"/>
      <c r="L212" s="420"/>
      <c r="M212" s="420"/>
      <c r="N212" s="420"/>
      <c r="O212" s="421"/>
      <c r="P212" s="415" t="s">
        <v>76</v>
      </c>
      <c r="Q212" s="416"/>
      <c r="R212" s="416"/>
      <c r="S212" s="416"/>
      <c r="T212" s="416"/>
      <c r="U212" s="416"/>
      <c r="V212" s="417"/>
      <c r="W212" s="38" t="s">
        <v>71</v>
      </c>
      <c r="X212" s="405">
        <f>IFERROR(SUM(X206:X210),"0")</f>
        <v>0</v>
      </c>
      <c r="Y212" s="405">
        <f>IFERROR(SUM(Y206:Y210),"0")</f>
        <v>0</v>
      </c>
      <c r="Z212" s="38"/>
      <c r="AA212" s="406"/>
      <c r="AB212" s="406"/>
      <c r="AC212" s="406"/>
    </row>
    <row r="213" spans="1:68" ht="14.25" customHeight="1" x14ac:dyDescent="0.25">
      <c r="A213" s="422" t="s">
        <v>182</v>
      </c>
      <c r="B213" s="420"/>
      <c r="C213" s="420"/>
      <c r="D213" s="420"/>
      <c r="E213" s="420"/>
      <c r="F213" s="420"/>
      <c r="G213" s="420"/>
      <c r="H213" s="420"/>
      <c r="I213" s="420"/>
      <c r="J213" s="420"/>
      <c r="K213" s="420"/>
      <c r="L213" s="420"/>
      <c r="M213" s="420"/>
      <c r="N213" s="420"/>
      <c r="O213" s="420"/>
      <c r="P213" s="420"/>
      <c r="Q213" s="420"/>
      <c r="R213" s="420"/>
      <c r="S213" s="420"/>
      <c r="T213" s="420"/>
      <c r="U213" s="420"/>
      <c r="V213" s="420"/>
      <c r="W213" s="420"/>
      <c r="X213" s="420"/>
      <c r="Y213" s="420"/>
      <c r="Z213" s="420"/>
      <c r="AA213" s="399"/>
      <c r="AB213" s="399"/>
      <c r="AC213" s="399"/>
    </row>
    <row r="214" spans="1:68" ht="27" customHeight="1" x14ac:dyDescent="0.25">
      <c r="A214" s="55" t="s">
        <v>340</v>
      </c>
      <c r="B214" s="55" t="s">
        <v>341</v>
      </c>
      <c r="C214" s="32">
        <v>4301030878</v>
      </c>
      <c r="D214" s="411">
        <v>4607091387193</v>
      </c>
      <c r="E214" s="412"/>
      <c r="F214" s="402">
        <v>0.7</v>
      </c>
      <c r="G214" s="33">
        <v>6</v>
      </c>
      <c r="H214" s="402">
        <v>4.2</v>
      </c>
      <c r="I214" s="402">
        <v>4.47</v>
      </c>
      <c r="J214" s="33">
        <v>132</v>
      </c>
      <c r="K214" s="33" t="s">
        <v>94</v>
      </c>
      <c r="L214" s="33"/>
      <c r="M214" s="34" t="s">
        <v>70</v>
      </c>
      <c r="N214" s="34"/>
      <c r="O214" s="33">
        <v>35</v>
      </c>
      <c r="P214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4" s="408"/>
      <c r="R214" s="408"/>
      <c r="S214" s="408"/>
      <c r="T214" s="409"/>
      <c r="U214" s="35"/>
      <c r="V214" s="35"/>
      <c r="W214" s="36" t="s">
        <v>71</v>
      </c>
      <c r="X214" s="403">
        <v>0</v>
      </c>
      <c r="Y214" s="404">
        <f t="shared" ref="Y214:Y219" si="20">IFERROR(IF(X214="",0,CEILING((X214/$H214),1)*$H214),"")</f>
        <v>0</v>
      </c>
      <c r="Z214" s="37" t="str">
        <f>IFERROR(IF(Y214=0,"",ROUNDUP(Y214/H214,0)*0.00902),"")</f>
        <v/>
      </c>
      <c r="AA214" s="57"/>
      <c r="AB214" s="58"/>
      <c r="AC214" s="248" t="s">
        <v>342</v>
      </c>
      <c r="AG214" s="65"/>
      <c r="AJ214" s="69"/>
      <c r="AK214" s="69">
        <v>0</v>
      </c>
      <c r="BB214" s="249" t="s">
        <v>1</v>
      </c>
      <c r="BM214" s="65">
        <f t="shared" ref="BM214:BM219" si="21">IFERROR(X214*I214/H214,"0")</f>
        <v>0</v>
      </c>
      <c r="BN214" s="65">
        <f t="shared" ref="BN214:BN219" si="22">IFERROR(Y214*I214/H214,"0")</f>
        <v>0</v>
      </c>
      <c r="BO214" s="65">
        <f t="shared" ref="BO214:BO219" si="23">IFERROR(1/J214*(X214/H214),"0")</f>
        <v>0</v>
      </c>
      <c r="BP214" s="65">
        <f t="shared" ref="BP214:BP219" si="24">IFERROR(1/J214*(Y214/H214),"0")</f>
        <v>0</v>
      </c>
    </row>
    <row r="215" spans="1:68" ht="27" customHeight="1" x14ac:dyDescent="0.25">
      <c r="A215" s="55" t="s">
        <v>343</v>
      </c>
      <c r="B215" s="55" t="s">
        <v>344</v>
      </c>
      <c r="C215" s="32">
        <v>4301031153</v>
      </c>
      <c r="D215" s="411">
        <v>4607091387230</v>
      </c>
      <c r="E215" s="412"/>
      <c r="F215" s="402">
        <v>0.7</v>
      </c>
      <c r="G215" s="33">
        <v>6</v>
      </c>
      <c r="H215" s="402">
        <v>4.2</v>
      </c>
      <c r="I215" s="402">
        <v>4.47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40</v>
      </c>
      <c r="P215" s="4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5" s="408"/>
      <c r="R215" s="408"/>
      <c r="S215" s="408"/>
      <c r="T215" s="409"/>
      <c r="U215" s="35"/>
      <c r="V215" s="35"/>
      <c r="W215" s="36" t="s">
        <v>71</v>
      </c>
      <c r="X215" s="403">
        <v>0</v>
      </c>
      <c r="Y215" s="404">
        <f t="shared" si="20"/>
        <v>0</v>
      </c>
      <c r="Z215" s="37" t="str">
        <f>IFERROR(IF(Y215=0,"",ROUNDUP(Y215/H215,0)*0.00902),"")</f>
        <v/>
      </c>
      <c r="AA215" s="57"/>
      <c r="AB215" s="58"/>
      <c r="AC215" s="250" t="s">
        <v>345</v>
      </c>
      <c r="AG215" s="65"/>
      <c r="AJ215" s="69"/>
      <c r="AK215" s="69">
        <v>0</v>
      </c>
      <c r="BB215" s="251" t="s">
        <v>1</v>
      </c>
      <c r="BM215" s="65">
        <f t="shared" si="21"/>
        <v>0</v>
      </c>
      <c r="BN215" s="65">
        <f t="shared" si="22"/>
        <v>0</v>
      </c>
      <c r="BO215" s="65">
        <f t="shared" si="23"/>
        <v>0</v>
      </c>
      <c r="BP215" s="65">
        <f t="shared" si="24"/>
        <v>0</v>
      </c>
    </row>
    <row r="216" spans="1:68" ht="27" customHeight="1" x14ac:dyDescent="0.25">
      <c r="A216" s="55" t="s">
        <v>346</v>
      </c>
      <c r="B216" s="55" t="s">
        <v>347</v>
      </c>
      <c r="C216" s="32">
        <v>4301031154</v>
      </c>
      <c r="D216" s="411">
        <v>4607091387292</v>
      </c>
      <c r="E216" s="412"/>
      <c r="F216" s="402">
        <v>0.73</v>
      </c>
      <c r="G216" s="33">
        <v>6</v>
      </c>
      <c r="H216" s="402">
        <v>4.38</v>
      </c>
      <c r="I216" s="402">
        <v>4.6500000000000004</v>
      </c>
      <c r="J216" s="33">
        <v>132</v>
      </c>
      <c r="K216" s="33" t="s">
        <v>94</v>
      </c>
      <c r="L216" s="33"/>
      <c r="M216" s="34" t="s">
        <v>70</v>
      </c>
      <c r="N216" s="34"/>
      <c r="O216" s="33">
        <v>45</v>
      </c>
      <c r="P216" s="5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6" s="408"/>
      <c r="R216" s="408"/>
      <c r="S216" s="408"/>
      <c r="T216" s="409"/>
      <c r="U216" s="35"/>
      <c r="V216" s="35"/>
      <c r="W216" s="36" t="s">
        <v>71</v>
      </c>
      <c r="X216" s="403">
        <v>0</v>
      </c>
      <c r="Y216" s="404">
        <f t="shared" si="20"/>
        <v>0</v>
      </c>
      <c r="Z216" s="37" t="str">
        <f>IFERROR(IF(Y216=0,"",ROUNDUP(Y216/H216,0)*0.00902),"")</f>
        <v/>
      </c>
      <c r="AA216" s="57"/>
      <c r="AB216" s="58"/>
      <c r="AC216" s="252" t="s">
        <v>348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349</v>
      </c>
      <c r="B217" s="55" t="s">
        <v>350</v>
      </c>
      <c r="C217" s="32">
        <v>4301031152</v>
      </c>
      <c r="D217" s="411">
        <v>4607091387285</v>
      </c>
      <c r="E217" s="412"/>
      <c r="F217" s="402">
        <v>0.35</v>
      </c>
      <c r="G217" s="33">
        <v>6</v>
      </c>
      <c r="H217" s="402">
        <v>2.1</v>
      </c>
      <c r="I217" s="402">
        <v>2.23</v>
      </c>
      <c r="J217" s="33">
        <v>234</v>
      </c>
      <c r="K217" s="33" t="s">
        <v>166</v>
      </c>
      <c r="L217" s="33"/>
      <c r="M217" s="34" t="s">
        <v>70</v>
      </c>
      <c r="N217" s="34"/>
      <c r="O217" s="33">
        <v>40</v>
      </c>
      <c r="P217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7" s="408"/>
      <c r="R217" s="408"/>
      <c r="S217" s="408"/>
      <c r="T217" s="409"/>
      <c r="U217" s="35"/>
      <c r="V217" s="35"/>
      <c r="W217" s="36" t="s">
        <v>71</v>
      </c>
      <c r="X217" s="403">
        <v>0</v>
      </c>
      <c r="Y217" s="404">
        <f t="shared" si="20"/>
        <v>0</v>
      </c>
      <c r="Z217" s="37" t="str">
        <f>IFERROR(IF(Y217=0,"",ROUNDUP(Y217/H217,0)*0.00502),"")</f>
        <v/>
      </c>
      <c r="AA217" s="57"/>
      <c r="AB217" s="58"/>
      <c r="AC217" s="254" t="s">
        <v>345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351</v>
      </c>
      <c r="B218" s="55" t="s">
        <v>352</v>
      </c>
      <c r="C218" s="32">
        <v>4301031305</v>
      </c>
      <c r="D218" s="411">
        <v>4607091389845</v>
      </c>
      <c r="E218" s="412"/>
      <c r="F218" s="402">
        <v>0.35</v>
      </c>
      <c r="G218" s="33">
        <v>6</v>
      </c>
      <c r="H218" s="402">
        <v>2.1</v>
      </c>
      <c r="I218" s="402">
        <v>2.2000000000000002</v>
      </c>
      <c r="J218" s="33">
        <v>234</v>
      </c>
      <c r="K218" s="33" t="s">
        <v>166</v>
      </c>
      <c r="L218" s="33"/>
      <c r="M218" s="34" t="s">
        <v>70</v>
      </c>
      <c r="N218" s="34"/>
      <c r="O218" s="33">
        <v>40</v>
      </c>
      <c r="P218" s="6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8" s="408"/>
      <c r="R218" s="408"/>
      <c r="S218" s="408"/>
      <c r="T218" s="409"/>
      <c r="U218" s="35"/>
      <c r="V218" s="35"/>
      <c r="W218" s="36" t="s">
        <v>71</v>
      </c>
      <c r="X218" s="403">
        <v>0</v>
      </c>
      <c r="Y218" s="404">
        <f t="shared" si="20"/>
        <v>0</v>
      </c>
      <c r="Z218" s="37" t="str">
        <f>IFERROR(IF(Y218=0,"",ROUNDUP(Y218/H218,0)*0.00502),"")</f>
        <v/>
      </c>
      <c r="AA218" s="57"/>
      <c r="AB218" s="58"/>
      <c r="AC218" s="256" t="s">
        <v>353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ht="27" customHeight="1" x14ac:dyDescent="0.25">
      <c r="A219" s="55" t="s">
        <v>354</v>
      </c>
      <c r="B219" s="55" t="s">
        <v>355</v>
      </c>
      <c r="C219" s="32">
        <v>4301031066</v>
      </c>
      <c r="D219" s="411">
        <v>4607091383836</v>
      </c>
      <c r="E219" s="412"/>
      <c r="F219" s="402">
        <v>0.3</v>
      </c>
      <c r="G219" s="33">
        <v>6</v>
      </c>
      <c r="H219" s="402">
        <v>1.8</v>
      </c>
      <c r="I219" s="402">
        <v>2.028</v>
      </c>
      <c r="J219" s="33">
        <v>182</v>
      </c>
      <c r="K219" s="33" t="s">
        <v>69</v>
      </c>
      <c r="L219" s="33"/>
      <c r="M219" s="34" t="s">
        <v>70</v>
      </c>
      <c r="N219" s="34"/>
      <c r="O219" s="33">
        <v>40</v>
      </c>
      <c r="P219" s="51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9" s="408"/>
      <c r="R219" s="408"/>
      <c r="S219" s="408"/>
      <c r="T219" s="409"/>
      <c r="U219" s="35"/>
      <c r="V219" s="35"/>
      <c r="W219" s="36" t="s">
        <v>71</v>
      </c>
      <c r="X219" s="403">
        <v>0</v>
      </c>
      <c r="Y219" s="404">
        <f t="shared" si="20"/>
        <v>0</v>
      </c>
      <c r="Z219" s="37" t="str">
        <f>IFERROR(IF(Y219=0,"",ROUNDUP(Y219/H219,0)*0.00651),"")</f>
        <v/>
      </c>
      <c r="AA219" s="57"/>
      <c r="AB219" s="58"/>
      <c r="AC219" s="258" t="s">
        <v>356</v>
      </c>
      <c r="AG219" s="65"/>
      <c r="AJ219" s="69"/>
      <c r="AK219" s="69">
        <v>0</v>
      </c>
      <c r="BB219" s="259" t="s">
        <v>1</v>
      </c>
      <c r="BM219" s="65">
        <f t="shared" si="21"/>
        <v>0</v>
      </c>
      <c r="BN219" s="65">
        <f t="shared" si="22"/>
        <v>0</v>
      </c>
      <c r="BO219" s="65">
        <f t="shared" si="23"/>
        <v>0</v>
      </c>
      <c r="BP219" s="65">
        <f t="shared" si="24"/>
        <v>0</v>
      </c>
    </row>
    <row r="220" spans="1:68" x14ac:dyDescent="0.2">
      <c r="A220" s="419"/>
      <c r="B220" s="420"/>
      <c r="C220" s="420"/>
      <c r="D220" s="420"/>
      <c r="E220" s="420"/>
      <c r="F220" s="420"/>
      <c r="G220" s="420"/>
      <c r="H220" s="420"/>
      <c r="I220" s="420"/>
      <c r="J220" s="420"/>
      <c r="K220" s="420"/>
      <c r="L220" s="420"/>
      <c r="M220" s="420"/>
      <c r="N220" s="420"/>
      <c r="O220" s="421"/>
      <c r="P220" s="415" t="s">
        <v>76</v>
      </c>
      <c r="Q220" s="416"/>
      <c r="R220" s="416"/>
      <c r="S220" s="416"/>
      <c r="T220" s="416"/>
      <c r="U220" s="416"/>
      <c r="V220" s="417"/>
      <c r="W220" s="38" t="s">
        <v>77</v>
      </c>
      <c r="X220" s="405">
        <f>IFERROR(X214/H214,"0")+IFERROR(X215/H215,"0")+IFERROR(X216/H216,"0")+IFERROR(X217/H217,"0")+IFERROR(X218/H218,"0")+IFERROR(X219/H219,"0")</f>
        <v>0</v>
      </c>
      <c r="Y220" s="405">
        <f>IFERROR(Y214/H214,"0")+IFERROR(Y215/H215,"0")+IFERROR(Y216/H216,"0")+IFERROR(Y217/H217,"0")+IFERROR(Y218/H218,"0")+IFERROR(Y219/H219,"0")</f>
        <v>0</v>
      </c>
      <c r="Z220" s="405">
        <f>IFERROR(IF(Z214="",0,Z214),"0")+IFERROR(IF(Z215="",0,Z215),"0")+IFERROR(IF(Z216="",0,Z216),"0")+IFERROR(IF(Z217="",0,Z217),"0")+IFERROR(IF(Z218="",0,Z218),"0")+IFERROR(IF(Z219="",0,Z219),"0")</f>
        <v>0</v>
      </c>
      <c r="AA220" s="406"/>
      <c r="AB220" s="406"/>
      <c r="AC220" s="406"/>
    </row>
    <row r="221" spans="1:68" x14ac:dyDescent="0.2">
      <c r="A221" s="420"/>
      <c r="B221" s="420"/>
      <c r="C221" s="420"/>
      <c r="D221" s="420"/>
      <c r="E221" s="420"/>
      <c r="F221" s="420"/>
      <c r="G221" s="420"/>
      <c r="H221" s="420"/>
      <c r="I221" s="420"/>
      <c r="J221" s="420"/>
      <c r="K221" s="420"/>
      <c r="L221" s="420"/>
      <c r="M221" s="420"/>
      <c r="N221" s="420"/>
      <c r="O221" s="421"/>
      <c r="P221" s="415" t="s">
        <v>76</v>
      </c>
      <c r="Q221" s="416"/>
      <c r="R221" s="416"/>
      <c r="S221" s="416"/>
      <c r="T221" s="416"/>
      <c r="U221" s="416"/>
      <c r="V221" s="417"/>
      <c r="W221" s="38" t="s">
        <v>71</v>
      </c>
      <c r="X221" s="405">
        <f>IFERROR(SUM(X214:X219),"0")</f>
        <v>0</v>
      </c>
      <c r="Y221" s="405">
        <f>IFERROR(SUM(Y214:Y219),"0")</f>
        <v>0</v>
      </c>
      <c r="Z221" s="38"/>
      <c r="AA221" s="406"/>
      <c r="AB221" s="406"/>
      <c r="AC221" s="406"/>
    </row>
    <row r="222" spans="1:68" ht="14.25" customHeight="1" x14ac:dyDescent="0.25">
      <c r="A222" s="422" t="s">
        <v>66</v>
      </c>
      <c r="B222" s="420"/>
      <c r="C222" s="420"/>
      <c r="D222" s="420"/>
      <c r="E222" s="420"/>
      <c r="F222" s="420"/>
      <c r="G222" s="420"/>
      <c r="H222" s="420"/>
      <c r="I222" s="420"/>
      <c r="J222" s="420"/>
      <c r="K222" s="420"/>
      <c r="L222" s="420"/>
      <c r="M222" s="420"/>
      <c r="N222" s="420"/>
      <c r="O222" s="420"/>
      <c r="P222" s="420"/>
      <c r="Q222" s="420"/>
      <c r="R222" s="420"/>
      <c r="S222" s="420"/>
      <c r="T222" s="420"/>
      <c r="U222" s="420"/>
      <c r="V222" s="420"/>
      <c r="W222" s="420"/>
      <c r="X222" s="420"/>
      <c r="Y222" s="420"/>
      <c r="Z222" s="420"/>
      <c r="AA222" s="399"/>
      <c r="AB222" s="399"/>
      <c r="AC222" s="399"/>
    </row>
    <row r="223" spans="1:68" ht="27" customHeight="1" x14ac:dyDescent="0.25">
      <c r="A223" s="55" t="s">
        <v>357</v>
      </c>
      <c r="B223" s="55" t="s">
        <v>358</v>
      </c>
      <c r="C223" s="32">
        <v>4301051100</v>
      </c>
      <c r="D223" s="411">
        <v>4607091387766</v>
      </c>
      <c r="E223" s="412"/>
      <c r="F223" s="402">
        <v>1.3</v>
      </c>
      <c r="G223" s="33">
        <v>6</v>
      </c>
      <c r="H223" s="402">
        <v>7.8</v>
      </c>
      <c r="I223" s="402">
        <v>8.3130000000000006</v>
      </c>
      <c r="J223" s="33">
        <v>64</v>
      </c>
      <c r="K223" s="33" t="s">
        <v>89</v>
      </c>
      <c r="L223" s="33"/>
      <c r="M223" s="34" t="s">
        <v>95</v>
      </c>
      <c r="N223" s="34"/>
      <c r="O223" s="33">
        <v>40</v>
      </c>
      <c r="P223" s="4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3" s="408"/>
      <c r="R223" s="408"/>
      <c r="S223" s="408"/>
      <c r="T223" s="409"/>
      <c r="U223" s="35"/>
      <c r="V223" s="35"/>
      <c r="W223" s="36" t="s">
        <v>71</v>
      </c>
      <c r="X223" s="403">
        <v>0</v>
      </c>
      <c r="Y223" s="404">
        <f>IFERROR(IF(X223="",0,CEILING((X223/$H223),1)*$H223),"")</f>
        <v>0</v>
      </c>
      <c r="Z223" s="37" t="str">
        <f>IFERROR(IF(Y223=0,"",ROUNDUP(Y223/H223,0)*0.01898),"")</f>
        <v/>
      </c>
      <c r="AA223" s="57"/>
      <c r="AB223" s="58"/>
      <c r="AC223" s="260" t="s">
        <v>359</v>
      </c>
      <c r="AG223" s="65"/>
      <c r="AJ223" s="69"/>
      <c r="AK223" s="69">
        <v>0</v>
      </c>
      <c r="BB223" s="261" t="s">
        <v>1</v>
      </c>
      <c r="BM223" s="65">
        <f>IFERROR(X223*I223/H223,"0")</f>
        <v>0</v>
      </c>
      <c r="BN223" s="65">
        <f>IFERROR(Y223*I223/H223,"0")</f>
        <v>0</v>
      </c>
      <c r="BO223" s="65">
        <f>IFERROR(1/J223*(X223/H223),"0")</f>
        <v>0</v>
      </c>
      <c r="BP223" s="65">
        <f>IFERROR(1/J223*(Y223/H223),"0")</f>
        <v>0</v>
      </c>
    </row>
    <row r="224" spans="1:68" ht="27" customHeight="1" x14ac:dyDescent="0.25">
      <c r="A224" s="55" t="s">
        <v>360</v>
      </c>
      <c r="B224" s="55" t="s">
        <v>361</v>
      </c>
      <c r="C224" s="32">
        <v>4301051818</v>
      </c>
      <c r="D224" s="411">
        <v>4607091387957</v>
      </c>
      <c r="E224" s="412"/>
      <c r="F224" s="402">
        <v>1.3</v>
      </c>
      <c r="G224" s="33">
        <v>6</v>
      </c>
      <c r="H224" s="402">
        <v>7.8</v>
      </c>
      <c r="I224" s="402">
        <v>8.3190000000000008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4" s="408"/>
      <c r="R224" s="408"/>
      <c r="S224" s="408"/>
      <c r="T224" s="409"/>
      <c r="U224" s="35"/>
      <c r="V224" s="35"/>
      <c r="W224" s="36" t="s">
        <v>71</v>
      </c>
      <c r="X224" s="403">
        <v>0</v>
      </c>
      <c r="Y224" s="404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362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363</v>
      </c>
      <c r="B225" s="55" t="s">
        <v>364</v>
      </c>
      <c r="C225" s="32">
        <v>4301051819</v>
      </c>
      <c r="D225" s="411">
        <v>4607091387964</v>
      </c>
      <c r="E225" s="412"/>
      <c r="F225" s="402">
        <v>1.35</v>
      </c>
      <c r="G225" s="33">
        <v>6</v>
      </c>
      <c r="H225" s="402">
        <v>8.1</v>
      </c>
      <c r="I225" s="402">
        <v>8.6010000000000009</v>
      </c>
      <c r="J225" s="33">
        <v>64</v>
      </c>
      <c r="K225" s="33" t="s">
        <v>89</v>
      </c>
      <c r="L225" s="33"/>
      <c r="M225" s="34" t="s">
        <v>95</v>
      </c>
      <c r="N225" s="34"/>
      <c r="O225" s="33">
        <v>40</v>
      </c>
      <c r="P225" s="5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5" s="408"/>
      <c r="R225" s="408"/>
      <c r="S225" s="408"/>
      <c r="T225" s="409"/>
      <c r="U225" s="35"/>
      <c r="V225" s="35"/>
      <c r="W225" s="36" t="s">
        <v>71</v>
      </c>
      <c r="X225" s="403">
        <v>80</v>
      </c>
      <c r="Y225" s="404">
        <f>IFERROR(IF(X225="",0,CEILING((X225/$H225),1)*$H225),"")</f>
        <v>81</v>
      </c>
      <c r="Z225" s="37">
        <f>IFERROR(IF(Y225=0,"",ROUNDUP(Y225/H225,0)*0.01898),"")</f>
        <v>0.1898</v>
      </c>
      <c r="AA225" s="57"/>
      <c r="AB225" s="58"/>
      <c r="AC225" s="264" t="s">
        <v>365</v>
      </c>
      <c r="AG225" s="65"/>
      <c r="AJ225" s="69"/>
      <c r="AK225" s="69">
        <v>0</v>
      </c>
      <c r="BB225" s="265" t="s">
        <v>1</v>
      </c>
      <c r="BM225" s="65">
        <f>IFERROR(X225*I225/H225,"0")</f>
        <v>84.948148148148164</v>
      </c>
      <c r="BN225" s="65">
        <f>IFERROR(Y225*I225/H225,"0")</f>
        <v>86.01</v>
      </c>
      <c r="BO225" s="65">
        <f>IFERROR(1/J225*(X225/H225),"0")</f>
        <v>0.15432098765432101</v>
      </c>
      <c r="BP225" s="65">
        <f>IFERROR(1/J225*(Y225/H225),"0")</f>
        <v>0.15625</v>
      </c>
    </row>
    <row r="226" spans="1:68" ht="27" customHeight="1" x14ac:dyDescent="0.25">
      <c r="A226" s="55" t="s">
        <v>366</v>
      </c>
      <c r="B226" s="55" t="s">
        <v>367</v>
      </c>
      <c r="C226" s="32">
        <v>4301051734</v>
      </c>
      <c r="D226" s="411">
        <v>4680115884588</v>
      </c>
      <c r="E226" s="412"/>
      <c r="F226" s="402">
        <v>0.5</v>
      </c>
      <c r="G226" s="33">
        <v>6</v>
      </c>
      <c r="H226" s="402">
        <v>3</v>
      </c>
      <c r="I226" s="402">
        <v>3.246</v>
      </c>
      <c r="J226" s="33">
        <v>182</v>
      </c>
      <c r="K226" s="33" t="s">
        <v>69</v>
      </c>
      <c r="L226" s="33"/>
      <c r="M226" s="34" t="s">
        <v>95</v>
      </c>
      <c r="N226" s="34"/>
      <c r="O226" s="33">
        <v>40</v>
      </c>
      <c r="P226" s="5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6" s="408"/>
      <c r="R226" s="408"/>
      <c r="S226" s="408"/>
      <c r="T226" s="409"/>
      <c r="U226" s="35"/>
      <c r="V226" s="35"/>
      <c r="W226" s="36" t="s">
        <v>71</v>
      </c>
      <c r="X226" s="403">
        <v>0</v>
      </c>
      <c r="Y226" s="404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66" t="s">
        <v>368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ht="27" customHeight="1" x14ac:dyDescent="0.25">
      <c r="A227" s="55" t="s">
        <v>369</v>
      </c>
      <c r="B227" s="55" t="s">
        <v>370</v>
      </c>
      <c r="C227" s="32">
        <v>4301051578</v>
      </c>
      <c r="D227" s="411">
        <v>4607091387513</v>
      </c>
      <c r="E227" s="412"/>
      <c r="F227" s="402">
        <v>0.45</v>
      </c>
      <c r="G227" s="33">
        <v>6</v>
      </c>
      <c r="H227" s="402">
        <v>2.7</v>
      </c>
      <c r="I227" s="402">
        <v>2.9580000000000002</v>
      </c>
      <c r="J227" s="33">
        <v>182</v>
      </c>
      <c r="K227" s="33" t="s">
        <v>69</v>
      </c>
      <c r="L227" s="33"/>
      <c r="M227" s="34" t="s">
        <v>112</v>
      </c>
      <c r="N227" s="34"/>
      <c r="O227" s="33">
        <v>40</v>
      </c>
      <c r="P227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7" s="408"/>
      <c r="R227" s="408"/>
      <c r="S227" s="408"/>
      <c r="T227" s="409"/>
      <c r="U227" s="35"/>
      <c r="V227" s="35"/>
      <c r="W227" s="36" t="s">
        <v>71</v>
      </c>
      <c r="X227" s="403">
        <v>0</v>
      </c>
      <c r="Y227" s="404">
        <f>IFERROR(IF(X227="",0,CEILING((X227/$H227),1)*$H227),"")</f>
        <v>0</v>
      </c>
      <c r="Z227" s="37" t="str">
        <f>IFERROR(IF(Y227=0,"",ROUNDUP(Y227/H227,0)*0.00651),"")</f>
        <v/>
      </c>
      <c r="AA227" s="57"/>
      <c r="AB227" s="58"/>
      <c r="AC227" s="268" t="s">
        <v>371</v>
      </c>
      <c r="AG227" s="65"/>
      <c r="AJ227" s="69"/>
      <c r="AK227" s="69">
        <v>0</v>
      </c>
      <c r="BB227" s="269" t="s">
        <v>1</v>
      </c>
      <c r="BM227" s="65">
        <f>IFERROR(X227*I227/H227,"0")</f>
        <v>0</v>
      </c>
      <c r="BN227" s="65">
        <f>IFERROR(Y227*I227/H227,"0")</f>
        <v>0</v>
      </c>
      <c r="BO227" s="65">
        <f>IFERROR(1/J227*(X227/H227),"0")</f>
        <v>0</v>
      </c>
      <c r="BP227" s="65">
        <f>IFERROR(1/J227*(Y227/H227),"0")</f>
        <v>0</v>
      </c>
    </row>
    <row r="228" spans="1:68" x14ac:dyDescent="0.2">
      <c r="A228" s="419"/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0"/>
      <c r="N228" s="420"/>
      <c r="O228" s="421"/>
      <c r="P228" s="415" t="s">
        <v>76</v>
      </c>
      <c r="Q228" s="416"/>
      <c r="R228" s="416"/>
      <c r="S228" s="416"/>
      <c r="T228" s="416"/>
      <c r="U228" s="416"/>
      <c r="V228" s="417"/>
      <c r="W228" s="38" t="s">
        <v>77</v>
      </c>
      <c r="X228" s="405">
        <f>IFERROR(X223/H223,"0")+IFERROR(X224/H224,"0")+IFERROR(X225/H225,"0")+IFERROR(X226/H226,"0")+IFERROR(X227/H227,"0")</f>
        <v>9.8765432098765444</v>
      </c>
      <c r="Y228" s="405">
        <f>IFERROR(Y223/H223,"0")+IFERROR(Y224/H224,"0")+IFERROR(Y225/H225,"0")+IFERROR(Y226/H226,"0")+IFERROR(Y227/H227,"0")</f>
        <v>10</v>
      </c>
      <c r="Z228" s="405">
        <f>IFERROR(IF(Z223="",0,Z223),"0")+IFERROR(IF(Z224="",0,Z224),"0")+IFERROR(IF(Z225="",0,Z225),"0")+IFERROR(IF(Z226="",0,Z226),"0")+IFERROR(IF(Z227="",0,Z227),"0")</f>
        <v>0.1898</v>
      </c>
      <c r="AA228" s="406"/>
      <c r="AB228" s="406"/>
      <c r="AC228" s="406"/>
    </row>
    <row r="229" spans="1:68" x14ac:dyDescent="0.2">
      <c r="A229" s="420"/>
      <c r="B229" s="420"/>
      <c r="C229" s="420"/>
      <c r="D229" s="420"/>
      <c r="E229" s="420"/>
      <c r="F229" s="420"/>
      <c r="G229" s="420"/>
      <c r="H229" s="420"/>
      <c r="I229" s="420"/>
      <c r="J229" s="420"/>
      <c r="K229" s="420"/>
      <c r="L229" s="420"/>
      <c r="M229" s="420"/>
      <c r="N229" s="420"/>
      <c r="O229" s="421"/>
      <c r="P229" s="415" t="s">
        <v>76</v>
      </c>
      <c r="Q229" s="416"/>
      <c r="R229" s="416"/>
      <c r="S229" s="416"/>
      <c r="T229" s="416"/>
      <c r="U229" s="416"/>
      <c r="V229" s="417"/>
      <c r="W229" s="38" t="s">
        <v>71</v>
      </c>
      <c r="X229" s="405">
        <f>IFERROR(SUM(X223:X227),"0")</f>
        <v>80</v>
      </c>
      <c r="Y229" s="405">
        <f>IFERROR(SUM(Y223:Y227),"0")</f>
        <v>81</v>
      </c>
      <c r="Z229" s="38"/>
      <c r="AA229" s="406"/>
      <c r="AB229" s="406"/>
      <c r="AC229" s="406"/>
    </row>
    <row r="230" spans="1:68" ht="14.25" customHeight="1" x14ac:dyDescent="0.25">
      <c r="A230" s="422" t="s">
        <v>128</v>
      </c>
      <c r="B230" s="420"/>
      <c r="C230" s="420"/>
      <c r="D230" s="420"/>
      <c r="E230" s="420"/>
      <c r="F230" s="420"/>
      <c r="G230" s="420"/>
      <c r="H230" s="420"/>
      <c r="I230" s="420"/>
      <c r="J230" s="420"/>
      <c r="K230" s="420"/>
      <c r="L230" s="420"/>
      <c r="M230" s="420"/>
      <c r="N230" s="420"/>
      <c r="O230" s="420"/>
      <c r="P230" s="420"/>
      <c r="Q230" s="420"/>
      <c r="R230" s="420"/>
      <c r="S230" s="420"/>
      <c r="T230" s="420"/>
      <c r="U230" s="420"/>
      <c r="V230" s="420"/>
      <c r="W230" s="420"/>
      <c r="X230" s="420"/>
      <c r="Y230" s="420"/>
      <c r="Z230" s="420"/>
      <c r="AA230" s="399"/>
      <c r="AB230" s="399"/>
      <c r="AC230" s="399"/>
    </row>
    <row r="231" spans="1:68" ht="27" customHeight="1" x14ac:dyDescent="0.25">
      <c r="A231" s="55" t="s">
        <v>372</v>
      </c>
      <c r="B231" s="55" t="s">
        <v>373</v>
      </c>
      <c r="C231" s="32">
        <v>4301060387</v>
      </c>
      <c r="D231" s="411">
        <v>4607091380880</v>
      </c>
      <c r="E231" s="412"/>
      <c r="F231" s="402">
        <v>1.4</v>
      </c>
      <c r="G231" s="33">
        <v>6</v>
      </c>
      <c r="H231" s="402">
        <v>8.4</v>
      </c>
      <c r="I231" s="402">
        <v>8.9190000000000005</v>
      </c>
      <c r="J231" s="33">
        <v>64</v>
      </c>
      <c r="K231" s="33" t="s">
        <v>89</v>
      </c>
      <c r="L231" s="33"/>
      <c r="M231" s="34" t="s">
        <v>95</v>
      </c>
      <c r="N231" s="34"/>
      <c r="O231" s="33">
        <v>30</v>
      </c>
      <c r="P231" s="41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1" s="408"/>
      <c r="R231" s="408"/>
      <c r="S231" s="408"/>
      <c r="T231" s="409"/>
      <c r="U231" s="35"/>
      <c r="V231" s="35"/>
      <c r="W231" s="36" t="s">
        <v>71</v>
      </c>
      <c r="X231" s="403">
        <v>0</v>
      </c>
      <c r="Y231" s="404">
        <f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0" t="s">
        <v>374</v>
      </c>
      <c r="AG231" s="65"/>
      <c r="AJ231" s="69"/>
      <c r="AK231" s="69">
        <v>0</v>
      </c>
      <c r="BB231" s="271" t="s">
        <v>1</v>
      </c>
      <c r="BM231" s="65">
        <f>IFERROR(X231*I231/H231,"0")</f>
        <v>0</v>
      </c>
      <c r="BN231" s="65">
        <f>IFERROR(Y231*I231/H231,"0")</f>
        <v>0</v>
      </c>
      <c r="BO231" s="65">
        <f>IFERROR(1/J231*(X231/H231),"0")</f>
        <v>0</v>
      </c>
      <c r="BP231" s="65">
        <f>IFERROR(1/J231*(Y231/H231),"0")</f>
        <v>0</v>
      </c>
    </row>
    <row r="232" spans="1:68" ht="27" customHeight="1" x14ac:dyDescent="0.25">
      <c r="A232" s="55" t="s">
        <v>375</v>
      </c>
      <c r="B232" s="55" t="s">
        <v>376</v>
      </c>
      <c r="C232" s="32">
        <v>4301060406</v>
      </c>
      <c r="D232" s="411">
        <v>4607091384482</v>
      </c>
      <c r="E232" s="412"/>
      <c r="F232" s="402">
        <v>1.3</v>
      </c>
      <c r="G232" s="33">
        <v>6</v>
      </c>
      <c r="H232" s="402">
        <v>7.8</v>
      </c>
      <c r="I232" s="402">
        <v>8.3190000000000008</v>
      </c>
      <c r="J232" s="33">
        <v>64</v>
      </c>
      <c r="K232" s="33" t="s">
        <v>89</v>
      </c>
      <c r="L232" s="33"/>
      <c r="M232" s="34" t="s">
        <v>95</v>
      </c>
      <c r="N232" s="34"/>
      <c r="O232" s="33">
        <v>30</v>
      </c>
      <c r="P232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2" s="408"/>
      <c r="R232" s="408"/>
      <c r="S232" s="408"/>
      <c r="T232" s="409"/>
      <c r="U232" s="35"/>
      <c r="V232" s="35"/>
      <c r="W232" s="36" t="s">
        <v>71</v>
      </c>
      <c r="X232" s="403">
        <v>0</v>
      </c>
      <c r="Y232" s="404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377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ht="16.5" customHeight="1" x14ac:dyDescent="0.25">
      <c r="A233" s="55" t="s">
        <v>378</v>
      </c>
      <c r="B233" s="55" t="s">
        <v>379</v>
      </c>
      <c r="C233" s="32">
        <v>4301060484</v>
      </c>
      <c r="D233" s="411">
        <v>4607091380897</v>
      </c>
      <c r="E233" s="412"/>
      <c r="F233" s="402">
        <v>1.4</v>
      </c>
      <c r="G233" s="33">
        <v>6</v>
      </c>
      <c r="H233" s="402">
        <v>8.4</v>
      </c>
      <c r="I233" s="402">
        <v>8.9190000000000005</v>
      </c>
      <c r="J233" s="33">
        <v>64</v>
      </c>
      <c r="K233" s="33" t="s">
        <v>89</v>
      </c>
      <c r="L233" s="33"/>
      <c r="M233" s="34" t="s">
        <v>112</v>
      </c>
      <c r="N233" s="34"/>
      <c r="O233" s="33">
        <v>30</v>
      </c>
      <c r="P233" s="55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3" s="408"/>
      <c r="R233" s="408"/>
      <c r="S233" s="408"/>
      <c r="T233" s="409"/>
      <c r="U233" s="35"/>
      <c r="V233" s="35"/>
      <c r="W233" s="36" t="s">
        <v>71</v>
      </c>
      <c r="X233" s="403">
        <v>0</v>
      </c>
      <c r="Y233" s="404">
        <f>IFERROR(IF(X233="",0,CEILING((X233/$H233),1)*$H233),"")</f>
        <v>0</v>
      </c>
      <c r="Z233" s="37" t="str">
        <f>IFERROR(IF(Y233=0,"",ROUNDUP(Y233/H233,0)*0.01898),"")</f>
        <v/>
      </c>
      <c r="AA233" s="57"/>
      <c r="AB233" s="58"/>
      <c r="AC233" s="274" t="s">
        <v>380</v>
      </c>
      <c r="AG233" s="65"/>
      <c r="AJ233" s="69"/>
      <c r="AK233" s="69">
        <v>0</v>
      </c>
      <c r="BB233" s="275" t="s">
        <v>1</v>
      </c>
      <c r="BM233" s="65">
        <f>IFERROR(X233*I233/H233,"0")</f>
        <v>0</v>
      </c>
      <c r="BN233" s="65">
        <f>IFERROR(Y233*I233/H233,"0")</f>
        <v>0</v>
      </c>
      <c r="BO233" s="65">
        <f>IFERROR(1/J233*(X233/H233),"0")</f>
        <v>0</v>
      </c>
      <c r="BP233" s="65">
        <f>IFERROR(1/J233*(Y233/H233),"0")</f>
        <v>0</v>
      </c>
    </row>
    <row r="234" spans="1:68" x14ac:dyDescent="0.2">
      <c r="A234" s="419"/>
      <c r="B234" s="420"/>
      <c r="C234" s="420"/>
      <c r="D234" s="420"/>
      <c r="E234" s="420"/>
      <c r="F234" s="420"/>
      <c r="G234" s="420"/>
      <c r="H234" s="420"/>
      <c r="I234" s="420"/>
      <c r="J234" s="420"/>
      <c r="K234" s="420"/>
      <c r="L234" s="420"/>
      <c r="M234" s="420"/>
      <c r="N234" s="420"/>
      <c r="O234" s="421"/>
      <c r="P234" s="415" t="s">
        <v>76</v>
      </c>
      <c r="Q234" s="416"/>
      <c r="R234" s="416"/>
      <c r="S234" s="416"/>
      <c r="T234" s="416"/>
      <c r="U234" s="416"/>
      <c r="V234" s="417"/>
      <c r="W234" s="38" t="s">
        <v>77</v>
      </c>
      <c r="X234" s="405">
        <f>IFERROR(X231/H231,"0")+IFERROR(X232/H232,"0")+IFERROR(X233/H233,"0")</f>
        <v>0</v>
      </c>
      <c r="Y234" s="405">
        <f>IFERROR(Y231/H231,"0")+IFERROR(Y232/H232,"0")+IFERROR(Y233/H233,"0")</f>
        <v>0</v>
      </c>
      <c r="Z234" s="405">
        <f>IFERROR(IF(Z231="",0,Z231),"0")+IFERROR(IF(Z232="",0,Z232),"0")+IFERROR(IF(Z233="",0,Z233),"0")</f>
        <v>0</v>
      </c>
      <c r="AA234" s="406"/>
      <c r="AB234" s="406"/>
      <c r="AC234" s="406"/>
    </row>
    <row r="235" spans="1:68" x14ac:dyDescent="0.2">
      <c r="A235" s="420"/>
      <c r="B235" s="420"/>
      <c r="C235" s="420"/>
      <c r="D235" s="420"/>
      <c r="E235" s="420"/>
      <c r="F235" s="420"/>
      <c r="G235" s="420"/>
      <c r="H235" s="420"/>
      <c r="I235" s="420"/>
      <c r="J235" s="420"/>
      <c r="K235" s="420"/>
      <c r="L235" s="420"/>
      <c r="M235" s="420"/>
      <c r="N235" s="420"/>
      <c r="O235" s="421"/>
      <c r="P235" s="415" t="s">
        <v>76</v>
      </c>
      <c r="Q235" s="416"/>
      <c r="R235" s="416"/>
      <c r="S235" s="416"/>
      <c r="T235" s="416"/>
      <c r="U235" s="416"/>
      <c r="V235" s="417"/>
      <c r="W235" s="38" t="s">
        <v>71</v>
      </c>
      <c r="X235" s="405">
        <f>IFERROR(SUM(X231:X233),"0")</f>
        <v>0</v>
      </c>
      <c r="Y235" s="405">
        <f>IFERROR(SUM(Y231:Y233),"0")</f>
        <v>0</v>
      </c>
      <c r="Z235" s="38"/>
      <c r="AA235" s="406"/>
      <c r="AB235" s="406"/>
      <c r="AC235" s="406"/>
    </row>
    <row r="236" spans="1:68" ht="14.25" customHeight="1" x14ac:dyDescent="0.25">
      <c r="A236" s="422" t="s">
        <v>78</v>
      </c>
      <c r="B236" s="420"/>
      <c r="C236" s="420"/>
      <c r="D236" s="420"/>
      <c r="E236" s="420"/>
      <c r="F236" s="420"/>
      <c r="G236" s="420"/>
      <c r="H236" s="420"/>
      <c r="I236" s="420"/>
      <c r="J236" s="420"/>
      <c r="K236" s="420"/>
      <c r="L236" s="420"/>
      <c r="M236" s="420"/>
      <c r="N236" s="420"/>
      <c r="O236" s="420"/>
      <c r="P236" s="420"/>
      <c r="Q236" s="420"/>
      <c r="R236" s="420"/>
      <c r="S236" s="420"/>
      <c r="T236" s="420"/>
      <c r="U236" s="420"/>
      <c r="V236" s="420"/>
      <c r="W236" s="420"/>
      <c r="X236" s="420"/>
      <c r="Y236" s="420"/>
      <c r="Z236" s="420"/>
      <c r="AA236" s="399"/>
      <c r="AB236" s="399"/>
      <c r="AC236" s="399"/>
    </row>
    <row r="237" spans="1:68" ht="27" customHeight="1" x14ac:dyDescent="0.25">
      <c r="A237" s="55" t="s">
        <v>381</v>
      </c>
      <c r="B237" s="55" t="s">
        <v>382</v>
      </c>
      <c r="C237" s="32">
        <v>4301030235</v>
      </c>
      <c r="D237" s="411">
        <v>4607091388381</v>
      </c>
      <c r="E237" s="412"/>
      <c r="F237" s="402">
        <v>0.38</v>
      </c>
      <c r="G237" s="33">
        <v>8</v>
      </c>
      <c r="H237" s="402">
        <v>3.04</v>
      </c>
      <c r="I237" s="402">
        <v>3.33</v>
      </c>
      <c r="J237" s="33">
        <v>132</v>
      </c>
      <c r="K237" s="33" t="s">
        <v>94</v>
      </c>
      <c r="L237" s="33"/>
      <c r="M237" s="34" t="s">
        <v>81</v>
      </c>
      <c r="N237" s="34"/>
      <c r="O237" s="33">
        <v>180</v>
      </c>
      <c r="P237" s="454" t="s">
        <v>383</v>
      </c>
      <c r="Q237" s="408"/>
      <c r="R237" s="408"/>
      <c r="S237" s="408"/>
      <c r="T237" s="409"/>
      <c r="U237" s="35"/>
      <c r="V237" s="35"/>
      <c r="W237" s="36" t="s">
        <v>71</v>
      </c>
      <c r="X237" s="403">
        <v>0</v>
      </c>
      <c r="Y237" s="404">
        <f>IFERROR(IF(X237="",0,CEILING((X237/$H237),1)*$H237),"")</f>
        <v>0</v>
      </c>
      <c r="Z237" s="37" t="str">
        <f>IFERROR(IF(Y237=0,"",ROUNDUP(Y237/H237,0)*0.00902),"")</f>
        <v/>
      </c>
      <c r="AA237" s="57"/>
      <c r="AB237" s="58"/>
      <c r="AC237" s="276" t="s">
        <v>384</v>
      </c>
      <c r="AG237" s="65"/>
      <c r="AJ237" s="69"/>
      <c r="AK237" s="69">
        <v>0</v>
      </c>
      <c r="BB237" s="277" t="s">
        <v>1</v>
      </c>
      <c r="BM237" s="65">
        <f>IFERROR(X237*I237/H237,"0")</f>
        <v>0</v>
      </c>
      <c r="BN237" s="65">
        <f>IFERROR(Y237*I237/H237,"0")</f>
        <v>0</v>
      </c>
      <c r="BO237" s="65">
        <f>IFERROR(1/J237*(X237/H237),"0")</f>
        <v>0</v>
      </c>
      <c r="BP237" s="65">
        <f>IFERROR(1/J237*(Y237/H237),"0")</f>
        <v>0</v>
      </c>
    </row>
    <row r="238" spans="1:68" ht="27" customHeight="1" x14ac:dyDescent="0.25">
      <c r="A238" s="55" t="s">
        <v>385</v>
      </c>
      <c r="B238" s="55" t="s">
        <v>386</v>
      </c>
      <c r="C238" s="32">
        <v>4301032055</v>
      </c>
      <c r="D238" s="411">
        <v>4680115886476</v>
      </c>
      <c r="E238" s="412"/>
      <c r="F238" s="402">
        <v>0.38</v>
      </c>
      <c r="G238" s="33">
        <v>8</v>
      </c>
      <c r="H238" s="402">
        <v>3.04</v>
      </c>
      <c r="I238" s="402">
        <v>3.32</v>
      </c>
      <c r="J238" s="33">
        <v>156</v>
      </c>
      <c r="K238" s="33" t="s">
        <v>94</v>
      </c>
      <c r="L238" s="33"/>
      <c r="M238" s="34" t="s">
        <v>81</v>
      </c>
      <c r="N238" s="34"/>
      <c r="O238" s="33">
        <v>180</v>
      </c>
      <c r="P238" s="547" t="s">
        <v>387</v>
      </c>
      <c r="Q238" s="408"/>
      <c r="R238" s="408"/>
      <c r="S238" s="408"/>
      <c r="T238" s="409"/>
      <c r="U238" s="35"/>
      <c r="V238" s="35"/>
      <c r="W238" s="36" t="s">
        <v>71</v>
      </c>
      <c r="X238" s="403">
        <v>0</v>
      </c>
      <c r="Y238" s="404">
        <f>IFERROR(IF(X238="",0,CEILING((X238/$H238),1)*$H238),"")</f>
        <v>0</v>
      </c>
      <c r="Z238" s="37" t="str">
        <f>IFERROR(IF(Y238=0,"",ROUNDUP(Y238/H238,0)*0.00753),"")</f>
        <v/>
      </c>
      <c r="AA238" s="57"/>
      <c r="AB238" s="58"/>
      <c r="AC238" s="278" t="s">
        <v>388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389</v>
      </c>
      <c r="B239" s="55" t="s">
        <v>390</v>
      </c>
      <c r="C239" s="32">
        <v>4301030232</v>
      </c>
      <c r="D239" s="411">
        <v>4607091388374</v>
      </c>
      <c r="E239" s="412"/>
      <c r="F239" s="402">
        <v>0.38</v>
      </c>
      <c r="G239" s="33">
        <v>8</v>
      </c>
      <c r="H239" s="402">
        <v>3.04</v>
      </c>
      <c r="I239" s="402">
        <v>3.29</v>
      </c>
      <c r="J239" s="33">
        <v>132</v>
      </c>
      <c r="K239" s="33" t="s">
        <v>94</v>
      </c>
      <c r="L239" s="33"/>
      <c r="M239" s="34" t="s">
        <v>81</v>
      </c>
      <c r="N239" s="34"/>
      <c r="O239" s="33">
        <v>180</v>
      </c>
      <c r="P239" s="513" t="s">
        <v>391</v>
      </c>
      <c r="Q239" s="408"/>
      <c r="R239" s="408"/>
      <c r="S239" s="408"/>
      <c r="T239" s="409"/>
      <c r="U239" s="35"/>
      <c r="V239" s="35"/>
      <c r="W239" s="36" t="s">
        <v>71</v>
      </c>
      <c r="X239" s="403">
        <v>0</v>
      </c>
      <c r="Y239" s="404">
        <f>IFERROR(IF(X239="",0,CEILING((X239/$H239),1)*$H239),"")</f>
        <v>0</v>
      </c>
      <c r="Z239" s="37" t="str">
        <f>IFERROR(IF(Y239=0,"",ROUNDUP(Y239/H239,0)*0.00902),"")</f>
        <v/>
      </c>
      <c r="AA239" s="57"/>
      <c r="AB239" s="58"/>
      <c r="AC239" s="280" t="s">
        <v>384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ht="27" customHeight="1" x14ac:dyDescent="0.25">
      <c r="A240" s="55" t="s">
        <v>392</v>
      </c>
      <c r="B240" s="55" t="s">
        <v>393</v>
      </c>
      <c r="C240" s="32">
        <v>4301032015</v>
      </c>
      <c r="D240" s="411">
        <v>4607091383102</v>
      </c>
      <c r="E240" s="412"/>
      <c r="F240" s="402">
        <v>0.17</v>
      </c>
      <c r="G240" s="33">
        <v>15</v>
      </c>
      <c r="H240" s="402">
        <v>2.5499999999999998</v>
      </c>
      <c r="I240" s="402">
        <v>2.9550000000000001</v>
      </c>
      <c r="J240" s="33">
        <v>182</v>
      </c>
      <c r="K240" s="33" t="s">
        <v>69</v>
      </c>
      <c r="L240" s="33"/>
      <c r="M240" s="34" t="s">
        <v>81</v>
      </c>
      <c r="N240" s="34"/>
      <c r="O240" s="33">
        <v>180</v>
      </c>
      <c r="P240" s="4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0" s="408"/>
      <c r="R240" s="408"/>
      <c r="S240" s="408"/>
      <c r="T240" s="409"/>
      <c r="U240" s="35"/>
      <c r="V240" s="35"/>
      <c r="W240" s="36" t="s">
        <v>71</v>
      </c>
      <c r="X240" s="403">
        <v>0</v>
      </c>
      <c r="Y240" s="404">
        <f>IFERROR(IF(X240="",0,CEILING((X240/$H240),1)*$H240),"")</f>
        <v>0</v>
      </c>
      <c r="Z240" s="37" t="str">
        <f>IFERROR(IF(Y240=0,"",ROUNDUP(Y240/H240,0)*0.00651),"")</f>
        <v/>
      </c>
      <c r="AA240" s="57"/>
      <c r="AB240" s="58"/>
      <c r="AC240" s="282" t="s">
        <v>394</v>
      </c>
      <c r="AG240" s="65"/>
      <c r="AJ240" s="69"/>
      <c r="AK240" s="69">
        <v>0</v>
      </c>
      <c r="BB240" s="283" t="s">
        <v>1</v>
      </c>
      <c r="BM240" s="65">
        <f>IFERROR(X240*I240/H240,"0")</f>
        <v>0</v>
      </c>
      <c r="BN240" s="65">
        <f>IFERROR(Y240*I240/H240,"0")</f>
        <v>0</v>
      </c>
      <c r="BO240" s="65">
        <f>IFERROR(1/J240*(X240/H240),"0")</f>
        <v>0</v>
      </c>
      <c r="BP240" s="65">
        <f>IFERROR(1/J240*(Y240/H240),"0")</f>
        <v>0</v>
      </c>
    </row>
    <row r="241" spans="1:68" ht="27" customHeight="1" x14ac:dyDescent="0.25">
      <c r="A241" s="55" t="s">
        <v>395</v>
      </c>
      <c r="B241" s="55" t="s">
        <v>396</v>
      </c>
      <c r="C241" s="32">
        <v>4301030233</v>
      </c>
      <c r="D241" s="411">
        <v>4607091388404</v>
      </c>
      <c r="E241" s="412"/>
      <c r="F241" s="402">
        <v>0.17</v>
      </c>
      <c r="G241" s="33">
        <v>15</v>
      </c>
      <c r="H241" s="402">
        <v>2.5499999999999998</v>
      </c>
      <c r="I241" s="402">
        <v>2.88</v>
      </c>
      <c r="J241" s="33">
        <v>182</v>
      </c>
      <c r="K241" s="33" t="s">
        <v>69</v>
      </c>
      <c r="L241" s="33"/>
      <c r="M241" s="34" t="s">
        <v>81</v>
      </c>
      <c r="N241" s="34"/>
      <c r="O241" s="33">
        <v>180</v>
      </c>
      <c r="P241" s="6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1" s="408"/>
      <c r="R241" s="408"/>
      <c r="S241" s="408"/>
      <c r="T241" s="409"/>
      <c r="U241" s="35"/>
      <c r="V241" s="35"/>
      <c r="W241" s="36" t="s">
        <v>71</v>
      </c>
      <c r="X241" s="403">
        <v>50</v>
      </c>
      <c r="Y241" s="404">
        <f>IFERROR(IF(X241="",0,CEILING((X241/$H241),1)*$H241),"")</f>
        <v>51</v>
      </c>
      <c r="Z241" s="37">
        <f>IFERROR(IF(Y241=0,"",ROUNDUP(Y241/H241,0)*0.00651),"")</f>
        <v>0.13020000000000001</v>
      </c>
      <c r="AA241" s="57"/>
      <c r="AB241" s="58"/>
      <c r="AC241" s="284" t="s">
        <v>384</v>
      </c>
      <c r="AG241" s="65"/>
      <c r="AJ241" s="69"/>
      <c r="AK241" s="69">
        <v>0</v>
      </c>
      <c r="BB241" s="285" t="s">
        <v>1</v>
      </c>
      <c r="BM241" s="65">
        <f>IFERROR(X241*I241/H241,"0")</f>
        <v>56.470588235294123</v>
      </c>
      <c r="BN241" s="65">
        <f>IFERROR(Y241*I241/H241,"0")</f>
        <v>57.6</v>
      </c>
      <c r="BO241" s="65">
        <f>IFERROR(1/J241*(X241/H241),"0")</f>
        <v>0.10773540185304893</v>
      </c>
      <c r="BP241" s="65">
        <f>IFERROR(1/J241*(Y241/H241),"0")</f>
        <v>0.1098901098901099</v>
      </c>
    </row>
    <row r="242" spans="1:68" x14ac:dyDescent="0.2">
      <c r="A242" s="419"/>
      <c r="B242" s="420"/>
      <c r="C242" s="420"/>
      <c r="D242" s="420"/>
      <c r="E242" s="420"/>
      <c r="F242" s="420"/>
      <c r="G242" s="420"/>
      <c r="H242" s="420"/>
      <c r="I242" s="420"/>
      <c r="J242" s="420"/>
      <c r="K242" s="420"/>
      <c r="L242" s="420"/>
      <c r="M242" s="420"/>
      <c r="N242" s="420"/>
      <c r="O242" s="421"/>
      <c r="P242" s="415" t="s">
        <v>76</v>
      </c>
      <c r="Q242" s="416"/>
      <c r="R242" s="416"/>
      <c r="S242" s="416"/>
      <c r="T242" s="416"/>
      <c r="U242" s="416"/>
      <c r="V242" s="417"/>
      <c r="W242" s="38" t="s">
        <v>77</v>
      </c>
      <c r="X242" s="405">
        <f>IFERROR(X237/H237,"0")+IFERROR(X238/H238,"0")+IFERROR(X239/H239,"0")+IFERROR(X240/H240,"0")+IFERROR(X241/H241,"0")</f>
        <v>19.607843137254903</v>
      </c>
      <c r="Y242" s="405">
        <f>IFERROR(Y237/H237,"0")+IFERROR(Y238/H238,"0")+IFERROR(Y239/H239,"0")+IFERROR(Y240/H240,"0")+IFERROR(Y241/H241,"0")</f>
        <v>20</v>
      </c>
      <c r="Z242" s="405">
        <f>IFERROR(IF(Z237="",0,Z237),"0")+IFERROR(IF(Z238="",0,Z238),"0")+IFERROR(IF(Z239="",0,Z239),"0")+IFERROR(IF(Z240="",0,Z240),"0")+IFERROR(IF(Z241="",0,Z241),"0")</f>
        <v>0.13020000000000001</v>
      </c>
      <c r="AA242" s="406"/>
      <c r="AB242" s="406"/>
      <c r="AC242" s="406"/>
    </row>
    <row r="243" spans="1:68" x14ac:dyDescent="0.2">
      <c r="A243" s="420"/>
      <c r="B243" s="420"/>
      <c r="C243" s="420"/>
      <c r="D243" s="420"/>
      <c r="E243" s="420"/>
      <c r="F243" s="420"/>
      <c r="G243" s="420"/>
      <c r="H243" s="420"/>
      <c r="I243" s="420"/>
      <c r="J243" s="420"/>
      <c r="K243" s="420"/>
      <c r="L243" s="420"/>
      <c r="M243" s="420"/>
      <c r="N243" s="420"/>
      <c r="O243" s="421"/>
      <c r="P243" s="415" t="s">
        <v>76</v>
      </c>
      <c r="Q243" s="416"/>
      <c r="R243" s="416"/>
      <c r="S243" s="416"/>
      <c r="T243" s="416"/>
      <c r="U243" s="416"/>
      <c r="V243" s="417"/>
      <c r="W243" s="38" t="s">
        <v>71</v>
      </c>
      <c r="X243" s="405">
        <f>IFERROR(SUM(X237:X241),"0")</f>
        <v>50</v>
      </c>
      <c r="Y243" s="405">
        <f>IFERROR(SUM(Y237:Y241),"0")</f>
        <v>51</v>
      </c>
      <c r="Z243" s="38"/>
      <c r="AA243" s="406"/>
      <c r="AB243" s="406"/>
      <c r="AC243" s="406"/>
    </row>
    <row r="244" spans="1:68" ht="14.25" customHeight="1" x14ac:dyDescent="0.25">
      <c r="A244" s="422" t="s">
        <v>397</v>
      </c>
      <c r="B244" s="420"/>
      <c r="C244" s="420"/>
      <c r="D244" s="420"/>
      <c r="E244" s="420"/>
      <c r="F244" s="420"/>
      <c r="G244" s="420"/>
      <c r="H244" s="420"/>
      <c r="I244" s="420"/>
      <c r="J244" s="420"/>
      <c r="K244" s="420"/>
      <c r="L244" s="420"/>
      <c r="M244" s="420"/>
      <c r="N244" s="420"/>
      <c r="O244" s="420"/>
      <c r="P244" s="420"/>
      <c r="Q244" s="420"/>
      <c r="R244" s="420"/>
      <c r="S244" s="420"/>
      <c r="T244" s="420"/>
      <c r="U244" s="420"/>
      <c r="V244" s="420"/>
      <c r="W244" s="420"/>
      <c r="X244" s="420"/>
      <c r="Y244" s="420"/>
      <c r="Z244" s="420"/>
      <c r="AA244" s="399"/>
      <c r="AB244" s="399"/>
      <c r="AC244" s="399"/>
    </row>
    <row r="245" spans="1:68" ht="16.5" customHeight="1" x14ac:dyDescent="0.25">
      <c r="A245" s="55" t="s">
        <v>398</v>
      </c>
      <c r="B245" s="55" t="s">
        <v>399</v>
      </c>
      <c r="C245" s="32">
        <v>4301180007</v>
      </c>
      <c r="D245" s="411">
        <v>4680115881808</v>
      </c>
      <c r="E245" s="412"/>
      <c r="F245" s="402">
        <v>0.1</v>
      </c>
      <c r="G245" s="33">
        <v>20</v>
      </c>
      <c r="H245" s="402">
        <v>2</v>
      </c>
      <c r="I245" s="402">
        <v>2.2400000000000002</v>
      </c>
      <c r="J245" s="33">
        <v>238</v>
      </c>
      <c r="K245" s="33" t="s">
        <v>69</v>
      </c>
      <c r="L245" s="33"/>
      <c r="M245" s="34" t="s">
        <v>400</v>
      </c>
      <c r="N245" s="34"/>
      <c r="O245" s="33">
        <v>730</v>
      </c>
      <c r="P245" s="5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5" s="408"/>
      <c r="R245" s="408"/>
      <c r="S245" s="408"/>
      <c r="T245" s="409"/>
      <c r="U245" s="35"/>
      <c r="V245" s="35"/>
      <c r="W245" s="36" t="s">
        <v>71</v>
      </c>
      <c r="X245" s="403">
        <v>0</v>
      </c>
      <c r="Y245" s="404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401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ht="27" customHeight="1" x14ac:dyDescent="0.25">
      <c r="A246" s="55" t="s">
        <v>402</v>
      </c>
      <c r="B246" s="55" t="s">
        <v>403</v>
      </c>
      <c r="C246" s="32">
        <v>4301180006</v>
      </c>
      <c r="D246" s="411">
        <v>4680115881822</v>
      </c>
      <c r="E246" s="412"/>
      <c r="F246" s="402">
        <v>0.1</v>
      </c>
      <c r="G246" s="33">
        <v>20</v>
      </c>
      <c r="H246" s="402">
        <v>2</v>
      </c>
      <c r="I246" s="402">
        <v>2.2400000000000002</v>
      </c>
      <c r="J246" s="33">
        <v>238</v>
      </c>
      <c r="K246" s="33" t="s">
        <v>69</v>
      </c>
      <c r="L246" s="33"/>
      <c r="M246" s="34" t="s">
        <v>400</v>
      </c>
      <c r="N246" s="34"/>
      <c r="O246" s="33">
        <v>730</v>
      </c>
      <c r="P246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6" s="408"/>
      <c r="R246" s="408"/>
      <c r="S246" s="408"/>
      <c r="T246" s="409"/>
      <c r="U246" s="35"/>
      <c r="V246" s="35"/>
      <c r="W246" s="36" t="s">
        <v>71</v>
      </c>
      <c r="X246" s="403">
        <v>0</v>
      </c>
      <c r="Y246" s="404">
        <f>IFERROR(IF(X246="",0,CEILING((X246/$H246),1)*$H246),"")</f>
        <v>0</v>
      </c>
      <c r="Z246" s="37" t="str">
        <f>IFERROR(IF(Y246=0,"",ROUNDUP(Y246/H246,0)*0.00474),"")</f>
        <v/>
      </c>
      <c r="AA246" s="57"/>
      <c r="AB246" s="58"/>
      <c r="AC246" s="288" t="s">
        <v>401</v>
      </c>
      <c r="AG246" s="65"/>
      <c r="AJ246" s="69"/>
      <c r="AK246" s="69">
        <v>0</v>
      </c>
      <c r="BB246" s="289" t="s">
        <v>1</v>
      </c>
      <c r="BM246" s="65">
        <f>IFERROR(X246*I246/H246,"0")</f>
        <v>0</v>
      </c>
      <c r="BN246" s="65">
        <f>IFERROR(Y246*I246/H246,"0")</f>
        <v>0</v>
      </c>
      <c r="BO246" s="65">
        <f>IFERROR(1/J246*(X246/H246),"0")</f>
        <v>0</v>
      </c>
      <c r="BP246" s="65">
        <f>IFERROR(1/J246*(Y246/H246),"0")</f>
        <v>0</v>
      </c>
    </row>
    <row r="247" spans="1:68" ht="27" customHeight="1" x14ac:dyDescent="0.25">
      <c r="A247" s="55" t="s">
        <v>404</v>
      </c>
      <c r="B247" s="55" t="s">
        <v>405</v>
      </c>
      <c r="C247" s="32">
        <v>4301180001</v>
      </c>
      <c r="D247" s="411">
        <v>4680115880016</v>
      </c>
      <c r="E247" s="412"/>
      <c r="F247" s="402">
        <v>0.1</v>
      </c>
      <c r="G247" s="33">
        <v>20</v>
      </c>
      <c r="H247" s="402">
        <v>2</v>
      </c>
      <c r="I247" s="402">
        <v>2.2400000000000002</v>
      </c>
      <c r="J247" s="33">
        <v>238</v>
      </c>
      <c r="K247" s="33" t="s">
        <v>69</v>
      </c>
      <c r="L247" s="33"/>
      <c r="M247" s="34" t="s">
        <v>400</v>
      </c>
      <c r="N247" s="34"/>
      <c r="O247" s="33">
        <v>730</v>
      </c>
      <c r="P247" s="6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7" s="408"/>
      <c r="R247" s="408"/>
      <c r="S247" s="408"/>
      <c r="T247" s="409"/>
      <c r="U247" s="35"/>
      <c r="V247" s="35"/>
      <c r="W247" s="36" t="s">
        <v>71</v>
      </c>
      <c r="X247" s="403">
        <v>0</v>
      </c>
      <c r="Y247" s="404">
        <f>IFERROR(IF(X247="",0,CEILING((X247/$H247),1)*$H247),"")</f>
        <v>0</v>
      </c>
      <c r="Z247" s="37" t="str">
        <f>IFERROR(IF(Y247=0,"",ROUNDUP(Y247/H247,0)*0.00474),"")</f>
        <v/>
      </c>
      <c r="AA247" s="57"/>
      <c r="AB247" s="58"/>
      <c r="AC247" s="290" t="s">
        <v>401</v>
      </c>
      <c r="AG247" s="65"/>
      <c r="AJ247" s="69"/>
      <c r="AK247" s="69">
        <v>0</v>
      </c>
      <c r="BB247" s="291" t="s">
        <v>1</v>
      </c>
      <c r="BM247" s="65">
        <f>IFERROR(X247*I247/H247,"0")</f>
        <v>0</v>
      </c>
      <c r="BN247" s="65">
        <f>IFERROR(Y247*I247/H247,"0")</f>
        <v>0</v>
      </c>
      <c r="BO247" s="65">
        <f>IFERROR(1/J247*(X247/H247),"0")</f>
        <v>0</v>
      </c>
      <c r="BP247" s="65">
        <f>IFERROR(1/J247*(Y247/H247),"0")</f>
        <v>0</v>
      </c>
    </row>
    <row r="248" spans="1:68" x14ac:dyDescent="0.2">
      <c r="A248" s="419"/>
      <c r="B248" s="420"/>
      <c r="C248" s="420"/>
      <c r="D248" s="420"/>
      <c r="E248" s="420"/>
      <c r="F248" s="420"/>
      <c r="G248" s="420"/>
      <c r="H248" s="420"/>
      <c r="I248" s="420"/>
      <c r="J248" s="420"/>
      <c r="K248" s="420"/>
      <c r="L248" s="420"/>
      <c r="M248" s="420"/>
      <c r="N248" s="420"/>
      <c r="O248" s="421"/>
      <c r="P248" s="415" t="s">
        <v>76</v>
      </c>
      <c r="Q248" s="416"/>
      <c r="R248" s="416"/>
      <c r="S248" s="416"/>
      <c r="T248" s="416"/>
      <c r="U248" s="416"/>
      <c r="V248" s="417"/>
      <c r="W248" s="38" t="s">
        <v>77</v>
      </c>
      <c r="X248" s="405">
        <f>IFERROR(X245/H245,"0")+IFERROR(X246/H246,"0")+IFERROR(X247/H247,"0")</f>
        <v>0</v>
      </c>
      <c r="Y248" s="405">
        <f>IFERROR(Y245/H245,"0")+IFERROR(Y246/H246,"0")+IFERROR(Y247/H247,"0")</f>
        <v>0</v>
      </c>
      <c r="Z248" s="405">
        <f>IFERROR(IF(Z245="",0,Z245),"0")+IFERROR(IF(Z246="",0,Z246),"0")+IFERROR(IF(Z247="",0,Z247),"0")</f>
        <v>0</v>
      </c>
      <c r="AA248" s="406"/>
      <c r="AB248" s="406"/>
      <c r="AC248" s="406"/>
    </row>
    <row r="249" spans="1:68" x14ac:dyDescent="0.2">
      <c r="A249" s="420"/>
      <c r="B249" s="420"/>
      <c r="C249" s="420"/>
      <c r="D249" s="420"/>
      <c r="E249" s="420"/>
      <c r="F249" s="420"/>
      <c r="G249" s="420"/>
      <c r="H249" s="420"/>
      <c r="I249" s="420"/>
      <c r="J249" s="420"/>
      <c r="K249" s="420"/>
      <c r="L249" s="420"/>
      <c r="M249" s="420"/>
      <c r="N249" s="420"/>
      <c r="O249" s="421"/>
      <c r="P249" s="415" t="s">
        <v>76</v>
      </c>
      <c r="Q249" s="416"/>
      <c r="R249" s="416"/>
      <c r="S249" s="416"/>
      <c r="T249" s="416"/>
      <c r="U249" s="416"/>
      <c r="V249" s="417"/>
      <c r="W249" s="38" t="s">
        <v>71</v>
      </c>
      <c r="X249" s="405">
        <f>IFERROR(SUM(X245:X247),"0")</f>
        <v>0</v>
      </c>
      <c r="Y249" s="405">
        <f>IFERROR(SUM(Y245:Y247),"0")</f>
        <v>0</v>
      </c>
      <c r="Z249" s="38"/>
      <c r="AA249" s="406"/>
      <c r="AB249" s="406"/>
      <c r="AC249" s="406"/>
    </row>
    <row r="250" spans="1:68" ht="16.5" customHeight="1" x14ac:dyDescent="0.25">
      <c r="A250" s="434" t="s">
        <v>406</v>
      </c>
      <c r="B250" s="420"/>
      <c r="C250" s="420"/>
      <c r="D250" s="420"/>
      <c r="E250" s="420"/>
      <c r="F250" s="420"/>
      <c r="G250" s="420"/>
      <c r="H250" s="420"/>
      <c r="I250" s="420"/>
      <c r="J250" s="420"/>
      <c r="K250" s="420"/>
      <c r="L250" s="420"/>
      <c r="M250" s="420"/>
      <c r="N250" s="420"/>
      <c r="O250" s="420"/>
      <c r="P250" s="420"/>
      <c r="Q250" s="420"/>
      <c r="R250" s="420"/>
      <c r="S250" s="420"/>
      <c r="T250" s="420"/>
      <c r="U250" s="420"/>
      <c r="V250" s="420"/>
      <c r="W250" s="420"/>
      <c r="X250" s="420"/>
      <c r="Y250" s="420"/>
      <c r="Z250" s="420"/>
      <c r="AA250" s="398"/>
      <c r="AB250" s="398"/>
      <c r="AC250" s="398"/>
    </row>
    <row r="251" spans="1:68" ht="14.25" customHeight="1" x14ac:dyDescent="0.25">
      <c r="A251" s="422" t="s">
        <v>66</v>
      </c>
      <c r="B251" s="420"/>
      <c r="C251" s="420"/>
      <c r="D251" s="420"/>
      <c r="E251" s="420"/>
      <c r="F251" s="420"/>
      <c r="G251" s="420"/>
      <c r="H251" s="420"/>
      <c r="I251" s="420"/>
      <c r="J251" s="420"/>
      <c r="K251" s="420"/>
      <c r="L251" s="420"/>
      <c r="M251" s="420"/>
      <c r="N251" s="420"/>
      <c r="O251" s="420"/>
      <c r="P251" s="420"/>
      <c r="Q251" s="420"/>
      <c r="R251" s="420"/>
      <c r="S251" s="420"/>
      <c r="T251" s="420"/>
      <c r="U251" s="420"/>
      <c r="V251" s="420"/>
      <c r="W251" s="420"/>
      <c r="X251" s="420"/>
      <c r="Y251" s="420"/>
      <c r="Z251" s="420"/>
      <c r="AA251" s="399"/>
      <c r="AB251" s="399"/>
      <c r="AC251" s="399"/>
    </row>
    <row r="252" spans="1:68" ht="27" customHeight="1" x14ac:dyDescent="0.25">
      <c r="A252" s="55" t="s">
        <v>407</v>
      </c>
      <c r="B252" s="55" t="s">
        <v>408</v>
      </c>
      <c r="C252" s="32">
        <v>4301051489</v>
      </c>
      <c r="D252" s="411">
        <v>4607091387919</v>
      </c>
      <c r="E252" s="412"/>
      <c r="F252" s="402">
        <v>1.35</v>
      </c>
      <c r="G252" s="33">
        <v>6</v>
      </c>
      <c r="H252" s="402">
        <v>8.1</v>
      </c>
      <c r="I252" s="402">
        <v>8.6189999999999998</v>
      </c>
      <c r="J252" s="33">
        <v>64</v>
      </c>
      <c r="K252" s="33" t="s">
        <v>89</v>
      </c>
      <c r="L252" s="33"/>
      <c r="M252" s="34" t="s">
        <v>112</v>
      </c>
      <c r="N252" s="34"/>
      <c r="O252" s="33">
        <v>45</v>
      </c>
      <c r="P252" s="4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2" s="408"/>
      <c r="R252" s="408"/>
      <c r="S252" s="408"/>
      <c r="T252" s="409"/>
      <c r="U252" s="35"/>
      <c r="V252" s="35"/>
      <c r="W252" s="36" t="s">
        <v>71</v>
      </c>
      <c r="X252" s="403">
        <v>0</v>
      </c>
      <c r="Y252" s="404">
        <f>IFERROR(IF(X252="",0,CEILING((X252/$H252),1)*$H252),"")</f>
        <v>0</v>
      </c>
      <c r="Z252" s="37" t="str">
        <f>IFERROR(IF(Y252=0,"",ROUNDUP(Y252/H252,0)*0.01898),"")</f>
        <v/>
      </c>
      <c r="AA252" s="57"/>
      <c r="AB252" s="58"/>
      <c r="AC252" s="292" t="s">
        <v>409</v>
      </c>
      <c r="AG252" s="65"/>
      <c r="AJ252" s="69"/>
      <c r="AK252" s="69">
        <v>0</v>
      </c>
      <c r="BB252" s="293" t="s">
        <v>1</v>
      </c>
      <c r="BM252" s="65">
        <f>IFERROR(X252*I252/H252,"0")</f>
        <v>0</v>
      </c>
      <c r="BN252" s="65">
        <f>IFERROR(Y252*I252/H252,"0")</f>
        <v>0</v>
      </c>
      <c r="BO252" s="65">
        <f>IFERROR(1/J252*(X252/H252),"0")</f>
        <v>0</v>
      </c>
      <c r="BP252" s="65">
        <f>IFERROR(1/J252*(Y252/H252),"0")</f>
        <v>0</v>
      </c>
    </row>
    <row r="253" spans="1:68" ht="27" customHeight="1" x14ac:dyDescent="0.25">
      <c r="A253" s="55" t="s">
        <v>410</v>
      </c>
      <c r="B253" s="55" t="s">
        <v>411</v>
      </c>
      <c r="C253" s="32">
        <v>4301051461</v>
      </c>
      <c r="D253" s="411">
        <v>4680115883604</v>
      </c>
      <c r="E253" s="412"/>
      <c r="F253" s="402">
        <v>0.35</v>
      </c>
      <c r="G253" s="33">
        <v>6</v>
      </c>
      <c r="H253" s="402">
        <v>2.1</v>
      </c>
      <c r="I253" s="402">
        <v>2.3519999999999999</v>
      </c>
      <c r="J253" s="33">
        <v>182</v>
      </c>
      <c r="K253" s="33" t="s">
        <v>69</v>
      </c>
      <c r="L253" s="33"/>
      <c r="M253" s="34" t="s">
        <v>95</v>
      </c>
      <c r="N253" s="34"/>
      <c r="O253" s="33">
        <v>45</v>
      </c>
      <c r="P253" s="6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3" s="408"/>
      <c r="R253" s="408"/>
      <c r="S253" s="408"/>
      <c r="T253" s="409"/>
      <c r="U253" s="35"/>
      <c r="V253" s="35"/>
      <c r="W253" s="36" t="s">
        <v>71</v>
      </c>
      <c r="X253" s="403">
        <v>80</v>
      </c>
      <c r="Y253" s="404">
        <f>IFERROR(IF(X253="",0,CEILING((X253/$H253),1)*$H253),"")</f>
        <v>81.900000000000006</v>
      </c>
      <c r="Z253" s="37">
        <f>IFERROR(IF(Y253=0,"",ROUNDUP(Y253/H253,0)*0.00651),"")</f>
        <v>0.25389</v>
      </c>
      <c r="AA253" s="57"/>
      <c r="AB253" s="58"/>
      <c r="AC253" s="294" t="s">
        <v>412</v>
      </c>
      <c r="AG253" s="65"/>
      <c r="AJ253" s="69"/>
      <c r="AK253" s="69">
        <v>0</v>
      </c>
      <c r="BB253" s="295" t="s">
        <v>1</v>
      </c>
      <c r="BM253" s="65">
        <f>IFERROR(X253*I253/H253,"0")</f>
        <v>89.6</v>
      </c>
      <c r="BN253" s="65">
        <f>IFERROR(Y253*I253/H253,"0")</f>
        <v>91.728000000000009</v>
      </c>
      <c r="BO253" s="65">
        <f>IFERROR(1/J253*(X253/H253),"0")</f>
        <v>0.20931449502878074</v>
      </c>
      <c r="BP253" s="65">
        <f>IFERROR(1/J253*(Y253/H253),"0")</f>
        <v>0.2142857142857143</v>
      </c>
    </row>
    <row r="254" spans="1:68" x14ac:dyDescent="0.2">
      <c r="A254" s="419"/>
      <c r="B254" s="420"/>
      <c r="C254" s="420"/>
      <c r="D254" s="420"/>
      <c r="E254" s="420"/>
      <c r="F254" s="420"/>
      <c r="G254" s="420"/>
      <c r="H254" s="420"/>
      <c r="I254" s="420"/>
      <c r="J254" s="420"/>
      <c r="K254" s="420"/>
      <c r="L254" s="420"/>
      <c r="M254" s="420"/>
      <c r="N254" s="420"/>
      <c r="O254" s="421"/>
      <c r="P254" s="415" t="s">
        <v>76</v>
      </c>
      <c r="Q254" s="416"/>
      <c r="R254" s="416"/>
      <c r="S254" s="416"/>
      <c r="T254" s="416"/>
      <c r="U254" s="416"/>
      <c r="V254" s="417"/>
      <c r="W254" s="38" t="s">
        <v>77</v>
      </c>
      <c r="X254" s="405">
        <f>IFERROR(X252/H252,"0")+IFERROR(X253/H253,"0")</f>
        <v>38.095238095238095</v>
      </c>
      <c r="Y254" s="405">
        <f>IFERROR(Y252/H252,"0")+IFERROR(Y253/H253,"0")</f>
        <v>39</v>
      </c>
      <c r="Z254" s="405">
        <f>IFERROR(IF(Z252="",0,Z252),"0")+IFERROR(IF(Z253="",0,Z253),"0")</f>
        <v>0.25389</v>
      </c>
      <c r="AA254" s="406"/>
      <c r="AB254" s="406"/>
      <c r="AC254" s="406"/>
    </row>
    <row r="255" spans="1:68" x14ac:dyDescent="0.2">
      <c r="A255" s="420"/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0"/>
      <c r="N255" s="420"/>
      <c r="O255" s="421"/>
      <c r="P255" s="415" t="s">
        <v>76</v>
      </c>
      <c r="Q255" s="416"/>
      <c r="R255" s="416"/>
      <c r="S255" s="416"/>
      <c r="T255" s="416"/>
      <c r="U255" s="416"/>
      <c r="V255" s="417"/>
      <c r="W255" s="38" t="s">
        <v>71</v>
      </c>
      <c r="X255" s="405">
        <f>IFERROR(SUM(X252:X253),"0")</f>
        <v>80</v>
      </c>
      <c r="Y255" s="405">
        <f>IFERROR(SUM(Y252:Y253),"0")</f>
        <v>81.900000000000006</v>
      </c>
      <c r="Z255" s="38"/>
      <c r="AA255" s="406"/>
      <c r="AB255" s="406"/>
      <c r="AC255" s="406"/>
    </row>
    <row r="256" spans="1:68" ht="27.75" customHeight="1" x14ac:dyDescent="0.2">
      <c r="A256" s="461" t="s">
        <v>413</v>
      </c>
      <c r="B256" s="462"/>
      <c r="C256" s="462"/>
      <c r="D256" s="462"/>
      <c r="E256" s="462"/>
      <c r="F256" s="462"/>
      <c r="G256" s="462"/>
      <c r="H256" s="462"/>
      <c r="I256" s="462"/>
      <c r="J256" s="462"/>
      <c r="K256" s="462"/>
      <c r="L256" s="462"/>
      <c r="M256" s="462"/>
      <c r="N256" s="462"/>
      <c r="O256" s="462"/>
      <c r="P256" s="462"/>
      <c r="Q256" s="462"/>
      <c r="R256" s="462"/>
      <c r="S256" s="462"/>
      <c r="T256" s="462"/>
      <c r="U256" s="462"/>
      <c r="V256" s="462"/>
      <c r="W256" s="462"/>
      <c r="X256" s="462"/>
      <c r="Y256" s="462"/>
      <c r="Z256" s="462"/>
      <c r="AA256" s="49"/>
      <c r="AB256" s="49"/>
      <c r="AC256" s="49"/>
    </row>
    <row r="257" spans="1:68" ht="16.5" customHeight="1" x14ac:dyDescent="0.25">
      <c r="A257" s="434" t="s">
        <v>414</v>
      </c>
      <c r="B257" s="420"/>
      <c r="C257" s="420"/>
      <c r="D257" s="420"/>
      <c r="E257" s="420"/>
      <c r="F257" s="420"/>
      <c r="G257" s="420"/>
      <c r="H257" s="420"/>
      <c r="I257" s="420"/>
      <c r="J257" s="420"/>
      <c r="K257" s="420"/>
      <c r="L257" s="420"/>
      <c r="M257" s="420"/>
      <c r="N257" s="420"/>
      <c r="O257" s="420"/>
      <c r="P257" s="420"/>
      <c r="Q257" s="420"/>
      <c r="R257" s="420"/>
      <c r="S257" s="420"/>
      <c r="T257" s="420"/>
      <c r="U257" s="420"/>
      <c r="V257" s="420"/>
      <c r="W257" s="420"/>
      <c r="X257" s="420"/>
      <c r="Y257" s="420"/>
      <c r="Z257" s="420"/>
      <c r="AA257" s="398"/>
      <c r="AB257" s="398"/>
      <c r="AC257" s="398"/>
    </row>
    <row r="258" spans="1:68" ht="14.25" customHeight="1" x14ac:dyDescent="0.25">
      <c r="A258" s="422" t="s">
        <v>86</v>
      </c>
      <c r="B258" s="420"/>
      <c r="C258" s="420"/>
      <c r="D258" s="420"/>
      <c r="E258" s="420"/>
      <c r="F258" s="420"/>
      <c r="G258" s="420"/>
      <c r="H258" s="420"/>
      <c r="I258" s="420"/>
      <c r="J258" s="420"/>
      <c r="K258" s="420"/>
      <c r="L258" s="420"/>
      <c r="M258" s="420"/>
      <c r="N258" s="420"/>
      <c r="O258" s="420"/>
      <c r="P258" s="420"/>
      <c r="Q258" s="420"/>
      <c r="R258" s="420"/>
      <c r="S258" s="420"/>
      <c r="T258" s="420"/>
      <c r="U258" s="420"/>
      <c r="V258" s="420"/>
      <c r="W258" s="420"/>
      <c r="X258" s="420"/>
      <c r="Y258" s="420"/>
      <c r="Z258" s="420"/>
      <c r="AA258" s="399"/>
      <c r="AB258" s="399"/>
      <c r="AC258" s="399"/>
    </row>
    <row r="259" spans="1:68" ht="37.5" customHeight="1" x14ac:dyDescent="0.25">
      <c r="A259" s="55" t="s">
        <v>415</v>
      </c>
      <c r="B259" s="55" t="s">
        <v>416</v>
      </c>
      <c r="C259" s="32">
        <v>4301011869</v>
      </c>
      <c r="D259" s="411">
        <v>4680115884847</v>
      </c>
      <c r="E259" s="412"/>
      <c r="F259" s="402">
        <v>2.5</v>
      </c>
      <c r="G259" s="33">
        <v>6</v>
      </c>
      <c r="H259" s="402">
        <v>15</v>
      </c>
      <c r="I259" s="402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9" s="408"/>
      <c r="R259" s="408"/>
      <c r="S259" s="408"/>
      <c r="T259" s="409"/>
      <c r="U259" s="35"/>
      <c r="V259" s="35"/>
      <c r="W259" s="36" t="s">
        <v>71</v>
      </c>
      <c r="X259" s="403">
        <v>650</v>
      </c>
      <c r="Y259" s="404">
        <f t="shared" ref="Y259:Y264" si="25">IFERROR(IF(X259="",0,CEILING((X259/$H259),1)*$H259),"")</f>
        <v>660</v>
      </c>
      <c r="Z259" s="37">
        <f>IFERROR(IF(Y259=0,"",ROUNDUP(Y259/H259,0)*0.02175),"")</f>
        <v>0.95699999999999996</v>
      </c>
      <c r="AA259" s="57"/>
      <c r="AB259" s="58"/>
      <c r="AC259" s="296" t="s">
        <v>417</v>
      </c>
      <c r="AG259" s="65"/>
      <c r="AJ259" s="69"/>
      <c r="AK259" s="69">
        <v>0</v>
      </c>
      <c r="BB259" s="297" t="s">
        <v>1</v>
      </c>
      <c r="BM259" s="65">
        <f t="shared" ref="BM259:BM264" si="26">IFERROR(X259*I259/H259,"0")</f>
        <v>670.8</v>
      </c>
      <c r="BN259" s="65">
        <f t="shared" ref="BN259:BN264" si="27">IFERROR(Y259*I259/H259,"0")</f>
        <v>681.12000000000012</v>
      </c>
      <c r="BO259" s="65">
        <f t="shared" ref="BO259:BO264" si="28">IFERROR(1/J259*(X259/H259),"0")</f>
        <v>0.90277777777777779</v>
      </c>
      <c r="BP259" s="65">
        <f t="shared" ref="BP259:BP264" si="29">IFERROR(1/J259*(Y259/H259),"0")</f>
        <v>0.91666666666666663</v>
      </c>
    </row>
    <row r="260" spans="1:68" ht="27" customHeight="1" x14ac:dyDescent="0.25">
      <c r="A260" s="55" t="s">
        <v>418</v>
      </c>
      <c r="B260" s="55" t="s">
        <v>419</v>
      </c>
      <c r="C260" s="32">
        <v>4301011870</v>
      </c>
      <c r="D260" s="411">
        <v>4680115884854</v>
      </c>
      <c r="E260" s="412"/>
      <c r="F260" s="402">
        <v>2.5</v>
      </c>
      <c r="G260" s="33">
        <v>6</v>
      </c>
      <c r="H260" s="402">
        <v>15</v>
      </c>
      <c r="I260" s="402">
        <v>15.48</v>
      </c>
      <c r="J260" s="33">
        <v>48</v>
      </c>
      <c r="K260" s="33" t="s">
        <v>89</v>
      </c>
      <c r="L260" s="33"/>
      <c r="M260" s="34" t="s">
        <v>70</v>
      </c>
      <c r="N260" s="34"/>
      <c r="O260" s="33">
        <v>60</v>
      </c>
      <c r="P260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60" s="408"/>
      <c r="R260" s="408"/>
      <c r="S260" s="408"/>
      <c r="T260" s="409"/>
      <c r="U260" s="35"/>
      <c r="V260" s="35"/>
      <c r="W260" s="36" t="s">
        <v>71</v>
      </c>
      <c r="X260" s="403">
        <v>300</v>
      </c>
      <c r="Y260" s="404">
        <f t="shared" si="25"/>
        <v>300</v>
      </c>
      <c r="Z260" s="37">
        <f>IFERROR(IF(Y260=0,"",ROUNDUP(Y260/H260,0)*0.02175),"")</f>
        <v>0.43499999999999994</v>
      </c>
      <c r="AA260" s="57"/>
      <c r="AB260" s="58"/>
      <c r="AC260" s="298" t="s">
        <v>420</v>
      </c>
      <c r="AG260" s="65"/>
      <c r="AJ260" s="69"/>
      <c r="AK260" s="69">
        <v>0</v>
      </c>
      <c r="BB260" s="299" t="s">
        <v>1</v>
      </c>
      <c r="BM260" s="65">
        <f t="shared" si="26"/>
        <v>309.60000000000002</v>
      </c>
      <c r="BN260" s="65">
        <f t="shared" si="27"/>
        <v>309.60000000000002</v>
      </c>
      <c r="BO260" s="65">
        <f t="shared" si="28"/>
        <v>0.41666666666666663</v>
      </c>
      <c r="BP260" s="65">
        <f t="shared" si="29"/>
        <v>0.41666666666666663</v>
      </c>
    </row>
    <row r="261" spans="1:68" ht="37.5" customHeight="1" x14ac:dyDescent="0.25">
      <c r="A261" s="55" t="s">
        <v>421</v>
      </c>
      <c r="B261" s="55" t="s">
        <v>422</v>
      </c>
      <c r="C261" s="32">
        <v>4301011867</v>
      </c>
      <c r="D261" s="411">
        <v>4680115884830</v>
      </c>
      <c r="E261" s="412"/>
      <c r="F261" s="402">
        <v>2.5</v>
      </c>
      <c r="G261" s="33">
        <v>6</v>
      </c>
      <c r="H261" s="402">
        <v>15</v>
      </c>
      <c r="I261" s="402">
        <v>15.48</v>
      </c>
      <c r="J261" s="33">
        <v>48</v>
      </c>
      <c r="K261" s="33" t="s">
        <v>89</v>
      </c>
      <c r="L261" s="33"/>
      <c r="M261" s="34" t="s">
        <v>70</v>
      </c>
      <c r="N261" s="34"/>
      <c r="O261" s="33">
        <v>60</v>
      </c>
      <c r="P261" s="5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1" s="408"/>
      <c r="R261" s="408"/>
      <c r="S261" s="408"/>
      <c r="T261" s="409"/>
      <c r="U261" s="35"/>
      <c r="V261" s="35"/>
      <c r="W261" s="36" t="s">
        <v>71</v>
      </c>
      <c r="X261" s="403">
        <v>450</v>
      </c>
      <c r="Y261" s="404">
        <f t="shared" si="25"/>
        <v>450</v>
      </c>
      <c r="Z261" s="37">
        <f>IFERROR(IF(Y261=0,"",ROUNDUP(Y261/H261,0)*0.02175),"")</f>
        <v>0.65249999999999997</v>
      </c>
      <c r="AA261" s="57"/>
      <c r="AB261" s="58"/>
      <c r="AC261" s="300" t="s">
        <v>423</v>
      </c>
      <c r="AG261" s="65"/>
      <c r="AJ261" s="69"/>
      <c r="AK261" s="69">
        <v>0</v>
      </c>
      <c r="BB261" s="301" t="s">
        <v>1</v>
      </c>
      <c r="BM261" s="65">
        <f t="shared" si="26"/>
        <v>464.4</v>
      </c>
      <c r="BN261" s="65">
        <f t="shared" si="27"/>
        <v>464.4</v>
      </c>
      <c r="BO261" s="65">
        <f t="shared" si="28"/>
        <v>0.625</v>
      </c>
      <c r="BP261" s="65">
        <f t="shared" si="29"/>
        <v>0.625</v>
      </c>
    </row>
    <row r="262" spans="1:68" ht="27" customHeight="1" x14ac:dyDescent="0.25">
      <c r="A262" s="55" t="s">
        <v>424</v>
      </c>
      <c r="B262" s="55" t="s">
        <v>425</v>
      </c>
      <c r="C262" s="32">
        <v>4301011433</v>
      </c>
      <c r="D262" s="411">
        <v>4680115882638</v>
      </c>
      <c r="E262" s="412"/>
      <c r="F262" s="402">
        <v>0.4</v>
      </c>
      <c r="G262" s="33">
        <v>10</v>
      </c>
      <c r="H262" s="402">
        <v>4</v>
      </c>
      <c r="I262" s="402">
        <v>4.21</v>
      </c>
      <c r="J262" s="33">
        <v>132</v>
      </c>
      <c r="K262" s="33" t="s">
        <v>94</v>
      </c>
      <c r="L262" s="33"/>
      <c r="M262" s="34" t="s">
        <v>90</v>
      </c>
      <c r="N262" s="34"/>
      <c r="O262" s="33">
        <v>90</v>
      </c>
      <c r="P262" s="6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2" s="408"/>
      <c r="R262" s="408"/>
      <c r="S262" s="408"/>
      <c r="T262" s="409"/>
      <c r="U262" s="35"/>
      <c r="V262" s="35"/>
      <c r="W262" s="36" t="s">
        <v>71</v>
      </c>
      <c r="X262" s="403">
        <v>0</v>
      </c>
      <c r="Y262" s="404">
        <f t="shared" si="25"/>
        <v>0</v>
      </c>
      <c r="Z262" s="37" t="str">
        <f>IFERROR(IF(Y262=0,"",ROUNDUP(Y262/H262,0)*0.00902),"")</f>
        <v/>
      </c>
      <c r="AA262" s="57"/>
      <c r="AB262" s="58"/>
      <c r="AC262" s="302" t="s">
        <v>426</v>
      </c>
      <c r="AG262" s="65"/>
      <c r="AJ262" s="69"/>
      <c r="AK262" s="69">
        <v>0</v>
      </c>
      <c r="BB262" s="303" t="s">
        <v>1</v>
      </c>
      <c r="BM262" s="65">
        <f t="shared" si="26"/>
        <v>0</v>
      </c>
      <c r="BN262" s="65">
        <f t="shared" si="27"/>
        <v>0</v>
      </c>
      <c r="BO262" s="65">
        <f t="shared" si="28"/>
        <v>0</v>
      </c>
      <c r="BP262" s="65">
        <f t="shared" si="29"/>
        <v>0</v>
      </c>
    </row>
    <row r="263" spans="1:68" ht="27" customHeight="1" x14ac:dyDescent="0.25">
      <c r="A263" s="55" t="s">
        <v>427</v>
      </c>
      <c r="B263" s="55" t="s">
        <v>428</v>
      </c>
      <c r="C263" s="32">
        <v>4301011952</v>
      </c>
      <c r="D263" s="411">
        <v>4680115884922</v>
      </c>
      <c r="E263" s="412"/>
      <c r="F263" s="402">
        <v>0.5</v>
      </c>
      <c r="G263" s="33">
        <v>10</v>
      </c>
      <c r="H263" s="402">
        <v>5</v>
      </c>
      <c r="I263" s="402">
        <v>5.21</v>
      </c>
      <c r="J263" s="33">
        <v>132</v>
      </c>
      <c r="K263" s="33" t="s">
        <v>94</v>
      </c>
      <c r="L263" s="33"/>
      <c r="M263" s="34" t="s">
        <v>70</v>
      </c>
      <c r="N263" s="34"/>
      <c r="O263" s="33">
        <v>60</v>
      </c>
      <c r="P263" s="64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3" s="408"/>
      <c r="R263" s="408"/>
      <c r="S263" s="408"/>
      <c r="T263" s="409"/>
      <c r="U263" s="35"/>
      <c r="V263" s="35"/>
      <c r="W263" s="36" t="s">
        <v>71</v>
      </c>
      <c r="X263" s="403">
        <v>0</v>
      </c>
      <c r="Y263" s="404">
        <f t="shared" si="25"/>
        <v>0</v>
      </c>
      <c r="Z263" s="37" t="str">
        <f>IFERROR(IF(Y263=0,"",ROUNDUP(Y263/H263,0)*0.00902),"")</f>
        <v/>
      </c>
      <c r="AA263" s="57"/>
      <c r="AB263" s="58"/>
      <c r="AC263" s="304" t="s">
        <v>420</v>
      </c>
      <c r="AG263" s="65"/>
      <c r="AJ263" s="69"/>
      <c r="AK263" s="69">
        <v>0</v>
      </c>
      <c r="BB263" s="305" t="s">
        <v>1</v>
      </c>
      <c r="BM263" s="65">
        <f t="shared" si="26"/>
        <v>0</v>
      </c>
      <c r="BN263" s="65">
        <f t="shared" si="27"/>
        <v>0</v>
      </c>
      <c r="BO263" s="65">
        <f t="shared" si="28"/>
        <v>0</v>
      </c>
      <c r="BP263" s="65">
        <f t="shared" si="29"/>
        <v>0</v>
      </c>
    </row>
    <row r="264" spans="1:68" ht="37.5" customHeight="1" x14ac:dyDescent="0.25">
      <c r="A264" s="55" t="s">
        <v>429</v>
      </c>
      <c r="B264" s="55" t="s">
        <v>430</v>
      </c>
      <c r="C264" s="32">
        <v>4301011868</v>
      </c>
      <c r="D264" s="411">
        <v>4680115884861</v>
      </c>
      <c r="E264" s="412"/>
      <c r="F264" s="402">
        <v>0.5</v>
      </c>
      <c r="G264" s="33">
        <v>10</v>
      </c>
      <c r="H264" s="402">
        <v>5</v>
      </c>
      <c r="I264" s="402">
        <v>5.21</v>
      </c>
      <c r="J264" s="33">
        <v>132</v>
      </c>
      <c r="K264" s="33" t="s">
        <v>94</v>
      </c>
      <c r="L264" s="33"/>
      <c r="M264" s="34" t="s">
        <v>70</v>
      </c>
      <c r="N264" s="34"/>
      <c r="O264" s="33">
        <v>60</v>
      </c>
      <c r="P264" s="5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4" s="408"/>
      <c r="R264" s="408"/>
      <c r="S264" s="408"/>
      <c r="T264" s="409"/>
      <c r="U264" s="35"/>
      <c r="V264" s="35"/>
      <c r="W264" s="36" t="s">
        <v>71</v>
      </c>
      <c r="X264" s="403">
        <v>0</v>
      </c>
      <c r="Y264" s="404">
        <f t="shared" si="25"/>
        <v>0</v>
      </c>
      <c r="Z264" s="37" t="str">
        <f>IFERROR(IF(Y264=0,"",ROUNDUP(Y264/H264,0)*0.00902),"")</f>
        <v/>
      </c>
      <c r="AA264" s="57"/>
      <c r="AB264" s="58"/>
      <c r="AC264" s="306" t="s">
        <v>423</v>
      </c>
      <c r="AG264" s="65"/>
      <c r="AJ264" s="69"/>
      <c r="AK264" s="69">
        <v>0</v>
      </c>
      <c r="BB264" s="307" t="s">
        <v>1</v>
      </c>
      <c r="BM264" s="65">
        <f t="shared" si="26"/>
        <v>0</v>
      </c>
      <c r="BN264" s="65">
        <f t="shared" si="27"/>
        <v>0</v>
      </c>
      <c r="BO264" s="65">
        <f t="shared" si="28"/>
        <v>0</v>
      </c>
      <c r="BP264" s="65">
        <f t="shared" si="29"/>
        <v>0</v>
      </c>
    </row>
    <row r="265" spans="1:68" x14ac:dyDescent="0.2">
      <c r="A265" s="419"/>
      <c r="B265" s="420"/>
      <c r="C265" s="420"/>
      <c r="D265" s="420"/>
      <c r="E265" s="420"/>
      <c r="F265" s="420"/>
      <c r="G265" s="420"/>
      <c r="H265" s="420"/>
      <c r="I265" s="420"/>
      <c r="J265" s="420"/>
      <c r="K265" s="420"/>
      <c r="L265" s="420"/>
      <c r="M265" s="420"/>
      <c r="N265" s="420"/>
      <c r="O265" s="421"/>
      <c r="P265" s="415" t="s">
        <v>76</v>
      </c>
      <c r="Q265" s="416"/>
      <c r="R265" s="416"/>
      <c r="S265" s="416"/>
      <c r="T265" s="416"/>
      <c r="U265" s="416"/>
      <c r="V265" s="417"/>
      <c r="W265" s="38" t="s">
        <v>77</v>
      </c>
      <c r="X265" s="405">
        <f>IFERROR(X259/H259,"0")+IFERROR(X260/H260,"0")+IFERROR(X261/H261,"0")+IFERROR(X262/H262,"0")+IFERROR(X263/H263,"0")+IFERROR(X264/H264,"0")</f>
        <v>93.333333333333343</v>
      </c>
      <c r="Y265" s="405">
        <f>IFERROR(Y259/H259,"0")+IFERROR(Y260/H260,"0")+IFERROR(Y261/H261,"0")+IFERROR(Y262/H262,"0")+IFERROR(Y263/H263,"0")+IFERROR(Y264/H264,"0")</f>
        <v>94</v>
      </c>
      <c r="Z265" s="405">
        <f>IFERROR(IF(Z259="",0,Z259),"0")+IFERROR(IF(Z260="",0,Z260),"0")+IFERROR(IF(Z261="",0,Z261),"0")+IFERROR(IF(Z262="",0,Z262),"0")+IFERROR(IF(Z263="",0,Z263),"0")+IFERROR(IF(Z264="",0,Z264),"0")</f>
        <v>2.0444999999999998</v>
      </c>
      <c r="AA265" s="406"/>
      <c r="AB265" s="406"/>
      <c r="AC265" s="406"/>
    </row>
    <row r="266" spans="1:68" x14ac:dyDescent="0.2">
      <c r="A266" s="420"/>
      <c r="B266" s="420"/>
      <c r="C266" s="420"/>
      <c r="D266" s="420"/>
      <c r="E266" s="420"/>
      <c r="F266" s="420"/>
      <c r="G266" s="420"/>
      <c r="H266" s="420"/>
      <c r="I266" s="420"/>
      <c r="J266" s="420"/>
      <c r="K266" s="420"/>
      <c r="L266" s="420"/>
      <c r="M266" s="420"/>
      <c r="N266" s="420"/>
      <c r="O266" s="421"/>
      <c r="P266" s="415" t="s">
        <v>76</v>
      </c>
      <c r="Q266" s="416"/>
      <c r="R266" s="416"/>
      <c r="S266" s="416"/>
      <c r="T266" s="416"/>
      <c r="U266" s="416"/>
      <c r="V266" s="417"/>
      <c r="W266" s="38" t="s">
        <v>71</v>
      </c>
      <c r="X266" s="405">
        <f>IFERROR(SUM(X259:X264),"0")</f>
        <v>1400</v>
      </c>
      <c r="Y266" s="405">
        <f>IFERROR(SUM(Y259:Y264),"0")</f>
        <v>1410</v>
      </c>
      <c r="Z266" s="38"/>
      <c r="AA266" s="406"/>
      <c r="AB266" s="406"/>
      <c r="AC266" s="406"/>
    </row>
    <row r="267" spans="1:68" ht="14.25" customHeight="1" x14ac:dyDescent="0.25">
      <c r="A267" s="422" t="s">
        <v>117</v>
      </c>
      <c r="B267" s="420"/>
      <c r="C267" s="420"/>
      <c r="D267" s="420"/>
      <c r="E267" s="420"/>
      <c r="F267" s="420"/>
      <c r="G267" s="420"/>
      <c r="H267" s="420"/>
      <c r="I267" s="420"/>
      <c r="J267" s="420"/>
      <c r="K267" s="420"/>
      <c r="L267" s="420"/>
      <c r="M267" s="420"/>
      <c r="N267" s="420"/>
      <c r="O267" s="420"/>
      <c r="P267" s="420"/>
      <c r="Q267" s="420"/>
      <c r="R267" s="420"/>
      <c r="S267" s="420"/>
      <c r="T267" s="420"/>
      <c r="U267" s="420"/>
      <c r="V267" s="420"/>
      <c r="W267" s="420"/>
      <c r="X267" s="420"/>
      <c r="Y267" s="420"/>
      <c r="Z267" s="420"/>
      <c r="AA267" s="399"/>
      <c r="AB267" s="399"/>
      <c r="AC267" s="399"/>
    </row>
    <row r="268" spans="1:68" ht="27" customHeight="1" x14ac:dyDescent="0.25">
      <c r="A268" s="55" t="s">
        <v>431</v>
      </c>
      <c r="B268" s="55" t="s">
        <v>432</v>
      </c>
      <c r="C268" s="32">
        <v>4301020178</v>
      </c>
      <c r="D268" s="411">
        <v>4607091383980</v>
      </c>
      <c r="E268" s="412"/>
      <c r="F268" s="402">
        <v>2.5</v>
      </c>
      <c r="G268" s="33">
        <v>6</v>
      </c>
      <c r="H268" s="402">
        <v>15</v>
      </c>
      <c r="I268" s="402">
        <v>15.48</v>
      </c>
      <c r="J268" s="33">
        <v>48</v>
      </c>
      <c r="K268" s="33" t="s">
        <v>89</v>
      </c>
      <c r="L268" s="33"/>
      <c r="M268" s="34" t="s">
        <v>90</v>
      </c>
      <c r="N268" s="34"/>
      <c r="O268" s="33">
        <v>50</v>
      </c>
      <c r="P268" s="4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8" s="408"/>
      <c r="R268" s="408"/>
      <c r="S268" s="408"/>
      <c r="T268" s="409"/>
      <c r="U268" s="35"/>
      <c r="V268" s="35"/>
      <c r="W268" s="36" t="s">
        <v>71</v>
      </c>
      <c r="X268" s="403">
        <v>400</v>
      </c>
      <c r="Y268" s="404">
        <f>IFERROR(IF(X268="",0,CEILING((X268/$H268),1)*$H268),"")</f>
        <v>405</v>
      </c>
      <c r="Z268" s="37">
        <f>IFERROR(IF(Y268=0,"",ROUNDUP(Y268/H268,0)*0.02175),"")</f>
        <v>0.58724999999999994</v>
      </c>
      <c r="AA268" s="57"/>
      <c r="AB268" s="58"/>
      <c r="AC268" s="308" t="s">
        <v>433</v>
      </c>
      <c r="AG268" s="65"/>
      <c r="AJ268" s="69"/>
      <c r="AK268" s="69">
        <v>0</v>
      </c>
      <c r="BB268" s="309" t="s">
        <v>1</v>
      </c>
      <c r="BM268" s="65">
        <f>IFERROR(X268*I268/H268,"0")</f>
        <v>412.8</v>
      </c>
      <c r="BN268" s="65">
        <f>IFERROR(Y268*I268/H268,"0")</f>
        <v>417.96000000000004</v>
      </c>
      <c r="BO268" s="65">
        <f>IFERROR(1/J268*(X268/H268),"0")</f>
        <v>0.55555555555555558</v>
      </c>
      <c r="BP268" s="65">
        <f>IFERROR(1/J268*(Y268/H268),"0")</f>
        <v>0.5625</v>
      </c>
    </row>
    <row r="269" spans="1:68" ht="16.5" customHeight="1" x14ac:dyDescent="0.25">
      <c r="A269" s="55" t="s">
        <v>434</v>
      </c>
      <c r="B269" s="55" t="s">
        <v>435</v>
      </c>
      <c r="C269" s="32">
        <v>4301020179</v>
      </c>
      <c r="D269" s="411">
        <v>4607091384178</v>
      </c>
      <c r="E269" s="412"/>
      <c r="F269" s="402">
        <v>0.4</v>
      </c>
      <c r="G269" s="33">
        <v>10</v>
      </c>
      <c r="H269" s="402">
        <v>4</v>
      </c>
      <c r="I269" s="402">
        <v>4.21</v>
      </c>
      <c r="J269" s="33">
        <v>132</v>
      </c>
      <c r="K269" s="33" t="s">
        <v>94</v>
      </c>
      <c r="L269" s="33"/>
      <c r="M269" s="34" t="s">
        <v>90</v>
      </c>
      <c r="N269" s="34"/>
      <c r="O269" s="33">
        <v>50</v>
      </c>
      <c r="P269" s="5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9" s="408"/>
      <c r="R269" s="408"/>
      <c r="S269" s="408"/>
      <c r="T269" s="409"/>
      <c r="U269" s="35"/>
      <c r="V269" s="35"/>
      <c r="W269" s="36" t="s">
        <v>71</v>
      </c>
      <c r="X269" s="403">
        <v>0</v>
      </c>
      <c r="Y269" s="404">
        <f>IFERROR(IF(X269="",0,CEILING((X269/$H269),1)*$H269),"")</f>
        <v>0</v>
      </c>
      <c r="Z269" s="37" t="str">
        <f>IFERROR(IF(Y269=0,"",ROUNDUP(Y269/H269,0)*0.00902),"")</f>
        <v/>
      </c>
      <c r="AA269" s="57"/>
      <c r="AB269" s="58"/>
      <c r="AC269" s="310" t="s">
        <v>433</v>
      </c>
      <c r="AG269" s="65"/>
      <c r="AJ269" s="69"/>
      <c r="AK269" s="69">
        <v>0</v>
      </c>
      <c r="BB269" s="311" t="s">
        <v>1</v>
      </c>
      <c r="BM269" s="65">
        <f>IFERROR(X269*I269/H269,"0")</f>
        <v>0</v>
      </c>
      <c r="BN269" s="65">
        <f>IFERROR(Y269*I269/H269,"0")</f>
        <v>0</v>
      </c>
      <c r="BO269" s="65">
        <f>IFERROR(1/J269*(X269/H269),"0")</f>
        <v>0</v>
      </c>
      <c r="BP269" s="65">
        <f>IFERROR(1/J269*(Y269/H269),"0")</f>
        <v>0</v>
      </c>
    </row>
    <row r="270" spans="1:68" x14ac:dyDescent="0.2">
      <c r="A270" s="419"/>
      <c r="B270" s="420"/>
      <c r="C270" s="420"/>
      <c r="D270" s="420"/>
      <c r="E270" s="420"/>
      <c r="F270" s="420"/>
      <c r="G270" s="420"/>
      <c r="H270" s="420"/>
      <c r="I270" s="420"/>
      <c r="J270" s="420"/>
      <c r="K270" s="420"/>
      <c r="L270" s="420"/>
      <c r="M270" s="420"/>
      <c r="N270" s="420"/>
      <c r="O270" s="421"/>
      <c r="P270" s="415" t="s">
        <v>76</v>
      </c>
      <c r="Q270" s="416"/>
      <c r="R270" s="416"/>
      <c r="S270" s="416"/>
      <c r="T270" s="416"/>
      <c r="U270" s="416"/>
      <c r="V270" s="417"/>
      <c r="W270" s="38" t="s">
        <v>77</v>
      </c>
      <c r="X270" s="405">
        <f>IFERROR(X268/H268,"0")+IFERROR(X269/H269,"0")</f>
        <v>26.666666666666668</v>
      </c>
      <c r="Y270" s="405">
        <f>IFERROR(Y268/H268,"0")+IFERROR(Y269/H269,"0")</f>
        <v>27</v>
      </c>
      <c r="Z270" s="405">
        <f>IFERROR(IF(Z268="",0,Z268),"0")+IFERROR(IF(Z269="",0,Z269),"0")</f>
        <v>0.58724999999999994</v>
      </c>
      <c r="AA270" s="406"/>
      <c r="AB270" s="406"/>
      <c r="AC270" s="406"/>
    </row>
    <row r="271" spans="1:68" x14ac:dyDescent="0.2">
      <c r="A271" s="420"/>
      <c r="B271" s="420"/>
      <c r="C271" s="420"/>
      <c r="D271" s="420"/>
      <c r="E271" s="420"/>
      <c r="F271" s="420"/>
      <c r="G271" s="420"/>
      <c r="H271" s="420"/>
      <c r="I271" s="420"/>
      <c r="J271" s="420"/>
      <c r="K271" s="420"/>
      <c r="L271" s="420"/>
      <c r="M271" s="420"/>
      <c r="N271" s="420"/>
      <c r="O271" s="421"/>
      <c r="P271" s="415" t="s">
        <v>76</v>
      </c>
      <c r="Q271" s="416"/>
      <c r="R271" s="416"/>
      <c r="S271" s="416"/>
      <c r="T271" s="416"/>
      <c r="U271" s="416"/>
      <c r="V271" s="417"/>
      <c r="W271" s="38" t="s">
        <v>71</v>
      </c>
      <c r="X271" s="405">
        <f>IFERROR(SUM(X268:X269),"0")</f>
        <v>400</v>
      </c>
      <c r="Y271" s="405">
        <f>IFERROR(SUM(Y268:Y269),"0")</f>
        <v>405</v>
      </c>
      <c r="Z271" s="38"/>
      <c r="AA271" s="406"/>
      <c r="AB271" s="406"/>
      <c r="AC271" s="406"/>
    </row>
    <row r="272" spans="1:68" ht="14.25" customHeight="1" x14ac:dyDescent="0.25">
      <c r="A272" s="422" t="s">
        <v>66</v>
      </c>
      <c r="B272" s="420"/>
      <c r="C272" s="420"/>
      <c r="D272" s="420"/>
      <c r="E272" s="420"/>
      <c r="F272" s="420"/>
      <c r="G272" s="420"/>
      <c r="H272" s="420"/>
      <c r="I272" s="420"/>
      <c r="J272" s="420"/>
      <c r="K272" s="420"/>
      <c r="L272" s="420"/>
      <c r="M272" s="420"/>
      <c r="N272" s="420"/>
      <c r="O272" s="420"/>
      <c r="P272" s="420"/>
      <c r="Q272" s="420"/>
      <c r="R272" s="420"/>
      <c r="S272" s="420"/>
      <c r="T272" s="420"/>
      <c r="U272" s="420"/>
      <c r="V272" s="420"/>
      <c r="W272" s="420"/>
      <c r="X272" s="420"/>
      <c r="Y272" s="420"/>
      <c r="Z272" s="420"/>
      <c r="AA272" s="399"/>
      <c r="AB272" s="399"/>
      <c r="AC272" s="399"/>
    </row>
    <row r="273" spans="1:68" ht="27" customHeight="1" x14ac:dyDescent="0.25">
      <c r="A273" s="55" t="s">
        <v>436</v>
      </c>
      <c r="B273" s="55" t="s">
        <v>437</v>
      </c>
      <c r="C273" s="32">
        <v>4301051903</v>
      </c>
      <c r="D273" s="411">
        <v>4607091383928</v>
      </c>
      <c r="E273" s="412"/>
      <c r="F273" s="402">
        <v>1.5</v>
      </c>
      <c r="G273" s="33">
        <v>6</v>
      </c>
      <c r="H273" s="402">
        <v>9</v>
      </c>
      <c r="I273" s="402">
        <v>9.5250000000000004</v>
      </c>
      <c r="J273" s="33">
        <v>64</v>
      </c>
      <c r="K273" s="33" t="s">
        <v>89</v>
      </c>
      <c r="L273" s="33"/>
      <c r="M273" s="34" t="s">
        <v>95</v>
      </c>
      <c r="N273" s="34"/>
      <c r="O273" s="33">
        <v>40</v>
      </c>
      <c r="P273" s="4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3" s="408"/>
      <c r="R273" s="408"/>
      <c r="S273" s="408"/>
      <c r="T273" s="409"/>
      <c r="U273" s="35"/>
      <c r="V273" s="35"/>
      <c r="W273" s="36" t="s">
        <v>71</v>
      </c>
      <c r="X273" s="403">
        <v>0</v>
      </c>
      <c r="Y273" s="404">
        <f>IFERROR(IF(X273="",0,CEILING((X273/$H273),1)*$H273),"")</f>
        <v>0</v>
      </c>
      <c r="Z273" s="37" t="str">
        <f>IFERROR(IF(Y273=0,"",ROUNDUP(Y273/H273,0)*0.01898),"")</f>
        <v/>
      </c>
      <c r="AA273" s="57"/>
      <c r="AB273" s="58"/>
      <c r="AC273" s="312" t="s">
        <v>438</v>
      </c>
      <c r="AG273" s="65"/>
      <c r="AJ273" s="69"/>
      <c r="AK273" s="69">
        <v>0</v>
      </c>
      <c r="BB273" s="313" t="s">
        <v>1</v>
      </c>
      <c r="BM273" s="65">
        <f>IFERROR(X273*I273/H273,"0")</f>
        <v>0</v>
      </c>
      <c r="BN273" s="65">
        <f>IFERROR(Y273*I273/H273,"0")</f>
        <v>0</v>
      </c>
      <c r="BO273" s="65">
        <f>IFERROR(1/J273*(X273/H273),"0")</f>
        <v>0</v>
      </c>
      <c r="BP273" s="65">
        <f>IFERROR(1/J273*(Y273/H273),"0")</f>
        <v>0</v>
      </c>
    </row>
    <row r="274" spans="1:68" ht="27" customHeight="1" x14ac:dyDescent="0.25">
      <c r="A274" s="55" t="s">
        <v>439</v>
      </c>
      <c r="B274" s="55" t="s">
        <v>440</v>
      </c>
      <c r="C274" s="32">
        <v>4301051897</v>
      </c>
      <c r="D274" s="411">
        <v>4607091384260</v>
      </c>
      <c r="E274" s="412"/>
      <c r="F274" s="402">
        <v>1.5</v>
      </c>
      <c r="G274" s="33">
        <v>6</v>
      </c>
      <c r="H274" s="402">
        <v>9</v>
      </c>
      <c r="I274" s="402">
        <v>9.5190000000000001</v>
      </c>
      <c r="J274" s="33">
        <v>64</v>
      </c>
      <c r="K274" s="33" t="s">
        <v>89</v>
      </c>
      <c r="L274" s="33"/>
      <c r="M274" s="34" t="s">
        <v>95</v>
      </c>
      <c r="N274" s="34"/>
      <c r="O274" s="33">
        <v>40</v>
      </c>
      <c r="P274" s="5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4" s="408"/>
      <c r="R274" s="408"/>
      <c r="S274" s="408"/>
      <c r="T274" s="409"/>
      <c r="U274" s="35"/>
      <c r="V274" s="35"/>
      <c r="W274" s="36" t="s">
        <v>71</v>
      </c>
      <c r="X274" s="403">
        <v>0</v>
      </c>
      <c r="Y274" s="404">
        <f>IFERROR(IF(X274="",0,CEILING((X274/$H274),1)*$H274),"")</f>
        <v>0</v>
      </c>
      <c r="Z274" s="37" t="str">
        <f>IFERROR(IF(Y274=0,"",ROUNDUP(Y274/H274,0)*0.01898),"")</f>
        <v/>
      </c>
      <c r="AA274" s="57"/>
      <c r="AB274" s="58"/>
      <c r="AC274" s="314" t="s">
        <v>441</v>
      </c>
      <c r="AG274" s="65"/>
      <c r="AJ274" s="69"/>
      <c r="AK274" s="69">
        <v>0</v>
      </c>
      <c r="BB274" s="315" t="s">
        <v>1</v>
      </c>
      <c r="BM274" s="65">
        <f>IFERROR(X274*I274/H274,"0")</f>
        <v>0</v>
      </c>
      <c r="BN274" s="65">
        <f>IFERROR(Y274*I274/H274,"0")</f>
        <v>0</v>
      </c>
      <c r="BO274" s="65">
        <f>IFERROR(1/J274*(X274/H274),"0")</f>
        <v>0</v>
      </c>
      <c r="BP274" s="65">
        <f>IFERROR(1/J274*(Y274/H274),"0")</f>
        <v>0</v>
      </c>
    </row>
    <row r="275" spans="1:68" x14ac:dyDescent="0.2">
      <c r="A275" s="419"/>
      <c r="B275" s="420"/>
      <c r="C275" s="420"/>
      <c r="D275" s="420"/>
      <c r="E275" s="420"/>
      <c r="F275" s="420"/>
      <c r="G275" s="420"/>
      <c r="H275" s="420"/>
      <c r="I275" s="420"/>
      <c r="J275" s="420"/>
      <c r="K275" s="420"/>
      <c r="L275" s="420"/>
      <c r="M275" s="420"/>
      <c r="N275" s="420"/>
      <c r="O275" s="421"/>
      <c r="P275" s="415" t="s">
        <v>76</v>
      </c>
      <c r="Q275" s="416"/>
      <c r="R275" s="416"/>
      <c r="S275" s="416"/>
      <c r="T275" s="416"/>
      <c r="U275" s="416"/>
      <c r="V275" s="417"/>
      <c r="W275" s="38" t="s">
        <v>77</v>
      </c>
      <c r="X275" s="405">
        <f>IFERROR(X273/H273,"0")+IFERROR(X274/H274,"0")</f>
        <v>0</v>
      </c>
      <c r="Y275" s="405">
        <f>IFERROR(Y273/H273,"0")+IFERROR(Y274/H274,"0")</f>
        <v>0</v>
      </c>
      <c r="Z275" s="405">
        <f>IFERROR(IF(Z273="",0,Z273),"0")+IFERROR(IF(Z274="",0,Z274),"0")</f>
        <v>0</v>
      </c>
      <c r="AA275" s="406"/>
      <c r="AB275" s="406"/>
      <c r="AC275" s="406"/>
    </row>
    <row r="276" spans="1:68" x14ac:dyDescent="0.2">
      <c r="A276" s="420"/>
      <c r="B276" s="420"/>
      <c r="C276" s="420"/>
      <c r="D276" s="420"/>
      <c r="E276" s="420"/>
      <c r="F276" s="420"/>
      <c r="G276" s="420"/>
      <c r="H276" s="420"/>
      <c r="I276" s="420"/>
      <c r="J276" s="420"/>
      <c r="K276" s="420"/>
      <c r="L276" s="420"/>
      <c r="M276" s="420"/>
      <c r="N276" s="420"/>
      <c r="O276" s="421"/>
      <c r="P276" s="415" t="s">
        <v>76</v>
      </c>
      <c r="Q276" s="416"/>
      <c r="R276" s="416"/>
      <c r="S276" s="416"/>
      <c r="T276" s="416"/>
      <c r="U276" s="416"/>
      <c r="V276" s="417"/>
      <c r="W276" s="38" t="s">
        <v>71</v>
      </c>
      <c r="X276" s="405">
        <f>IFERROR(SUM(X273:X274),"0")</f>
        <v>0</v>
      </c>
      <c r="Y276" s="405">
        <f>IFERROR(SUM(Y273:Y274),"0")</f>
        <v>0</v>
      </c>
      <c r="Z276" s="38"/>
      <c r="AA276" s="406"/>
      <c r="AB276" s="406"/>
      <c r="AC276" s="406"/>
    </row>
    <row r="277" spans="1:68" ht="14.25" customHeight="1" x14ac:dyDescent="0.25">
      <c r="A277" s="422" t="s">
        <v>128</v>
      </c>
      <c r="B277" s="420"/>
      <c r="C277" s="420"/>
      <c r="D277" s="420"/>
      <c r="E277" s="420"/>
      <c r="F277" s="420"/>
      <c r="G277" s="420"/>
      <c r="H277" s="420"/>
      <c r="I277" s="420"/>
      <c r="J277" s="420"/>
      <c r="K277" s="420"/>
      <c r="L277" s="420"/>
      <c r="M277" s="420"/>
      <c r="N277" s="420"/>
      <c r="O277" s="420"/>
      <c r="P277" s="420"/>
      <c r="Q277" s="420"/>
      <c r="R277" s="420"/>
      <c r="S277" s="420"/>
      <c r="T277" s="420"/>
      <c r="U277" s="420"/>
      <c r="V277" s="420"/>
      <c r="W277" s="420"/>
      <c r="X277" s="420"/>
      <c r="Y277" s="420"/>
      <c r="Z277" s="420"/>
      <c r="AA277" s="399"/>
      <c r="AB277" s="399"/>
      <c r="AC277" s="399"/>
    </row>
    <row r="278" spans="1:68" ht="27" customHeight="1" x14ac:dyDescent="0.25">
      <c r="A278" s="55" t="s">
        <v>442</v>
      </c>
      <c r="B278" s="55" t="s">
        <v>443</v>
      </c>
      <c r="C278" s="32">
        <v>4301060439</v>
      </c>
      <c r="D278" s="411">
        <v>4607091384673</v>
      </c>
      <c r="E278" s="412"/>
      <c r="F278" s="402">
        <v>1.5</v>
      </c>
      <c r="G278" s="33">
        <v>6</v>
      </c>
      <c r="H278" s="402">
        <v>9</v>
      </c>
      <c r="I278" s="402">
        <v>9.5190000000000001</v>
      </c>
      <c r="J278" s="33">
        <v>64</v>
      </c>
      <c r="K278" s="33" t="s">
        <v>89</v>
      </c>
      <c r="L278" s="33"/>
      <c r="M278" s="34" t="s">
        <v>95</v>
      </c>
      <c r="N278" s="34"/>
      <c r="O278" s="33">
        <v>30</v>
      </c>
      <c r="P278" s="61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8" s="408"/>
      <c r="R278" s="408"/>
      <c r="S278" s="408"/>
      <c r="T278" s="409"/>
      <c r="U278" s="35"/>
      <c r="V278" s="35"/>
      <c r="W278" s="36" t="s">
        <v>71</v>
      </c>
      <c r="X278" s="403">
        <v>0</v>
      </c>
      <c r="Y278" s="404">
        <f>IFERROR(IF(X278="",0,CEILING((X278/$H278),1)*$H278),"")</f>
        <v>0</v>
      </c>
      <c r="Z278" s="37" t="str">
        <f>IFERROR(IF(Y278=0,"",ROUNDUP(Y278/H278,0)*0.01898),"")</f>
        <v/>
      </c>
      <c r="AA278" s="57"/>
      <c r="AB278" s="58"/>
      <c r="AC278" s="316" t="s">
        <v>444</v>
      </c>
      <c r="AG278" s="65"/>
      <c r="AJ278" s="69"/>
      <c r="AK278" s="69">
        <v>0</v>
      </c>
      <c r="BB278" s="317" t="s">
        <v>1</v>
      </c>
      <c r="BM278" s="65">
        <f>IFERROR(X278*I278/H278,"0")</f>
        <v>0</v>
      </c>
      <c r="BN278" s="65">
        <f>IFERROR(Y278*I278/H278,"0")</f>
        <v>0</v>
      </c>
      <c r="BO278" s="65">
        <f>IFERROR(1/J278*(X278/H278),"0")</f>
        <v>0</v>
      </c>
      <c r="BP278" s="65">
        <f>IFERROR(1/J278*(Y278/H278),"0")</f>
        <v>0</v>
      </c>
    </row>
    <row r="279" spans="1:68" x14ac:dyDescent="0.2">
      <c r="A279" s="419"/>
      <c r="B279" s="420"/>
      <c r="C279" s="420"/>
      <c r="D279" s="420"/>
      <c r="E279" s="420"/>
      <c r="F279" s="420"/>
      <c r="G279" s="420"/>
      <c r="H279" s="420"/>
      <c r="I279" s="420"/>
      <c r="J279" s="420"/>
      <c r="K279" s="420"/>
      <c r="L279" s="420"/>
      <c r="M279" s="420"/>
      <c r="N279" s="420"/>
      <c r="O279" s="421"/>
      <c r="P279" s="415" t="s">
        <v>76</v>
      </c>
      <c r="Q279" s="416"/>
      <c r="R279" s="416"/>
      <c r="S279" s="416"/>
      <c r="T279" s="416"/>
      <c r="U279" s="416"/>
      <c r="V279" s="417"/>
      <c r="W279" s="38" t="s">
        <v>77</v>
      </c>
      <c r="X279" s="405">
        <f>IFERROR(X278/H278,"0")</f>
        <v>0</v>
      </c>
      <c r="Y279" s="405">
        <f>IFERROR(Y278/H278,"0")</f>
        <v>0</v>
      </c>
      <c r="Z279" s="405">
        <f>IFERROR(IF(Z278="",0,Z278),"0")</f>
        <v>0</v>
      </c>
      <c r="AA279" s="406"/>
      <c r="AB279" s="406"/>
      <c r="AC279" s="406"/>
    </row>
    <row r="280" spans="1:68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0"/>
      <c r="N280" s="420"/>
      <c r="O280" s="421"/>
      <c r="P280" s="415" t="s">
        <v>76</v>
      </c>
      <c r="Q280" s="416"/>
      <c r="R280" s="416"/>
      <c r="S280" s="416"/>
      <c r="T280" s="416"/>
      <c r="U280" s="416"/>
      <c r="V280" s="417"/>
      <c r="W280" s="38" t="s">
        <v>71</v>
      </c>
      <c r="X280" s="405">
        <f>IFERROR(SUM(X278:X278),"0")</f>
        <v>0</v>
      </c>
      <c r="Y280" s="405">
        <f>IFERROR(SUM(Y278:Y278),"0")</f>
        <v>0</v>
      </c>
      <c r="Z280" s="38"/>
      <c r="AA280" s="406"/>
      <c r="AB280" s="406"/>
      <c r="AC280" s="406"/>
    </row>
    <row r="281" spans="1:68" ht="16.5" customHeight="1" x14ac:dyDescent="0.25">
      <c r="A281" s="434" t="s">
        <v>445</v>
      </c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0"/>
      <c r="N281" s="420"/>
      <c r="O281" s="420"/>
      <c r="P281" s="420"/>
      <c r="Q281" s="420"/>
      <c r="R281" s="420"/>
      <c r="S281" s="420"/>
      <c r="T281" s="420"/>
      <c r="U281" s="420"/>
      <c r="V281" s="420"/>
      <c r="W281" s="420"/>
      <c r="X281" s="420"/>
      <c r="Y281" s="420"/>
      <c r="Z281" s="420"/>
      <c r="AA281" s="398"/>
      <c r="AB281" s="398"/>
      <c r="AC281" s="398"/>
    </row>
    <row r="282" spans="1:68" ht="14.25" customHeight="1" x14ac:dyDescent="0.25">
      <c r="A282" s="422" t="s">
        <v>86</v>
      </c>
      <c r="B282" s="420"/>
      <c r="C282" s="420"/>
      <c r="D282" s="420"/>
      <c r="E282" s="420"/>
      <c r="F282" s="420"/>
      <c r="G282" s="420"/>
      <c r="H282" s="420"/>
      <c r="I282" s="420"/>
      <c r="J282" s="420"/>
      <c r="K282" s="420"/>
      <c r="L282" s="420"/>
      <c r="M282" s="420"/>
      <c r="N282" s="420"/>
      <c r="O282" s="420"/>
      <c r="P282" s="420"/>
      <c r="Q282" s="420"/>
      <c r="R282" s="420"/>
      <c r="S282" s="420"/>
      <c r="T282" s="420"/>
      <c r="U282" s="420"/>
      <c r="V282" s="420"/>
      <c r="W282" s="420"/>
      <c r="X282" s="420"/>
      <c r="Y282" s="420"/>
      <c r="Z282" s="420"/>
      <c r="AA282" s="399"/>
      <c r="AB282" s="399"/>
      <c r="AC282" s="399"/>
    </row>
    <row r="283" spans="1:68" ht="37.5" customHeight="1" x14ac:dyDescent="0.25">
      <c r="A283" s="55" t="s">
        <v>446</v>
      </c>
      <c r="B283" s="55" t="s">
        <v>447</v>
      </c>
      <c r="C283" s="32">
        <v>4301011873</v>
      </c>
      <c r="D283" s="411">
        <v>4680115881907</v>
      </c>
      <c r="E283" s="412"/>
      <c r="F283" s="402">
        <v>1.8</v>
      </c>
      <c r="G283" s="33">
        <v>6</v>
      </c>
      <c r="H283" s="402">
        <v>10.8</v>
      </c>
      <c r="I283" s="402">
        <v>11.234999999999999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3" s="408"/>
      <c r="R283" s="408"/>
      <c r="S283" s="408"/>
      <c r="T283" s="409"/>
      <c r="U283" s="35"/>
      <c r="V283" s="35"/>
      <c r="W283" s="36" t="s">
        <v>71</v>
      </c>
      <c r="X283" s="403">
        <v>0</v>
      </c>
      <c r="Y283" s="404">
        <f>IFERROR(IF(X283="",0,CEILING((X283/$H283),1)*$H283),"")</f>
        <v>0</v>
      </c>
      <c r="Z283" s="37" t="str">
        <f>IFERROR(IF(Y283=0,"",ROUNDUP(Y283/H283,0)*0.01898),"")</f>
        <v/>
      </c>
      <c r="AA283" s="57"/>
      <c r="AB283" s="58"/>
      <c r="AC283" s="318" t="s">
        <v>448</v>
      </c>
      <c r="AG283" s="65"/>
      <c r="AJ283" s="69"/>
      <c r="AK283" s="69">
        <v>0</v>
      </c>
      <c r="BB283" s="319" t="s">
        <v>1</v>
      </c>
      <c r="BM283" s="65">
        <f>IFERROR(X283*I283/H283,"0")</f>
        <v>0</v>
      </c>
      <c r="BN283" s="65">
        <f>IFERROR(Y283*I283/H283,"0")</f>
        <v>0</v>
      </c>
      <c r="BO283" s="65">
        <f>IFERROR(1/J283*(X283/H283),"0")</f>
        <v>0</v>
      </c>
      <c r="BP283" s="65">
        <f>IFERROR(1/J283*(Y283/H283),"0")</f>
        <v>0</v>
      </c>
    </row>
    <row r="284" spans="1:68" ht="37.5" customHeight="1" x14ac:dyDescent="0.25">
      <c r="A284" s="55" t="s">
        <v>449</v>
      </c>
      <c r="B284" s="55" t="s">
        <v>450</v>
      </c>
      <c r="C284" s="32">
        <v>4301011874</v>
      </c>
      <c r="D284" s="411">
        <v>4680115884892</v>
      </c>
      <c r="E284" s="412"/>
      <c r="F284" s="402">
        <v>1.8</v>
      </c>
      <c r="G284" s="33">
        <v>6</v>
      </c>
      <c r="H284" s="402">
        <v>10.8</v>
      </c>
      <c r="I284" s="402">
        <v>11.234999999999999</v>
      </c>
      <c r="J284" s="33">
        <v>64</v>
      </c>
      <c r="K284" s="33" t="s">
        <v>89</v>
      </c>
      <c r="L284" s="33"/>
      <c r="M284" s="34" t="s">
        <v>70</v>
      </c>
      <c r="N284" s="34"/>
      <c r="O284" s="33">
        <v>60</v>
      </c>
      <c r="P284" s="4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84" s="408"/>
      <c r="R284" s="408"/>
      <c r="S284" s="408"/>
      <c r="T284" s="409"/>
      <c r="U284" s="35"/>
      <c r="V284" s="35"/>
      <c r="W284" s="36" t="s">
        <v>71</v>
      </c>
      <c r="X284" s="403">
        <v>0</v>
      </c>
      <c r="Y284" s="404">
        <f>IFERROR(IF(X284="",0,CEILING((X284/$H284),1)*$H284),"")</f>
        <v>0</v>
      </c>
      <c r="Z284" s="37" t="str">
        <f>IFERROR(IF(Y284=0,"",ROUNDUP(Y284/H284,0)*0.01898),"")</f>
        <v/>
      </c>
      <c r="AA284" s="57"/>
      <c r="AB284" s="58"/>
      <c r="AC284" s="320" t="s">
        <v>451</v>
      </c>
      <c r="AG284" s="65"/>
      <c r="AJ284" s="69"/>
      <c r="AK284" s="69">
        <v>0</v>
      </c>
      <c r="BB284" s="321" t="s">
        <v>1</v>
      </c>
      <c r="BM284" s="65">
        <f>IFERROR(X284*I284/H284,"0")</f>
        <v>0</v>
      </c>
      <c r="BN284" s="65">
        <f>IFERROR(Y284*I284/H284,"0")</f>
        <v>0</v>
      </c>
      <c r="BO284" s="65">
        <f>IFERROR(1/J284*(X284/H284),"0")</f>
        <v>0</v>
      </c>
      <c r="BP284" s="65">
        <f>IFERROR(1/J284*(Y284/H284),"0")</f>
        <v>0</v>
      </c>
    </row>
    <row r="285" spans="1:68" ht="37.5" customHeight="1" x14ac:dyDescent="0.25">
      <c r="A285" s="55" t="s">
        <v>452</v>
      </c>
      <c r="B285" s="55" t="s">
        <v>453</v>
      </c>
      <c r="C285" s="32">
        <v>4301011875</v>
      </c>
      <c r="D285" s="411">
        <v>4680115884885</v>
      </c>
      <c r="E285" s="412"/>
      <c r="F285" s="402">
        <v>0.8</v>
      </c>
      <c r="G285" s="33">
        <v>15</v>
      </c>
      <c r="H285" s="402">
        <v>12</v>
      </c>
      <c r="I285" s="402">
        <v>12.435</v>
      </c>
      <c r="J285" s="33">
        <v>64</v>
      </c>
      <c r="K285" s="33" t="s">
        <v>89</v>
      </c>
      <c r="L285" s="33"/>
      <c r="M285" s="34" t="s">
        <v>70</v>
      </c>
      <c r="N285" s="34"/>
      <c r="O285" s="33">
        <v>60</v>
      </c>
      <c r="P285" s="5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5" s="408"/>
      <c r="R285" s="408"/>
      <c r="S285" s="408"/>
      <c r="T285" s="409"/>
      <c r="U285" s="35"/>
      <c r="V285" s="35"/>
      <c r="W285" s="36" t="s">
        <v>71</v>
      </c>
      <c r="X285" s="403">
        <v>700</v>
      </c>
      <c r="Y285" s="404">
        <f>IFERROR(IF(X285="",0,CEILING((X285/$H285),1)*$H285),"")</f>
        <v>708</v>
      </c>
      <c r="Z285" s="37">
        <f>IFERROR(IF(Y285=0,"",ROUNDUP(Y285/H285,0)*0.01898),"")</f>
        <v>1.11982</v>
      </c>
      <c r="AA285" s="57"/>
      <c r="AB285" s="58"/>
      <c r="AC285" s="322" t="s">
        <v>451</v>
      </c>
      <c r="AG285" s="65"/>
      <c r="AJ285" s="69"/>
      <c r="AK285" s="69">
        <v>0</v>
      </c>
      <c r="BB285" s="323" t="s">
        <v>1</v>
      </c>
      <c r="BM285" s="65">
        <f>IFERROR(X285*I285/H285,"0")</f>
        <v>725.375</v>
      </c>
      <c r="BN285" s="65">
        <f>IFERROR(Y285*I285/H285,"0")</f>
        <v>733.66499999999996</v>
      </c>
      <c r="BO285" s="65">
        <f>IFERROR(1/J285*(X285/H285),"0")</f>
        <v>0.91145833333333337</v>
      </c>
      <c r="BP285" s="65">
        <f>IFERROR(1/J285*(Y285/H285),"0")</f>
        <v>0.921875</v>
      </c>
    </row>
    <row r="286" spans="1:68" ht="37.5" customHeight="1" x14ac:dyDescent="0.25">
      <c r="A286" s="55" t="s">
        <v>454</v>
      </c>
      <c r="B286" s="55" t="s">
        <v>455</v>
      </c>
      <c r="C286" s="32">
        <v>4301011871</v>
      </c>
      <c r="D286" s="411">
        <v>4680115884908</v>
      </c>
      <c r="E286" s="412"/>
      <c r="F286" s="402">
        <v>0.4</v>
      </c>
      <c r="G286" s="33">
        <v>10</v>
      </c>
      <c r="H286" s="402">
        <v>4</v>
      </c>
      <c r="I286" s="402">
        <v>4.21</v>
      </c>
      <c r="J286" s="33">
        <v>132</v>
      </c>
      <c r="K286" s="33" t="s">
        <v>94</v>
      </c>
      <c r="L286" s="33"/>
      <c r="M286" s="34" t="s">
        <v>70</v>
      </c>
      <c r="N286" s="34"/>
      <c r="O286" s="33">
        <v>60</v>
      </c>
      <c r="P286" s="48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6" s="408"/>
      <c r="R286" s="408"/>
      <c r="S286" s="408"/>
      <c r="T286" s="409"/>
      <c r="U286" s="35"/>
      <c r="V286" s="35"/>
      <c r="W286" s="36" t="s">
        <v>71</v>
      </c>
      <c r="X286" s="403">
        <v>100</v>
      </c>
      <c r="Y286" s="404">
        <f>IFERROR(IF(X286="",0,CEILING((X286/$H286),1)*$H286),"")</f>
        <v>100</v>
      </c>
      <c r="Z286" s="37">
        <f>IFERROR(IF(Y286=0,"",ROUNDUP(Y286/H286,0)*0.00902),"")</f>
        <v>0.22550000000000001</v>
      </c>
      <c r="AA286" s="57"/>
      <c r="AB286" s="58"/>
      <c r="AC286" s="324" t="s">
        <v>451</v>
      </c>
      <c r="AG286" s="65"/>
      <c r="AJ286" s="69"/>
      <c r="AK286" s="69">
        <v>0</v>
      </c>
      <c r="BB286" s="325" t="s">
        <v>1</v>
      </c>
      <c r="BM286" s="65">
        <f>IFERROR(X286*I286/H286,"0")</f>
        <v>105.25</v>
      </c>
      <c r="BN286" s="65">
        <f>IFERROR(Y286*I286/H286,"0")</f>
        <v>105.25</v>
      </c>
      <c r="BO286" s="65">
        <f>IFERROR(1/J286*(X286/H286),"0")</f>
        <v>0.18939393939393939</v>
      </c>
      <c r="BP286" s="65">
        <f>IFERROR(1/J286*(Y286/H286),"0")</f>
        <v>0.18939393939393939</v>
      </c>
    </row>
    <row r="287" spans="1:68" x14ac:dyDescent="0.2">
      <c r="A287" s="419"/>
      <c r="B287" s="420"/>
      <c r="C287" s="420"/>
      <c r="D287" s="420"/>
      <c r="E287" s="420"/>
      <c r="F287" s="420"/>
      <c r="G287" s="420"/>
      <c r="H287" s="420"/>
      <c r="I287" s="420"/>
      <c r="J287" s="420"/>
      <c r="K287" s="420"/>
      <c r="L287" s="420"/>
      <c r="M287" s="420"/>
      <c r="N287" s="420"/>
      <c r="O287" s="421"/>
      <c r="P287" s="415" t="s">
        <v>76</v>
      </c>
      <c r="Q287" s="416"/>
      <c r="R287" s="416"/>
      <c r="S287" s="416"/>
      <c r="T287" s="416"/>
      <c r="U287" s="416"/>
      <c r="V287" s="417"/>
      <c r="W287" s="38" t="s">
        <v>77</v>
      </c>
      <c r="X287" s="405">
        <f>IFERROR(X283/H283,"0")+IFERROR(X284/H284,"0")+IFERROR(X285/H285,"0")+IFERROR(X286/H286,"0")</f>
        <v>83.333333333333343</v>
      </c>
      <c r="Y287" s="405">
        <f>IFERROR(Y283/H283,"0")+IFERROR(Y284/H284,"0")+IFERROR(Y285/H285,"0")+IFERROR(Y286/H286,"0")</f>
        <v>84</v>
      </c>
      <c r="Z287" s="405">
        <f>IFERROR(IF(Z283="",0,Z283),"0")+IFERROR(IF(Z284="",0,Z284),"0")+IFERROR(IF(Z285="",0,Z285),"0")+IFERROR(IF(Z286="",0,Z286),"0")</f>
        <v>1.3453200000000001</v>
      </c>
      <c r="AA287" s="406"/>
      <c r="AB287" s="406"/>
      <c r="AC287" s="406"/>
    </row>
    <row r="288" spans="1:68" x14ac:dyDescent="0.2">
      <c r="A288" s="420"/>
      <c r="B288" s="420"/>
      <c r="C288" s="420"/>
      <c r="D288" s="420"/>
      <c r="E288" s="420"/>
      <c r="F288" s="420"/>
      <c r="G288" s="420"/>
      <c r="H288" s="420"/>
      <c r="I288" s="420"/>
      <c r="J288" s="420"/>
      <c r="K288" s="420"/>
      <c r="L288" s="420"/>
      <c r="M288" s="420"/>
      <c r="N288" s="420"/>
      <c r="O288" s="421"/>
      <c r="P288" s="415" t="s">
        <v>76</v>
      </c>
      <c r="Q288" s="416"/>
      <c r="R288" s="416"/>
      <c r="S288" s="416"/>
      <c r="T288" s="416"/>
      <c r="U288" s="416"/>
      <c r="V288" s="417"/>
      <c r="W288" s="38" t="s">
        <v>71</v>
      </c>
      <c r="X288" s="405">
        <f>IFERROR(SUM(X283:X286),"0")</f>
        <v>800</v>
      </c>
      <c r="Y288" s="405">
        <f>IFERROR(SUM(Y283:Y286),"0")</f>
        <v>808</v>
      </c>
      <c r="Z288" s="38"/>
      <c r="AA288" s="406"/>
      <c r="AB288" s="406"/>
      <c r="AC288" s="406"/>
    </row>
    <row r="289" spans="1:68" ht="14.25" customHeight="1" x14ac:dyDescent="0.25">
      <c r="A289" s="422" t="s">
        <v>182</v>
      </c>
      <c r="B289" s="420"/>
      <c r="C289" s="420"/>
      <c r="D289" s="420"/>
      <c r="E289" s="420"/>
      <c r="F289" s="420"/>
      <c r="G289" s="420"/>
      <c r="H289" s="420"/>
      <c r="I289" s="420"/>
      <c r="J289" s="420"/>
      <c r="K289" s="420"/>
      <c r="L289" s="420"/>
      <c r="M289" s="420"/>
      <c r="N289" s="420"/>
      <c r="O289" s="420"/>
      <c r="P289" s="420"/>
      <c r="Q289" s="420"/>
      <c r="R289" s="420"/>
      <c r="S289" s="420"/>
      <c r="T289" s="420"/>
      <c r="U289" s="420"/>
      <c r="V289" s="420"/>
      <c r="W289" s="420"/>
      <c r="X289" s="420"/>
      <c r="Y289" s="420"/>
      <c r="Z289" s="420"/>
      <c r="AA289" s="399"/>
      <c r="AB289" s="399"/>
      <c r="AC289" s="399"/>
    </row>
    <row r="290" spans="1:68" ht="27" customHeight="1" x14ac:dyDescent="0.25">
      <c r="A290" s="55" t="s">
        <v>456</v>
      </c>
      <c r="B290" s="55" t="s">
        <v>457</v>
      </c>
      <c r="C290" s="32">
        <v>4301031303</v>
      </c>
      <c r="D290" s="411">
        <v>4607091384802</v>
      </c>
      <c r="E290" s="412"/>
      <c r="F290" s="402">
        <v>0.73</v>
      </c>
      <c r="G290" s="33">
        <v>6</v>
      </c>
      <c r="H290" s="402">
        <v>4.38</v>
      </c>
      <c r="I290" s="402">
        <v>4.6500000000000004</v>
      </c>
      <c r="J290" s="33">
        <v>132</v>
      </c>
      <c r="K290" s="33" t="s">
        <v>94</v>
      </c>
      <c r="L290" s="33"/>
      <c r="M290" s="34" t="s">
        <v>70</v>
      </c>
      <c r="N290" s="34"/>
      <c r="O290" s="33">
        <v>35</v>
      </c>
      <c r="P290" s="4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90" s="408"/>
      <c r="R290" s="408"/>
      <c r="S290" s="408"/>
      <c r="T290" s="409"/>
      <c r="U290" s="35"/>
      <c r="V290" s="35"/>
      <c r="W290" s="36" t="s">
        <v>71</v>
      </c>
      <c r="X290" s="403">
        <v>0</v>
      </c>
      <c r="Y290" s="404">
        <f>IFERROR(IF(X290="",0,CEILING((X290/$H290),1)*$H290),"")</f>
        <v>0</v>
      </c>
      <c r="Z290" s="37" t="str">
        <f>IFERROR(IF(Y290=0,"",ROUNDUP(Y290/H290,0)*0.00902),"")</f>
        <v/>
      </c>
      <c r="AA290" s="57"/>
      <c r="AB290" s="58"/>
      <c r="AC290" s="326" t="s">
        <v>458</v>
      </c>
      <c r="AG290" s="65"/>
      <c r="AJ290" s="69"/>
      <c r="AK290" s="69">
        <v>0</v>
      </c>
      <c r="BB290" s="327" t="s">
        <v>1</v>
      </c>
      <c r="BM290" s="65">
        <f>IFERROR(X290*I290/H290,"0")</f>
        <v>0</v>
      </c>
      <c r="BN290" s="65">
        <f>IFERROR(Y290*I290/H290,"0")</f>
        <v>0</v>
      </c>
      <c r="BO290" s="65">
        <f>IFERROR(1/J290*(X290/H290),"0")</f>
        <v>0</v>
      </c>
      <c r="BP290" s="65">
        <f>IFERROR(1/J290*(Y290/H290),"0")</f>
        <v>0</v>
      </c>
    </row>
    <row r="291" spans="1:68" x14ac:dyDescent="0.2">
      <c r="A291" s="419"/>
      <c r="B291" s="420"/>
      <c r="C291" s="420"/>
      <c r="D291" s="420"/>
      <c r="E291" s="420"/>
      <c r="F291" s="420"/>
      <c r="G291" s="420"/>
      <c r="H291" s="420"/>
      <c r="I291" s="420"/>
      <c r="J291" s="420"/>
      <c r="K291" s="420"/>
      <c r="L291" s="420"/>
      <c r="M291" s="420"/>
      <c r="N291" s="420"/>
      <c r="O291" s="421"/>
      <c r="P291" s="415" t="s">
        <v>76</v>
      </c>
      <c r="Q291" s="416"/>
      <c r="R291" s="416"/>
      <c r="S291" s="416"/>
      <c r="T291" s="416"/>
      <c r="U291" s="416"/>
      <c r="V291" s="417"/>
      <c r="W291" s="38" t="s">
        <v>77</v>
      </c>
      <c r="X291" s="405">
        <f>IFERROR(X290/H290,"0")</f>
        <v>0</v>
      </c>
      <c r="Y291" s="405">
        <f>IFERROR(Y290/H290,"0")</f>
        <v>0</v>
      </c>
      <c r="Z291" s="405">
        <f>IFERROR(IF(Z290="",0,Z290),"0")</f>
        <v>0</v>
      </c>
      <c r="AA291" s="406"/>
      <c r="AB291" s="406"/>
      <c r="AC291" s="406"/>
    </row>
    <row r="292" spans="1:68" x14ac:dyDescent="0.2">
      <c r="A292" s="420"/>
      <c r="B292" s="420"/>
      <c r="C292" s="420"/>
      <c r="D292" s="420"/>
      <c r="E292" s="420"/>
      <c r="F292" s="420"/>
      <c r="G292" s="420"/>
      <c r="H292" s="420"/>
      <c r="I292" s="420"/>
      <c r="J292" s="420"/>
      <c r="K292" s="420"/>
      <c r="L292" s="420"/>
      <c r="M292" s="420"/>
      <c r="N292" s="420"/>
      <c r="O292" s="421"/>
      <c r="P292" s="415" t="s">
        <v>76</v>
      </c>
      <c r="Q292" s="416"/>
      <c r="R292" s="416"/>
      <c r="S292" s="416"/>
      <c r="T292" s="416"/>
      <c r="U292" s="416"/>
      <c r="V292" s="417"/>
      <c r="W292" s="38" t="s">
        <v>71</v>
      </c>
      <c r="X292" s="405">
        <f>IFERROR(SUM(X290:X290),"0")</f>
        <v>0</v>
      </c>
      <c r="Y292" s="405">
        <f>IFERROR(SUM(Y290:Y290),"0")</f>
        <v>0</v>
      </c>
      <c r="Z292" s="38"/>
      <c r="AA292" s="406"/>
      <c r="AB292" s="406"/>
      <c r="AC292" s="406"/>
    </row>
    <row r="293" spans="1:68" ht="14.25" customHeight="1" x14ac:dyDescent="0.25">
      <c r="A293" s="422" t="s">
        <v>66</v>
      </c>
      <c r="B293" s="420"/>
      <c r="C293" s="420"/>
      <c r="D293" s="420"/>
      <c r="E293" s="420"/>
      <c r="F293" s="420"/>
      <c r="G293" s="420"/>
      <c r="H293" s="420"/>
      <c r="I293" s="420"/>
      <c r="J293" s="420"/>
      <c r="K293" s="420"/>
      <c r="L293" s="420"/>
      <c r="M293" s="420"/>
      <c r="N293" s="420"/>
      <c r="O293" s="420"/>
      <c r="P293" s="420"/>
      <c r="Q293" s="420"/>
      <c r="R293" s="420"/>
      <c r="S293" s="420"/>
      <c r="T293" s="420"/>
      <c r="U293" s="420"/>
      <c r="V293" s="420"/>
      <c r="W293" s="420"/>
      <c r="X293" s="420"/>
      <c r="Y293" s="420"/>
      <c r="Z293" s="420"/>
      <c r="AA293" s="399"/>
      <c r="AB293" s="399"/>
      <c r="AC293" s="399"/>
    </row>
    <row r="294" spans="1:68" ht="27" customHeight="1" x14ac:dyDescent="0.25">
      <c r="A294" s="55" t="s">
        <v>459</v>
      </c>
      <c r="B294" s="55" t="s">
        <v>460</v>
      </c>
      <c r="C294" s="32">
        <v>4301051899</v>
      </c>
      <c r="D294" s="411">
        <v>4607091384246</v>
      </c>
      <c r="E294" s="412"/>
      <c r="F294" s="402">
        <v>1.5</v>
      </c>
      <c r="G294" s="33">
        <v>6</v>
      </c>
      <c r="H294" s="402">
        <v>9</v>
      </c>
      <c r="I294" s="402">
        <v>9.5190000000000001</v>
      </c>
      <c r="J294" s="33">
        <v>64</v>
      </c>
      <c r="K294" s="33" t="s">
        <v>89</v>
      </c>
      <c r="L294" s="33"/>
      <c r="M294" s="34" t="s">
        <v>95</v>
      </c>
      <c r="N294" s="34"/>
      <c r="O294" s="33">
        <v>40</v>
      </c>
      <c r="P294" s="6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4" s="408"/>
      <c r="R294" s="408"/>
      <c r="S294" s="408"/>
      <c r="T294" s="409"/>
      <c r="U294" s="35"/>
      <c r="V294" s="35"/>
      <c r="W294" s="36" t="s">
        <v>71</v>
      </c>
      <c r="X294" s="403">
        <v>1200</v>
      </c>
      <c r="Y294" s="404">
        <f>IFERROR(IF(X294="",0,CEILING((X294/$H294),1)*$H294),"")</f>
        <v>1206</v>
      </c>
      <c r="Z294" s="37">
        <f>IFERROR(IF(Y294=0,"",ROUNDUP(Y294/H294,0)*0.01898),"")</f>
        <v>2.54332</v>
      </c>
      <c r="AA294" s="57"/>
      <c r="AB294" s="58"/>
      <c r="AC294" s="328" t="s">
        <v>461</v>
      </c>
      <c r="AG294" s="65"/>
      <c r="AJ294" s="69"/>
      <c r="AK294" s="69">
        <v>0</v>
      </c>
      <c r="BB294" s="329" t="s">
        <v>1</v>
      </c>
      <c r="BM294" s="65">
        <f>IFERROR(X294*I294/H294,"0")</f>
        <v>1269.1999999999998</v>
      </c>
      <c r="BN294" s="65">
        <f>IFERROR(Y294*I294/H294,"0")</f>
        <v>1275.546</v>
      </c>
      <c r="BO294" s="65">
        <f>IFERROR(1/J294*(X294/H294),"0")</f>
        <v>2.0833333333333335</v>
      </c>
      <c r="BP294" s="65">
        <f>IFERROR(1/J294*(Y294/H294),"0")</f>
        <v>2.09375</v>
      </c>
    </row>
    <row r="295" spans="1:68" ht="27" customHeight="1" x14ac:dyDescent="0.25">
      <c r="A295" s="55" t="s">
        <v>462</v>
      </c>
      <c r="B295" s="55" t="s">
        <v>463</v>
      </c>
      <c r="C295" s="32">
        <v>4301051660</v>
      </c>
      <c r="D295" s="411">
        <v>4607091384253</v>
      </c>
      <c r="E295" s="412"/>
      <c r="F295" s="402">
        <v>0.4</v>
      </c>
      <c r="G295" s="33">
        <v>6</v>
      </c>
      <c r="H295" s="402">
        <v>2.4</v>
      </c>
      <c r="I295" s="402">
        <v>2.6640000000000001</v>
      </c>
      <c r="J295" s="33">
        <v>182</v>
      </c>
      <c r="K295" s="33" t="s">
        <v>69</v>
      </c>
      <c r="L295" s="33"/>
      <c r="M295" s="34" t="s">
        <v>95</v>
      </c>
      <c r="N295" s="34"/>
      <c r="O295" s="33">
        <v>40</v>
      </c>
      <c r="P295" s="6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5" s="408"/>
      <c r="R295" s="408"/>
      <c r="S295" s="408"/>
      <c r="T295" s="409"/>
      <c r="U295" s="35"/>
      <c r="V295" s="35"/>
      <c r="W295" s="36" t="s">
        <v>71</v>
      </c>
      <c r="X295" s="403">
        <v>350</v>
      </c>
      <c r="Y295" s="404">
        <f>IFERROR(IF(X295="",0,CEILING((X295/$H295),1)*$H295),"")</f>
        <v>350.4</v>
      </c>
      <c r="Z295" s="37">
        <f>IFERROR(IF(Y295=0,"",ROUNDUP(Y295/H295,0)*0.00651),"")</f>
        <v>0.95045999999999997</v>
      </c>
      <c r="AA295" s="57"/>
      <c r="AB295" s="58"/>
      <c r="AC295" s="330" t="s">
        <v>461</v>
      </c>
      <c r="AG295" s="65"/>
      <c r="AJ295" s="69"/>
      <c r="AK295" s="69">
        <v>0</v>
      </c>
      <c r="BB295" s="331" t="s">
        <v>1</v>
      </c>
      <c r="BM295" s="65">
        <f>IFERROR(X295*I295/H295,"0")</f>
        <v>388.50000000000006</v>
      </c>
      <c r="BN295" s="65">
        <f>IFERROR(Y295*I295/H295,"0")</f>
        <v>388.94400000000002</v>
      </c>
      <c r="BO295" s="65">
        <f>IFERROR(1/J295*(X295/H295),"0")</f>
        <v>0.80128205128205143</v>
      </c>
      <c r="BP295" s="65">
        <f>IFERROR(1/J295*(Y295/H295),"0")</f>
        <v>0.80219780219780223</v>
      </c>
    </row>
    <row r="296" spans="1:68" x14ac:dyDescent="0.2">
      <c r="A296" s="419"/>
      <c r="B296" s="420"/>
      <c r="C296" s="420"/>
      <c r="D296" s="420"/>
      <c r="E296" s="420"/>
      <c r="F296" s="420"/>
      <c r="G296" s="420"/>
      <c r="H296" s="420"/>
      <c r="I296" s="420"/>
      <c r="J296" s="420"/>
      <c r="K296" s="420"/>
      <c r="L296" s="420"/>
      <c r="M296" s="420"/>
      <c r="N296" s="420"/>
      <c r="O296" s="421"/>
      <c r="P296" s="415" t="s">
        <v>76</v>
      </c>
      <c r="Q296" s="416"/>
      <c r="R296" s="416"/>
      <c r="S296" s="416"/>
      <c r="T296" s="416"/>
      <c r="U296" s="416"/>
      <c r="V296" s="417"/>
      <c r="W296" s="38" t="s">
        <v>77</v>
      </c>
      <c r="X296" s="405">
        <f>IFERROR(X294/H294,"0")+IFERROR(X295/H295,"0")</f>
        <v>279.16666666666669</v>
      </c>
      <c r="Y296" s="405">
        <f>IFERROR(Y294/H294,"0")+IFERROR(Y295/H295,"0")</f>
        <v>280</v>
      </c>
      <c r="Z296" s="405">
        <f>IFERROR(IF(Z294="",0,Z294),"0")+IFERROR(IF(Z295="",0,Z295),"0")</f>
        <v>3.4937800000000001</v>
      </c>
      <c r="AA296" s="406"/>
      <c r="AB296" s="406"/>
      <c r="AC296" s="406"/>
    </row>
    <row r="297" spans="1:68" x14ac:dyDescent="0.2">
      <c r="A297" s="420"/>
      <c r="B297" s="420"/>
      <c r="C297" s="420"/>
      <c r="D297" s="420"/>
      <c r="E297" s="420"/>
      <c r="F297" s="420"/>
      <c r="G297" s="420"/>
      <c r="H297" s="420"/>
      <c r="I297" s="420"/>
      <c r="J297" s="420"/>
      <c r="K297" s="420"/>
      <c r="L297" s="420"/>
      <c r="M297" s="420"/>
      <c r="N297" s="420"/>
      <c r="O297" s="421"/>
      <c r="P297" s="415" t="s">
        <v>76</v>
      </c>
      <c r="Q297" s="416"/>
      <c r="R297" s="416"/>
      <c r="S297" s="416"/>
      <c r="T297" s="416"/>
      <c r="U297" s="416"/>
      <c r="V297" s="417"/>
      <c r="W297" s="38" t="s">
        <v>71</v>
      </c>
      <c r="X297" s="405">
        <f>IFERROR(SUM(X294:X295),"0")</f>
        <v>1550</v>
      </c>
      <c r="Y297" s="405">
        <f>IFERROR(SUM(Y294:Y295),"0")</f>
        <v>1556.4</v>
      </c>
      <c r="Z297" s="38"/>
      <c r="AA297" s="406"/>
      <c r="AB297" s="406"/>
      <c r="AC297" s="406"/>
    </row>
    <row r="298" spans="1:68" ht="14.25" customHeight="1" x14ac:dyDescent="0.25">
      <c r="A298" s="422" t="s">
        <v>128</v>
      </c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0"/>
      <c r="N298" s="420"/>
      <c r="O298" s="420"/>
      <c r="P298" s="420"/>
      <c r="Q298" s="420"/>
      <c r="R298" s="420"/>
      <c r="S298" s="420"/>
      <c r="T298" s="420"/>
      <c r="U298" s="420"/>
      <c r="V298" s="420"/>
      <c r="W298" s="420"/>
      <c r="X298" s="420"/>
      <c r="Y298" s="420"/>
      <c r="Z298" s="420"/>
      <c r="AA298" s="399"/>
      <c r="AB298" s="399"/>
      <c r="AC298" s="399"/>
    </row>
    <row r="299" spans="1:68" ht="27" customHeight="1" x14ac:dyDescent="0.25">
      <c r="A299" s="55" t="s">
        <v>464</v>
      </c>
      <c r="B299" s="55" t="s">
        <v>465</v>
      </c>
      <c r="C299" s="32">
        <v>4301060441</v>
      </c>
      <c r="D299" s="411">
        <v>4607091389357</v>
      </c>
      <c r="E299" s="412"/>
      <c r="F299" s="402">
        <v>1.5</v>
      </c>
      <c r="G299" s="33">
        <v>6</v>
      </c>
      <c r="H299" s="402">
        <v>9</v>
      </c>
      <c r="I299" s="402">
        <v>9.4350000000000005</v>
      </c>
      <c r="J299" s="33">
        <v>64</v>
      </c>
      <c r="K299" s="33" t="s">
        <v>89</v>
      </c>
      <c r="L299" s="33"/>
      <c r="M299" s="34" t="s">
        <v>95</v>
      </c>
      <c r="N299" s="34"/>
      <c r="O299" s="33">
        <v>40</v>
      </c>
      <c r="P299" s="5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9" s="408"/>
      <c r="R299" s="408"/>
      <c r="S299" s="408"/>
      <c r="T299" s="409"/>
      <c r="U299" s="35"/>
      <c r="V299" s="35"/>
      <c r="W299" s="36" t="s">
        <v>71</v>
      </c>
      <c r="X299" s="403">
        <v>400</v>
      </c>
      <c r="Y299" s="404">
        <f>IFERROR(IF(X299="",0,CEILING((X299/$H299),1)*$H299),"")</f>
        <v>405</v>
      </c>
      <c r="Z299" s="37">
        <f>IFERROR(IF(Y299=0,"",ROUNDUP(Y299/H299,0)*0.01898),"")</f>
        <v>0.85409999999999997</v>
      </c>
      <c r="AA299" s="57"/>
      <c r="AB299" s="58"/>
      <c r="AC299" s="332" t="s">
        <v>466</v>
      </c>
      <c r="AG299" s="65"/>
      <c r="AJ299" s="69"/>
      <c r="AK299" s="69">
        <v>0</v>
      </c>
      <c r="BB299" s="333" t="s">
        <v>1</v>
      </c>
      <c r="BM299" s="65">
        <f>IFERROR(X299*I299/H299,"0")</f>
        <v>419.33333333333331</v>
      </c>
      <c r="BN299" s="65">
        <f>IFERROR(Y299*I299/H299,"0")</f>
        <v>424.57500000000005</v>
      </c>
      <c r="BO299" s="65">
        <f>IFERROR(1/J299*(X299/H299),"0")</f>
        <v>0.69444444444444442</v>
      </c>
      <c r="BP299" s="65">
        <f>IFERROR(1/J299*(Y299/H299),"0")</f>
        <v>0.703125</v>
      </c>
    </row>
    <row r="300" spans="1:68" x14ac:dyDescent="0.2">
      <c r="A300" s="419"/>
      <c r="B300" s="420"/>
      <c r="C300" s="420"/>
      <c r="D300" s="420"/>
      <c r="E300" s="420"/>
      <c r="F300" s="420"/>
      <c r="G300" s="420"/>
      <c r="H300" s="420"/>
      <c r="I300" s="420"/>
      <c r="J300" s="420"/>
      <c r="K300" s="420"/>
      <c r="L300" s="420"/>
      <c r="M300" s="420"/>
      <c r="N300" s="420"/>
      <c r="O300" s="421"/>
      <c r="P300" s="415" t="s">
        <v>76</v>
      </c>
      <c r="Q300" s="416"/>
      <c r="R300" s="416"/>
      <c r="S300" s="416"/>
      <c r="T300" s="416"/>
      <c r="U300" s="416"/>
      <c r="V300" s="417"/>
      <c r="W300" s="38" t="s">
        <v>77</v>
      </c>
      <c r="X300" s="405">
        <f>IFERROR(X299/H299,"0")</f>
        <v>44.444444444444443</v>
      </c>
      <c r="Y300" s="405">
        <f>IFERROR(Y299/H299,"0")</f>
        <v>45</v>
      </c>
      <c r="Z300" s="405">
        <f>IFERROR(IF(Z299="",0,Z299),"0")</f>
        <v>0.85409999999999997</v>
      </c>
      <c r="AA300" s="406"/>
      <c r="AB300" s="406"/>
      <c r="AC300" s="406"/>
    </row>
    <row r="301" spans="1:68" x14ac:dyDescent="0.2">
      <c r="A301" s="420"/>
      <c r="B301" s="420"/>
      <c r="C301" s="420"/>
      <c r="D301" s="420"/>
      <c r="E301" s="420"/>
      <c r="F301" s="420"/>
      <c r="G301" s="420"/>
      <c r="H301" s="420"/>
      <c r="I301" s="420"/>
      <c r="J301" s="420"/>
      <c r="K301" s="420"/>
      <c r="L301" s="420"/>
      <c r="M301" s="420"/>
      <c r="N301" s="420"/>
      <c r="O301" s="421"/>
      <c r="P301" s="415" t="s">
        <v>76</v>
      </c>
      <c r="Q301" s="416"/>
      <c r="R301" s="416"/>
      <c r="S301" s="416"/>
      <c r="T301" s="416"/>
      <c r="U301" s="416"/>
      <c r="V301" s="417"/>
      <c r="W301" s="38" t="s">
        <v>71</v>
      </c>
      <c r="X301" s="405">
        <f>IFERROR(SUM(X299:X299),"0")</f>
        <v>400</v>
      </c>
      <c r="Y301" s="405">
        <f>IFERROR(SUM(Y299:Y299),"0")</f>
        <v>405</v>
      </c>
      <c r="Z301" s="38"/>
      <c r="AA301" s="406"/>
      <c r="AB301" s="406"/>
      <c r="AC301" s="406"/>
    </row>
    <row r="302" spans="1:68" ht="27.75" customHeight="1" x14ac:dyDescent="0.2">
      <c r="A302" s="461" t="s">
        <v>467</v>
      </c>
      <c r="B302" s="462"/>
      <c r="C302" s="462"/>
      <c r="D302" s="462"/>
      <c r="E302" s="462"/>
      <c r="F302" s="462"/>
      <c r="G302" s="462"/>
      <c r="H302" s="462"/>
      <c r="I302" s="462"/>
      <c r="J302" s="462"/>
      <c r="K302" s="462"/>
      <c r="L302" s="462"/>
      <c r="M302" s="462"/>
      <c r="N302" s="462"/>
      <c r="O302" s="462"/>
      <c r="P302" s="462"/>
      <c r="Q302" s="462"/>
      <c r="R302" s="462"/>
      <c r="S302" s="462"/>
      <c r="T302" s="462"/>
      <c r="U302" s="462"/>
      <c r="V302" s="462"/>
      <c r="W302" s="462"/>
      <c r="X302" s="462"/>
      <c r="Y302" s="462"/>
      <c r="Z302" s="462"/>
      <c r="AA302" s="49"/>
      <c r="AB302" s="49"/>
      <c r="AC302" s="49"/>
    </row>
    <row r="303" spans="1:68" ht="16.5" customHeight="1" x14ac:dyDescent="0.25">
      <c r="A303" s="434" t="s">
        <v>468</v>
      </c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0"/>
      <c r="N303" s="420"/>
      <c r="O303" s="420"/>
      <c r="P303" s="420"/>
      <c r="Q303" s="420"/>
      <c r="R303" s="420"/>
      <c r="S303" s="420"/>
      <c r="T303" s="420"/>
      <c r="U303" s="420"/>
      <c r="V303" s="420"/>
      <c r="W303" s="420"/>
      <c r="X303" s="420"/>
      <c r="Y303" s="420"/>
      <c r="Z303" s="420"/>
      <c r="AA303" s="398"/>
      <c r="AB303" s="398"/>
      <c r="AC303" s="398"/>
    </row>
    <row r="304" spans="1:68" ht="14.25" customHeight="1" x14ac:dyDescent="0.25">
      <c r="A304" s="422" t="s">
        <v>182</v>
      </c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0"/>
      <c r="N304" s="420"/>
      <c r="O304" s="420"/>
      <c r="P304" s="420"/>
      <c r="Q304" s="420"/>
      <c r="R304" s="420"/>
      <c r="S304" s="420"/>
      <c r="T304" s="420"/>
      <c r="U304" s="420"/>
      <c r="V304" s="420"/>
      <c r="W304" s="420"/>
      <c r="X304" s="420"/>
      <c r="Y304" s="420"/>
      <c r="Z304" s="420"/>
      <c r="AA304" s="399"/>
      <c r="AB304" s="399"/>
      <c r="AC304" s="399"/>
    </row>
    <row r="305" spans="1:68" ht="27" customHeight="1" x14ac:dyDescent="0.25">
      <c r="A305" s="55" t="s">
        <v>469</v>
      </c>
      <c r="B305" s="55" t="s">
        <v>470</v>
      </c>
      <c r="C305" s="32">
        <v>4301031405</v>
      </c>
      <c r="D305" s="411">
        <v>4680115886100</v>
      </c>
      <c r="E305" s="412"/>
      <c r="F305" s="402">
        <v>0.9</v>
      </c>
      <c r="G305" s="33">
        <v>6</v>
      </c>
      <c r="H305" s="402">
        <v>5.4</v>
      </c>
      <c r="I305" s="402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5" s="408"/>
      <c r="R305" s="408"/>
      <c r="S305" s="408"/>
      <c r="T305" s="409"/>
      <c r="U305" s="35"/>
      <c r="V305" s="35"/>
      <c r="W305" s="36" t="s">
        <v>71</v>
      </c>
      <c r="X305" s="403">
        <v>0</v>
      </c>
      <c r="Y305" s="404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471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472</v>
      </c>
      <c r="B306" s="55" t="s">
        <v>473</v>
      </c>
      <c r="C306" s="32">
        <v>4301031382</v>
      </c>
      <c r="D306" s="411">
        <v>4680115886117</v>
      </c>
      <c r="E306" s="412"/>
      <c r="F306" s="402">
        <v>0.9</v>
      </c>
      <c r="G306" s="33">
        <v>6</v>
      </c>
      <c r="H306" s="402">
        <v>5.4</v>
      </c>
      <c r="I306" s="402">
        <v>5.61</v>
      </c>
      <c r="J306" s="33">
        <v>132</v>
      </c>
      <c r="K306" s="33" t="s">
        <v>94</v>
      </c>
      <c r="L306" s="33"/>
      <c r="M306" s="34" t="s">
        <v>70</v>
      </c>
      <c r="N306" s="34"/>
      <c r="O306" s="33">
        <v>50</v>
      </c>
      <c r="P306" s="55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408"/>
      <c r="R306" s="408"/>
      <c r="S306" s="408"/>
      <c r="T306" s="409"/>
      <c r="U306" s="35"/>
      <c r="V306" s="35"/>
      <c r="W306" s="36" t="s">
        <v>71</v>
      </c>
      <c r="X306" s="403">
        <v>0</v>
      </c>
      <c r="Y306" s="404">
        <f>IFERROR(IF(X306="",0,CEILING((X306/$H306),1)*$H306),"")</f>
        <v>0</v>
      </c>
      <c r="Z306" s="37" t="str">
        <f>IFERROR(IF(Y306=0,"",ROUNDUP(Y306/H306,0)*0.00902),"")</f>
        <v/>
      </c>
      <c r="AA306" s="57"/>
      <c r="AB306" s="58"/>
      <c r="AC306" s="336" t="s">
        <v>474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ht="27" customHeight="1" x14ac:dyDescent="0.25">
      <c r="A307" s="55" t="s">
        <v>472</v>
      </c>
      <c r="B307" s="55" t="s">
        <v>475</v>
      </c>
      <c r="C307" s="32">
        <v>4301031406</v>
      </c>
      <c r="D307" s="411">
        <v>4680115886117</v>
      </c>
      <c r="E307" s="412"/>
      <c r="F307" s="402">
        <v>0.9</v>
      </c>
      <c r="G307" s="33">
        <v>6</v>
      </c>
      <c r="H307" s="402">
        <v>5.4</v>
      </c>
      <c r="I307" s="402">
        <v>5.61</v>
      </c>
      <c r="J307" s="33">
        <v>132</v>
      </c>
      <c r="K307" s="33" t="s">
        <v>94</v>
      </c>
      <c r="L307" s="33"/>
      <c r="M307" s="34" t="s">
        <v>70</v>
      </c>
      <c r="N307" s="34"/>
      <c r="O307" s="33">
        <v>50</v>
      </c>
      <c r="P307" s="6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7" s="408"/>
      <c r="R307" s="408"/>
      <c r="S307" s="408"/>
      <c r="T307" s="409"/>
      <c r="U307" s="35"/>
      <c r="V307" s="35"/>
      <c r="W307" s="36" t="s">
        <v>71</v>
      </c>
      <c r="X307" s="403">
        <v>0</v>
      </c>
      <c r="Y307" s="404">
        <f>IFERROR(IF(X307="",0,CEILING((X307/$H307),1)*$H307),"")</f>
        <v>0</v>
      </c>
      <c r="Z307" s="37" t="str">
        <f>IFERROR(IF(Y307=0,"",ROUNDUP(Y307/H307,0)*0.00902),"")</f>
        <v/>
      </c>
      <c r="AA307" s="57"/>
      <c r="AB307" s="58"/>
      <c r="AC307" s="338" t="s">
        <v>474</v>
      </c>
      <c r="AG307" s="65"/>
      <c r="AJ307" s="69"/>
      <c r="AK307" s="69">
        <v>0</v>
      </c>
      <c r="BB307" s="339" t="s">
        <v>1</v>
      </c>
      <c r="BM307" s="65">
        <f>IFERROR(X307*I307/H307,"0")</f>
        <v>0</v>
      </c>
      <c r="BN307" s="65">
        <f>IFERROR(Y307*I307/H307,"0")</f>
        <v>0</v>
      </c>
      <c r="BO307" s="65">
        <f>IFERROR(1/J307*(X307/H307),"0")</f>
        <v>0</v>
      </c>
      <c r="BP307" s="65">
        <f>IFERROR(1/J307*(Y307/H307),"0")</f>
        <v>0</v>
      </c>
    </row>
    <row r="308" spans="1:68" ht="27" customHeight="1" x14ac:dyDescent="0.25">
      <c r="A308" s="55" t="s">
        <v>476</v>
      </c>
      <c r="B308" s="55" t="s">
        <v>477</v>
      </c>
      <c r="C308" s="32">
        <v>4301031358</v>
      </c>
      <c r="D308" s="411">
        <v>4607091389531</v>
      </c>
      <c r="E308" s="412"/>
      <c r="F308" s="402">
        <v>0.35</v>
      </c>
      <c r="G308" s="33">
        <v>6</v>
      </c>
      <c r="H308" s="402">
        <v>2.1</v>
      </c>
      <c r="I308" s="402">
        <v>2.23</v>
      </c>
      <c r="J308" s="33">
        <v>234</v>
      </c>
      <c r="K308" s="33" t="s">
        <v>166</v>
      </c>
      <c r="L308" s="33"/>
      <c r="M308" s="34" t="s">
        <v>70</v>
      </c>
      <c r="N308" s="34"/>
      <c r="O308" s="33">
        <v>50</v>
      </c>
      <c r="P308" s="52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8" s="408"/>
      <c r="R308" s="408"/>
      <c r="S308" s="408"/>
      <c r="T308" s="409"/>
      <c r="U308" s="35"/>
      <c r="V308" s="35"/>
      <c r="W308" s="36" t="s">
        <v>71</v>
      </c>
      <c r="X308" s="403">
        <v>0</v>
      </c>
      <c r="Y308" s="404">
        <f>IFERROR(IF(X308="",0,CEILING((X308/$H308),1)*$H308),"")</f>
        <v>0</v>
      </c>
      <c r="Z308" s="37" t="str">
        <f>IFERROR(IF(Y308=0,"",ROUNDUP(Y308/H308,0)*0.00502),"")</f>
        <v/>
      </c>
      <c r="AA308" s="57"/>
      <c r="AB308" s="58"/>
      <c r="AC308" s="340" t="s">
        <v>478</v>
      </c>
      <c r="AG308" s="65"/>
      <c r="AJ308" s="69"/>
      <c r="AK308" s="69">
        <v>0</v>
      </c>
      <c r="BB308" s="341" t="s">
        <v>1</v>
      </c>
      <c r="BM308" s="65">
        <f>IFERROR(X308*I308/H308,"0")</f>
        <v>0</v>
      </c>
      <c r="BN308" s="65">
        <f>IFERROR(Y308*I308/H308,"0")</f>
        <v>0</v>
      </c>
      <c r="BO308" s="65">
        <f>IFERROR(1/J308*(X308/H308),"0")</f>
        <v>0</v>
      </c>
      <c r="BP308" s="65">
        <f>IFERROR(1/J308*(Y308/H308),"0")</f>
        <v>0</v>
      </c>
    </row>
    <row r="309" spans="1:68" x14ac:dyDescent="0.2">
      <c r="A309" s="419"/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0"/>
      <c r="N309" s="420"/>
      <c r="O309" s="421"/>
      <c r="P309" s="415" t="s">
        <v>76</v>
      </c>
      <c r="Q309" s="416"/>
      <c r="R309" s="416"/>
      <c r="S309" s="416"/>
      <c r="T309" s="416"/>
      <c r="U309" s="416"/>
      <c r="V309" s="417"/>
      <c r="W309" s="38" t="s">
        <v>77</v>
      </c>
      <c r="X309" s="405">
        <f>IFERROR(X305/H305,"0")+IFERROR(X306/H306,"0")+IFERROR(X307/H307,"0")+IFERROR(X308/H308,"0")</f>
        <v>0</v>
      </c>
      <c r="Y309" s="405">
        <f>IFERROR(Y305/H305,"0")+IFERROR(Y306/H306,"0")+IFERROR(Y307/H307,"0")+IFERROR(Y308/H308,"0")</f>
        <v>0</v>
      </c>
      <c r="Z309" s="405">
        <f>IFERROR(IF(Z305="",0,Z305),"0")+IFERROR(IF(Z306="",0,Z306),"0")+IFERROR(IF(Z307="",0,Z307),"0")+IFERROR(IF(Z308="",0,Z308),"0")</f>
        <v>0</v>
      </c>
      <c r="AA309" s="406"/>
      <c r="AB309" s="406"/>
      <c r="AC309" s="406"/>
    </row>
    <row r="310" spans="1:68" x14ac:dyDescent="0.2">
      <c r="A310" s="420"/>
      <c r="B310" s="420"/>
      <c r="C310" s="420"/>
      <c r="D310" s="420"/>
      <c r="E310" s="420"/>
      <c r="F310" s="420"/>
      <c r="G310" s="420"/>
      <c r="H310" s="420"/>
      <c r="I310" s="420"/>
      <c r="J310" s="420"/>
      <c r="K310" s="420"/>
      <c r="L310" s="420"/>
      <c r="M310" s="420"/>
      <c r="N310" s="420"/>
      <c r="O310" s="421"/>
      <c r="P310" s="415" t="s">
        <v>76</v>
      </c>
      <c r="Q310" s="416"/>
      <c r="R310" s="416"/>
      <c r="S310" s="416"/>
      <c r="T310" s="416"/>
      <c r="U310" s="416"/>
      <c r="V310" s="417"/>
      <c r="W310" s="38" t="s">
        <v>71</v>
      </c>
      <c r="X310" s="405">
        <f>IFERROR(SUM(X305:X308),"0")</f>
        <v>0</v>
      </c>
      <c r="Y310" s="405">
        <f>IFERROR(SUM(Y305:Y308),"0")</f>
        <v>0</v>
      </c>
      <c r="Z310" s="38"/>
      <c r="AA310" s="406"/>
      <c r="AB310" s="406"/>
      <c r="AC310" s="406"/>
    </row>
    <row r="311" spans="1:68" ht="14.25" customHeight="1" x14ac:dyDescent="0.25">
      <c r="A311" s="422" t="s">
        <v>66</v>
      </c>
      <c r="B311" s="420"/>
      <c r="C311" s="420"/>
      <c r="D311" s="420"/>
      <c r="E311" s="420"/>
      <c r="F311" s="420"/>
      <c r="G311" s="420"/>
      <c r="H311" s="420"/>
      <c r="I311" s="420"/>
      <c r="J311" s="420"/>
      <c r="K311" s="420"/>
      <c r="L311" s="420"/>
      <c r="M311" s="420"/>
      <c r="N311" s="420"/>
      <c r="O311" s="420"/>
      <c r="P311" s="420"/>
      <c r="Q311" s="420"/>
      <c r="R311" s="420"/>
      <c r="S311" s="420"/>
      <c r="T311" s="420"/>
      <c r="U311" s="420"/>
      <c r="V311" s="420"/>
      <c r="W311" s="420"/>
      <c r="X311" s="420"/>
      <c r="Y311" s="420"/>
      <c r="Z311" s="420"/>
      <c r="AA311" s="399"/>
      <c r="AB311" s="399"/>
      <c r="AC311" s="399"/>
    </row>
    <row r="312" spans="1:68" ht="27" customHeight="1" x14ac:dyDescent="0.25">
      <c r="A312" s="55" t="s">
        <v>479</v>
      </c>
      <c r="B312" s="55" t="s">
        <v>480</v>
      </c>
      <c r="C312" s="32">
        <v>4301051284</v>
      </c>
      <c r="D312" s="411">
        <v>4607091384352</v>
      </c>
      <c r="E312" s="412"/>
      <c r="F312" s="402">
        <v>0.6</v>
      </c>
      <c r="G312" s="33">
        <v>4</v>
      </c>
      <c r="H312" s="402">
        <v>2.4</v>
      </c>
      <c r="I312" s="402">
        <v>2.6459999999999999</v>
      </c>
      <c r="J312" s="33">
        <v>132</v>
      </c>
      <c r="K312" s="33" t="s">
        <v>94</v>
      </c>
      <c r="L312" s="33"/>
      <c r="M312" s="34" t="s">
        <v>95</v>
      </c>
      <c r="N312" s="34"/>
      <c r="O312" s="33">
        <v>45</v>
      </c>
      <c r="P312" s="4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2" s="408"/>
      <c r="R312" s="408"/>
      <c r="S312" s="408"/>
      <c r="T312" s="409"/>
      <c r="U312" s="35"/>
      <c r="V312" s="35"/>
      <c r="W312" s="36" t="s">
        <v>71</v>
      </c>
      <c r="X312" s="403">
        <v>100</v>
      </c>
      <c r="Y312" s="404">
        <f>IFERROR(IF(X312="",0,CEILING((X312/$H312),1)*$H312),"")</f>
        <v>100.8</v>
      </c>
      <c r="Z312" s="37">
        <f>IFERROR(IF(Y312=0,"",ROUNDUP(Y312/H312,0)*0.00902),"")</f>
        <v>0.37884000000000001</v>
      </c>
      <c r="AA312" s="57"/>
      <c r="AB312" s="58"/>
      <c r="AC312" s="342" t="s">
        <v>481</v>
      </c>
      <c r="AG312" s="65"/>
      <c r="AJ312" s="69"/>
      <c r="AK312" s="69">
        <v>0</v>
      </c>
      <c r="BB312" s="343" t="s">
        <v>1</v>
      </c>
      <c r="BM312" s="65">
        <f>IFERROR(X312*I312/H312,"0")</f>
        <v>110.24999999999999</v>
      </c>
      <c r="BN312" s="65">
        <f>IFERROR(Y312*I312/H312,"0")</f>
        <v>111.13199999999999</v>
      </c>
      <c r="BO312" s="65">
        <f>IFERROR(1/J312*(X312/H312),"0")</f>
        <v>0.31565656565656569</v>
      </c>
      <c r="BP312" s="65">
        <f>IFERROR(1/J312*(Y312/H312),"0")</f>
        <v>0.31818181818181818</v>
      </c>
    </row>
    <row r="313" spans="1:68" ht="27" customHeight="1" x14ac:dyDescent="0.25">
      <c r="A313" s="55" t="s">
        <v>482</v>
      </c>
      <c r="B313" s="55" t="s">
        <v>483</v>
      </c>
      <c r="C313" s="32">
        <v>4301051431</v>
      </c>
      <c r="D313" s="411">
        <v>4607091389654</v>
      </c>
      <c r="E313" s="412"/>
      <c r="F313" s="402">
        <v>0.33</v>
      </c>
      <c r="G313" s="33">
        <v>6</v>
      </c>
      <c r="H313" s="402">
        <v>1.98</v>
      </c>
      <c r="I313" s="402">
        <v>2.238</v>
      </c>
      <c r="J313" s="33">
        <v>182</v>
      </c>
      <c r="K313" s="33" t="s">
        <v>69</v>
      </c>
      <c r="L313" s="33"/>
      <c r="M313" s="34" t="s">
        <v>95</v>
      </c>
      <c r="N313" s="34"/>
      <c r="O313" s="33">
        <v>45</v>
      </c>
      <c r="P313" s="6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3" s="408"/>
      <c r="R313" s="408"/>
      <c r="S313" s="408"/>
      <c r="T313" s="409"/>
      <c r="U313" s="35"/>
      <c r="V313" s="35"/>
      <c r="W313" s="36" t="s">
        <v>71</v>
      </c>
      <c r="X313" s="403">
        <v>0</v>
      </c>
      <c r="Y313" s="404">
        <f>IFERROR(IF(X313="",0,CEILING((X313/$H313),1)*$H313),"")</f>
        <v>0</v>
      </c>
      <c r="Z313" s="37" t="str">
        <f>IFERROR(IF(Y313=0,"",ROUNDUP(Y313/H313,0)*0.00651),"")</f>
        <v/>
      </c>
      <c r="AA313" s="57"/>
      <c r="AB313" s="58"/>
      <c r="AC313" s="344" t="s">
        <v>484</v>
      </c>
      <c r="AG313" s="65"/>
      <c r="AJ313" s="69"/>
      <c r="AK313" s="69">
        <v>0</v>
      </c>
      <c r="BB313" s="345" t="s">
        <v>1</v>
      </c>
      <c r="BM313" s="65">
        <f>IFERROR(X313*I313/H313,"0")</f>
        <v>0</v>
      </c>
      <c r="BN313" s="65">
        <f>IFERROR(Y313*I313/H313,"0")</f>
        <v>0</v>
      </c>
      <c r="BO313" s="65">
        <f>IFERROR(1/J313*(X313/H313),"0")</f>
        <v>0</v>
      </c>
      <c r="BP313" s="65">
        <f>IFERROR(1/J313*(Y313/H313),"0")</f>
        <v>0</v>
      </c>
    </row>
    <row r="314" spans="1:68" x14ac:dyDescent="0.2">
      <c r="A314" s="419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0"/>
      <c r="N314" s="420"/>
      <c r="O314" s="421"/>
      <c r="P314" s="415" t="s">
        <v>76</v>
      </c>
      <c r="Q314" s="416"/>
      <c r="R314" s="416"/>
      <c r="S314" s="416"/>
      <c r="T314" s="416"/>
      <c r="U314" s="416"/>
      <c r="V314" s="417"/>
      <c r="W314" s="38" t="s">
        <v>77</v>
      </c>
      <c r="X314" s="405">
        <f>IFERROR(X312/H312,"0")+IFERROR(X313/H313,"0")</f>
        <v>41.666666666666671</v>
      </c>
      <c r="Y314" s="405">
        <f>IFERROR(Y312/H312,"0")+IFERROR(Y313/H313,"0")</f>
        <v>42</v>
      </c>
      <c r="Z314" s="405">
        <f>IFERROR(IF(Z312="",0,Z312),"0")+IFERROR(IF(Z313="",0,Z313),"0")</f>
        <v>0.37884000000000001</v>
      </c>
      <c r="AA314" s="406"/>
      <c r="AB314" s="406"/>
      <c r="AC314" s="406"/>
    </row>
    <row r="315" spans="1:68" x14ac:dyDescent="0.2">
      <c r="A315" s="420"/>
      <c r="B315" s="420"/>
      <c r="C315" s="420"/>
      <c r="D315" s="420"/>
      <c r="E315" s="420"/>
      <c r="F315" s="420"/>
      <c r="G315" s="420"/>
      <c r="H315" s="420"/>
      <c r="I315" s="420"/>
      <c r="J315" s="420"/>
      <c r="K315" s="420"/>
      <c r="L315" s="420"/>
      <c r="M315" s="420"/>
      <c r="N315" s="420"/>
      <c r="O315" s="421"/>
      <c r="P315" s="415" t="s">
        <v>76</v>
      </c>
      <c r="Q315" s="416"/>
      <c r="R315" s="416"/>
      <c r="S315" s="416"/>
      <c r="T315" s="416"/>
      <c r="U315" s="416"/>
      <c r="V315" s="417"/>
      <c r="W315" s="38" t="s">
        <v>71</v>
      </c>
      <c r="X315" s="405">
        <f>IFERROR(SUM(X312:X313),"0")</f>
        <v>100</v>
      </c>
      <c r="Y315" s="405">
        <f>IFERROR(SUM(Y312:Y313),"0")</f>
        <v>100.8</v>
      </c>
      <c r="Z315" s="38"/>
      <c r="AA315" s="406"/>
      <c r="AB315" s="406"/>
      <c r="AC315" s="406"/>
    </row>
    <row r="316" spans="1:68" ht="16.5" customHeight="1" x14ac:dyDescent="0.25">
      <c r="A316" s="434" t="s">
        <v>485</v>
      </c>
      <c r="B316" s="420"/>
      <c r="C316" s="420"/>
      <c r="D316" s="420"/>
      <c r="E316" s="420"/>
      <c r="F316" s="420"/>
      <c r="G316" s="420"/>
      <c r="H316" s="420"/>
      <c r="I316" s="420"/>
      <c r="J316" s="420"/>
      <c r="K316" s="420"/>
      <c r="L316" s="420"/>
      <c r="M316" s="420"/>
      <c r="N316" s="420"/>
      <c r="O316" s="420"/>
      <c r="P316" s="420"/>
      <c r="Q316" s="420"/>
      <c r="R316" s="420"/>
      <c r="S316" s="420"/>
      <c r="T316" s="420"/>
      <c r="U316" s="420"/>
      <c r="V316" s="420"/>
      <c r="W316" s="420"/>
      <c r="X316" s="420"/>
      <c r="Y316" s="420"/>
      <c r="Z316" s="420"/>
      <c r="AA316" s="398"/>
      <c r="AB316" s="398"/>
      <c r="AC316" s="398"/>
    </row>
    <row r="317" spans="1:68" ht="14.25" customHeight="1" x14ac:dyDescent="0.25">
      <c r="A317" s="422" t="s">
        <v>117</v>
      </c>
      <c r="B317" s="420"/>
      <c r="C317" s="420"/>
      <c r="D317" s="420"/>
      <c r="E317" s="420"/>
      <c r="F317" s="420"/>
      <c r="G317" s="420"/>
      <c r="H317" s="420"/>
      <c r="I317" s="420"/>
      <c r="J317" s="420"/>
      <c r="K317" s="420"/>
      <c r="L317" s="420"/>
      <c r="M317" s="420"/>
      <c r="N317" s="420"/>
      <c r="O317" s="420"/>
      <c r="P317" s="420"/>
      <c r="Q317" s="420"/>
      <c r="R317" s="420"/>
      <c r="S317" s="420"/>
      <c r="T317" s="420"/>
      <c r="U317" s="420"/>
      <c r="V317" s="420"/>
      <c r="W317" s="420"/>
      <c r="X317" s="420"/>
      <c r="Y317" s="420"/>
      <c r="Z317" s="420"/>
      <c r="AA317" s="399"/>
      <c r="AB317" s="399"/>
      <c r="AC317" s="399"/>
    </row>
    <row r="318" spans="1:68" ht="27" customHeight="1" x14ac:dyDescent="0.25">
      <c r="A318" s="55" t="s">
        <v>486</v>
      </c>
      <c r="B318" s="55" t="s">
        <v>487</v>
      </c>
      <c r="C318" s="32">
        <v>4301020319</v>
      </c>
      <c r="D318" s="411">
        <v>4680115885240</v>
      </c>
      <c r="E318" s="412"/>
      <c r="F318" s="402">
        <v>0.35</v>
      </c>
      <c r="G318" s="33">
        <v>6</v>
      </c>
      <c r="H318" s="402">
        <v>2.1</v>
      </c>
      <c r="I318" s="402">
        <v>2.31</v>
      </c>
      <c r="J318" s="33">
        <v>182</v>
      </c>
      <c r="K318" s="33" t="s">
        <v>69</v>
      </c>
      <c r="L318" s="33"/>
      <c r="M318" s="34" t="s">
        <v>70</v>
      </c>
      <c r="N318" s="34"/>
      <c r="O318" s="33">
        <v>40</v>
      </c>
      <c r="P318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8" s="408"/>
      <c r="R318" s="408"/>
      <c r="S318" s="408"/>
      <c r="T318" s="409"/>
      <c r="U318" s="35"/>
      <c r="V318" s="35"/>
      <c r="W318" s="36" t="s">
        <v>71</v>
      </c>
      <c r="X318" s="403">
        <v>0</v>
      </c>
      <c r="Y318" s="404">
        <f>IFERROR(IF(X318="",0,CEILING((X318/$H318),1)*$H318),"")</f>
        <v>0</v>
      </c>
      <c r="Z318" s="37" t="str">
        <f>IFERROR(IF(Y318=0,"",ROUNDUP(Y318/H318,0)*0.00651),"")</f>
        <v/>
      </c>
      <c r="AA318" s="57"/>
      <c r="AB318" s="58"/>
      <c r="AC318" s="346" t="s">
        <v>488</v>
      </c>
      <c r="AG318" s="65"/>
      <c r="AJ318" s="69"/>
      <c r="AK318" s="69">
        <v>0</v>
      </c>
      <c r="BB318" s="347" t="s">
        <v>1</v>
      </c>
      <c r="BM318" s="65">
        <f>IFERROR(X318*I318/H318,"0")</f>
        <v>0</v>
      </c>
      <c r="BN318" s="65">
        <f>IFERROR(Y318*I318/H318,"0")</f>
        <v>0</v>
      </c>
      <c r="BO318" s="65">
        <f>IFERROR(1/J318*(X318/H318),"0")</f>
        <v>0</v>
      </c>
      <c r="BP318" s="65">
        <f>IFERROR(1/J318*(Y318/H318),"0")</f>
        <v>0</v>
      </c>
    </row>
    <row r="319" spans="1:68" ht="27" customHeight="1" x14ac:dyDescent="0.25">
      <c r="A319" s="55" t="s">
        <v>489</v>
      </c>
      <c r="B319" s="55" t="s">
        <v>490</v>
      </c>
      <c r="C319" s="32">
        <v>4301020315</v>
      </c>
      <c r="D319" s="411">
        <v>4607091389364</v>
      </c>
      <c r="E319" s="412"/>
      <c r="F319" s="402">
        <v>0.42</v>
      </c>
      <c r="G319" s="33">
        <v>6</v>
      </c>
      <c r="H319" s="402">
        <v>2.52</v>
      </c>
      <c r="I319" s="402">
        <v>2.73</v>
      </c>
      <c r="J319" s="33">
        <v>182</v>
      </c>
      <c r="K319" s="33" t="s">
        <v>69</v>
      </c>
      <c r="L319" s="33"/>
      <c r="M319" s="34" t="s">
        <v>70</v>
      </c>
      <c r="N319" s="34"/>
      <c r="O319" s="33">
        <v>40</v>
      </c>
      <c r="P319" s="6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19" s="408"/>
      <c r="R319" s="408"/>
      <c r="S319" s="408"/>
      <c r="T319" s="409"/>
      <c r="U319" s="35"/>
      <c r="V319" s="35"/>
      <c r="W319" s="36" t="s">
        <v>71</v>
      </c>
      <c r="X319" s="403">
        <v>0</v>
      </c>
      <c r="Y319" s="404">
        <f>IFERROR(IF(X319="",0,CEILING((X319/$H319),1)*$H319),"")</f>
        <v>0</v>
      </c>
      <c r="Z319" s="37" t="str">
        <f>IFERROR(IF(Y319=0,"",ROUNDUP(Y319/H319,0)*0.00651),"")</f>
        <v/>
      </c>
      <c r="AA319" s="57"/>
      <c r="AB319" s="58"/>
      <c r="AC319" s="348" t="s">
        <v>491</v>
      </c>
      <c r="AG319" s="65"/>
      <c r="AJ319" s="69"/>
      <c r="AK319" s="69">
        <v>0</v>
      </c>
      <c r="BB319" s="349" t="s">
        <v>1</v>
      </c>
      <c r="BM319" s="65">
        <f>IFERROR(X319*I319/H319,"0")</f>
        <v>0</v>
      </c>
      <c r="BN319" s="65">
        <f>IFERROR(Y319*I319/H319,"0")</f>
        <v>0</v>
      </c>
      <c r="BO319" s="65">
        <f>IFERROR(1/J319*(X319/H319),"0")</f>
        <v>0</v>
      </c>
      <c r="BP319" s="65">
        <f>IFERROR(1/J319*(Y319/H319),"0")</f>
        <v>0</v>
      </c>
    </row>
    <row r="320" spans="1:68" x14ac:dyDescent="0.2">
      <c r="A320" s="419"/>
      <c r="B320" s="420"/>
      <c r="C320" s="420"/>
      <c r="D320" s="420"/>
      <c r="E320" s="420"/>
      <c r="F320" s="420"/>
      <c r="G320" s="420"/>
      <c r="H320" s="420"/>
      <c r="I320" s="420"/>
      <c r="J320" s="420"/>
      <c r="K320" s="420"/>
      <c r="L320" s="420"/>
      <c r="M320" s="420"/>
      <c r="N320" s="420"/>
      <c r="O320" s="421"/>
      <c r="P320" s="415" t="s">
        <v>76</v>
      </c>
      <c r="Q320" s="416"/>
      <c r="R320" s="416"/>
      <c r="S320" s="416"/>
      <c r="T320" s="416"/>
      <c r="U320" s="416"/>
      <c r="V320" s="417"/>
      <c r="W320" s="38" t="s">
        <v>77</v>
      </c>
      <c r="X320" s="405">
        <f>IFERROR(X318/H318,"0")+IFERROR(X319/H319,"0")</f>
        <v>0</v>
      </c>
      <c r="Y320" s="405">
        <f>IFERROR(Y318/H318,"0")+IFERROR(Y319/H319,"0")</f>
        <v>0</v>
      </c>
      <c r="Z320" s="405">
        <f>IFERROR(IF(Z318="",0,Z318),"0")+IFERROR(IF(Z319="",0,Z319),"0")</f>
        <v>0</v>
      </c>
      <c r="AA320" s="406"/>
      <c r="AB320" s="406"/>
      <c r="AC320" s="406"/>
    </row>
    <row r="321" spans="1:68" x14ac:dyDescent="0.2">
      <c r="A321" s="420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0"/>
      <c r="N321" s="420"/>
      <c r="O321" s="421"/>
      <c r="P321" s="415" t="s">
        <v>76</v>
      </c>
      <c r="Q321" s="416"/>
      <c r="R321" s="416"/>
      <c r="S321" s="416"/>
      <c r="T321" s="416"/>
      <c r="U321" s="416"/>
      <c r="V321" s="417"/>
      <c r="W321" s="38" t="s">
        <v>71</v>
      </c>
      <c r="X321" s="405">
        <f>IFERROR(SUM(X318:X319),"0")</f>
        <v>0</v>
      </c>
      <c r="Y321" s="405">
        <f>IFERROR(SUM(Y318:Y319),"0")</f>
        <v>0</v>
      </c>
      <c r="Z321" s="38"/>
      <c r="AA321" s="406"/>
      <c r="AB321" s="406"/>
      <c r="AC321" s="406"/>
    </row>
    <row r="322" spans="1:68" ht="14.25" customHeight="1" x14ac:dyDescent="0.25">
      <c r="A322" s="422" t="s">
        <v>182</v>
      </c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0"/>
      <c r="N322" s="420"/>
      <c r="O322" s="420"/>
      <c r="P322" s="420"/>
      <c r="Q322" s="420"/>
      <c r="R322" s="420"/>
      <c r="S322" s="420"/>
      <c r="T322" s="420"/>
      <c r="U322" s="420"/>
      <c r="V322" s="420"/>
      <c r="W322" s="420"/>
      <c r="X322" s="420"/>
      <c r="Y322" s="420"/>
      <c r="Z322" s="420"/>
      <c r="AA322" s="399"/>
      <c r="AB322" s="399"/>
      <c r="AC322" s="399"/>
    </row>
    <row r="323" spans="1:68" ht="27" customHeight="1" x14ac:dyDescent="0.25">
      <c r="A323" s="55" t="s">
        <v>492</v>
      </c>
      <c r="B323" s="55" t="s">
        <v>493</v>
      </c>
      <c r="C323" s="32">
        <v>4301031403</v>
      </c>
      <c r="D323" s="411">
        <v>4680115886094</v>
      </c>
      <c r="E323" s="412"/>
      <c r="F323" s="402">
        <v>0.9</v>
      </c>
      <c r="G323" s="33">
        <v>6</v>
      </c>
      <c r="H323" s="402">
        <v>5.4</v>
      </c>
      <c r="I323" s="402">
        <v>5.61</v>
      </c>
      <c r="J323" s="33">
        <v>132</v>
      </c>
      <c r="K323" s="33" t="s">
        <v>94</v>
      </c>
      <c r="L323" s="33"/>
      <c r="M323" s="34" t="s">
        <v>90</v>
      </c>
      <c r="N323" s="34"/>
      <c r="O323" s="33">
        <v>50</v>
      </c>
      <c r="P323" s="6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3" s="408"/>
      <c r="R323" s="408"/>
      <c r="S323" s="408"/>
      <c r="T323" s="409"/>
      <c r="U323" s="35"/>
      <c r="V323" s="35"/>
      <c r="W323" s="36" t="s">
        <v>71</v>
      </c>
      <c r="X323" s="403">
        <v>0</v>
      </c>
      <c r="Y323" s="404">
        <f>IFERROR(IF(X323="",0,CEILING((X323/$H323),1)*$H323),"")</f>
        <v>0</v>
      </c>
      <c r="Z323" s="37" t="str">
        <f>IFERROR(IF(Y323=0,"",ROUNDUP(Y323/H323,0)*0.00902),"")</f>
        <v/>
      </c>
      <c r="AA323" s="57"/>
      <c r="AB323" s="58"/>
      <c r="AC323" s="350" t="s">
        <v>494</v>
      </c>
      <c r="AG323" s="65"/>
      <c r="AJ323" s="69"/>
      <c r="AK323" s="69">
        <v>0</v>
      </c>
      <c r="BB323" s="351" t="s">
        <v>1</v>
      </c>
      <c r="BM323" s="65">
        <f>IFERROR(X323*I323/H323,"0")</f>
        <v>0</v>
      </c>
      <c r="BN323" s="65">
        <f>IFERROR(Y323*I323/H323,"0")</f>
        <v>0</v>
      </c>
      <c r="BO323" s="65">
        <f>IFERROR(1/J323*(X323/H323),"0")</f>
        <v>0</v>
      </c>
      <c r="BP323" s="65">
        <f>IFERROR(1/J323*(Y323/H323),"0")</f>
        <v>0</v>
      </c>
    </row>
    <row r="324" spans="1:68" x14ac:dyDescent="0.2">
      <c r="A324" s="419"/>
      <c r="B324" s="420"/>
      <c r="C324" s="420"/>
      <c r="D324" s="420"/>
      <c r="E324" s="420"/>
      <c r="F324" s="420"/>
      <c r="G324" s="420"/>
      <c r="H324" s="420"/>
      <c r="I324" s="420"/>
      <c r="J324" s="420"/>
      <c r="K324" s="420"/>
      <c r="L324" s="420"/>
      <c r="M324" s="420"/>
      <c r="N324" s="420"/>
      <c r="O324" s="421"/>
      <c r="P324" s="415" t="s">
        <v>76</v>
      </c>
      <c r="Q324" s="416"/>
      <c r="R324" s="416"/>
      <c r="S324" s="416"/>
      <c r="T324" s="416"/>
      <c r="U324" s="416"/>
      <c r="V324" s="417"/>
      <c r="W324" s="38" t="s">
        <v>77</v>
      </c>
      <c r="X324" s="405">
        <f>IFERROR(X323/H323,"0")</f>
        <v>0</v>
      </c>
      <c r="Y324" s="405">
        <f>IFERROR(Y323/H323,"0")</f>
        <v>0</v>
      </c>
      <c r="Z324" s="405">
        <f>IFERROR(IF(Z323="",0,Z323),"0")</f>
        <v>0</v>
      </c>
      <c r="AA324" s="406"/>
      <c r="AB324" s="406"/>
      <c r="AC324" s="406"/>
    </row>
    <row r="325" spans="1:68" x14ac:dyDescent="0.2">
      <c r="A325" s="420"/>
      <c r="B325" s="420"/>
      <c r="C325" s="420"/>
      <c r="D325" s="420"/>
      <c r="E325" s="420"/>
      <c r="F325" s="420"/>
      <c r="G325" s="420"/>
      <c r="H325" s="420"/>
      <c r="I325" s="420"/>
      <c r="J325" s="420"/>
      <c r="K325" s="420"/>
      <c r="L325" s="420"/>
      <c r="M325" s="420"/>
      <c r="N325" s="420"/>
      <c r="O325" s="421"/>
      <c r="P325" s="415" t="s">
        <v>76</v>
      </c>
      <c r="Q325" s="416"/>
      <c r="R325" s="416"/>
      <c r="S325" s="416"/>
      <c r="T325" s="416"/>
      <c r="U325" s="416"/>
      <c r="V325" s="417"/>
      <c r="W325" s="38" t="s">
        <v>71</v>
      </c>
      <c r="X325" s="405">
        <f>IFERROR(SUM(X323:X323),"0")</f>
        <v>0</v>
      </c>
      <c r="Y325" s="405">
        <f>IFERROR(SUM(Y323:Y323),"0")</f>
        <v>0</v>
      </c>
      <c r="Z325" s="38"/>
      <c r="AA325" s="406"/>
      <c r="AB325" s="406"/>
      <c r="AC325" s="406"/>
    </row>
    <row r="326" spans="1:68" ht="27.75" customHeight="1" x14ac:dyDescent="0.2">
      <c r="A326" s="461" t="s">
        <v>495</v>
      </c>
      <c r="B326" s="462"/>
      <c r="C326" s="462"/>
      <c r="D326" s="462"/>
      <c r="E326" s="462"/>
      <c r="F326" s="462"/>
      <c r="G326" s="462"/>
      <c r="H326" s="462"/>
      <c r="I326" s="462"/>
      <c r="J326" s="462"/>
      <c r="K326" s="462"/>
      <c r="L326" s="462"/>
      <c r="M326" s="462"/>
      <c r="N326" s="462"/>
      <c r="O326" s="462"/>
      <c r="P326" s="462"/>
      <c r="Q326" s="462"/>
      <c r="R326" s="462"/>
      <c r="S326" s="462"/>
      <c r="T326" s="462"/>
      <c r="U326" s="462"/>
      <c r="V326" s="462"/>
      <c r="W326" s="462"/>
      <c r="X326" s="462"/>
      <c r="Y326" s="462"/>
      <c r="Z326" s="462"/>
      <c r="AA326" s="49"/>
      <c r="AB326" s="49"/>
      <c r="AC326" s="49"/>
    </row>
    <row r="327" spans="1:68" ht="16.5" customHeight="1" x14ac:dyDescent="0.25">
      <c r="A327" s="434" t="s">
        <v>495</v>
      </c>
      <c r="B327" s="420"/>
      <c r="C327" s="420"/>
      <c r="D327" s="420"/>
      <c r="E327" s="420"/>
      <c r="F327" s="420"/>
      <c r="G327" s="420"/>
      <c r="H327" s="420"/>
      <c r="I327" s="420"/>
      <c r="J327" s="420"/>
      <c r="K327" s="420"/>
      <c r="L327" s="420"/>
      <c r="M327" s="420"/>
      <c r="N327" s="420"/>
      <c r="O327" s="420"/>
      <c r="P327" s="420"/>
      <c r="Q327" s="420"/>
      <c r="R327" s="420"/>
      <c r="S327" s="420"/>
      <c r="T327" s="420"/>
      <c r="U327" s="420"/>
      <c r="V327" s="420"/>
      <c r="W327" s="420"/>
      <c r="X327" s="420"/>
      <c r="Y327" s="420"/>
      <c r="Z327" s="420"/>
      <c r="AA327" s="398"/>
      <c r="AB327" s="398"/>
      <c r="AC327" s="398"/>
    </row>
    <row r="328" spans="1:68" ht="14.25" customHeight="1" x14ac:dyDescent="0.25">
      <c r="A328" s="422" t="s">
        <v>86</v>
      </c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0"/>
      <c r="N328" s="420"/>
      <c r="O328" s="420"/>
      <c r="P328" s="420"/>
      <c r="Q328" s="420"/>
      <c r="R328" s="420"/>
      <c r="S328" s="420"/>
      <c r="T328" s="420"/>
      <c r="U328" s="420"/>
      <c r="V328" s="420"/>
      <c r="W328" s="420"/>
      <c r="X328" s="420"/>
      <c r="Y328" s="420"/>
      <c r="Z328" s="420"/>
      <c r="AA328" s="399"/>
      <c r="AB328" s="399"/>
      <c r="AC328" s="399"/>
    </row>
    <row r="329" spans="1:68" ht="27" customHeight="1" x14ac:dyDescent="0.25">
      <c r="A329" s="55" t="s">
        <v>496</v>
      </c>
      <c r="B329" s="55" t="s">
        <v>497</v>
      </c>
      <c r="C329" s="32">
        <v>4301011795</v>
      </c>
      <c r="D329" s="411">
        <v>4607091389067</v>
      </c>
      <c r="E329" s="412"/>
      <c r="F329" s="402">
        <v>0.88</v>
      </c>
      <c r="G329" s="33">
        <v>6</v>
      </c>
      <c r="H329" s="402">
        <v>5.28</v>
      </c>
      <c r="I329" s="402">
        <v>5.64</v>
      </c>
      <c r="J329" s="33">
        <v>104</v>
      </c>
      <c r="K329" s="33" t="s">
        <v>89</v>
      </c>
      <c r="L329" s="33"/>
      <c r="M329" s="34" t="s">
        <v>90</v>
      </c>
      <c r="N329" s="34"/>
      <c r="O329" s="33">
        <v>60</v>
      </c>
      <c r="P329" s="4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9" s="408"/>
      <c r="R329" s="408"/>
      <c r="S329" s="408"/>
      <c r="T329" s="409"/>
      <c r="U329" s="35"/>
      <c r="V329" s="35"/>
      <c r="W329" s="36" t="s">
        <v>71</v>
      </c>
      <c r="X329" s="403">
        <v>0</v>
      </c>
      <c r="Y329" s="404">
        <f t="shared" ref="Y329:Y338" si="30">IFERROR(IF(X329="",0,CEILING((X329/$H329),1)*$H329),"")</f>
        <v>0</v>
      </c>
      <c r="Z329" s="37" t="str">
        <f>IFERROR(IF(Y329=0,"",ROUNDUP(Y329/H329,0)*0.01196),"")</f>
        <v/>
      </c>
      <c r="AA329" s="57"/>
      <c r="AB329" s="58"/>
      <c r="AC329" s="352" t="s">
        <v>498</v>
      </c>
      <c r="AG329" s="65"/>
      <c r="AJ329" s="69"/>
      <c r="AK329" s="69">
        <v>0</v>
      </c>
      <c r="BB329" s="353" t="s">
        <v>1</v>
      </c>
      <c r="BM329" s="65">
        <f t="shared" ref="BM329:BM338" si="31">IFERROR(X329*I329/H329,"0")</f>
        <v>0</v>
      </c>
      <c r="BN329" s="65">
        <f t="shared" ref="BN329:BN338" si="32">IFERROR(Y329*I329/H329,"0")</f>
        <v>0</v>
      </c>
      <c r="BO329" s="65">
        <f t="shared" ref="BO329:BO338" si="33">IFERROR(1/J329*(X329/H329),"0")</f>
        <v>0</v>
      </c>
      <c r="BP329" s="65">
        <f t="shared" ref="BP329:BP338" si="34">IFERROR(1/J329*(Y329/H329),"0")</f>
        <v>0</v>
      </c>
    </row>
    <row r="330" spans="1:68" ht="27" customHeight="1" x14ac:dyDescent="0.25">
      <c r="A330" s="55" t="s">
        <v>499</v>
      </c>
      <c r="B330" s="55" t="s">
        <v>500</v>
      </c>
      <c r="C330" s="32">
        <v>4301011376</v>
      </c>
      <c r="D330" s="411">
        <v>4680115885226</v>
      </c>
      <c r="E330" s="412"/>
      <c r="F330" s="402">
        <v>0.88</v>
      </c>
      <c r="G330" s="33">
        <v>6</v>
      </c>
      <c r="H330" s="402">
        <v>5.28</v>
      </c>
      <c r="I330" s="402">
        <v>5.64</v>
      </c>
      <c r="J330" s="33">
        <v>104</v>
      </c>
      <c r="K330" s="33" t="s">
        <v>89</v>
      </c>
      <c r="L330" s="33"/>
      <c r="M330" s="34" t="s">
        <v>95</v>
      </c>
      <c r="N330" s="34"/>
      <c r="O330" s="33">
        <v>60</v>
      </c>
      <c r="P330" s="5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30" s="408"/>
      <c r="R330" s="408"/>
      <c r="S330" s="408"/>
      <c r="T330" s="409"/>
      <c r="U330" s="35"/>
      <c r="V330" s="35"/>
      <c r="W330" s="36" t="s">
        <v>71</v>
      </c>
      <c r="X330" s="403">
        <v>300</v>
      </c>
      <c r="Y330" s="404">
        <f t="shared" si="30"/>
        <v>300.96000000000004</v>
      </c>
      <c r="Z330" s="37">
        <f>IFERROR(IF(Y330=0,"",ROUNDUP(Y330/H330,0)*0.01196),"")</f>
        <v>0.68171999999999999</v>
      </c>
      <c r="AA330" s="57"/>
      <c r="AB330" s="58"/>
      <c r="AC330" s="354" t="s">
        <v>501</v>
      </c>
      <c r="AG330" s="65"/>
      <c r="AJ330" s="69"/>
      <c r="AK330" s="69">
        <v>0</v>
      </c>
      <c r="BB330" s="355" t="s">
        <v>1</v>
      </c>
      <c r="BM330" s="65">
        <f t="shared" si="31"/>
        <v>320.45454545454544</v>
      </c>
      <c r="BN330" s="65">
        <f t="shared" si="32"/>
        <v>321.48</v>
      </c>
      <c r="BO330" s="65">
        <f t="shared" si="33"/>
        <v>0.54632867132867136</v>
      </c>
      <c r="BP330" s="65">
        <f t="shared" si="34"/>
        <v>0.54807692307692313</v>
      </c>
    </row>
    <row r="331" spans="1:68" ht="16.5" customHeight="1" x14ac:dyDescent="0.25">
      <c r="A331" s="55" t="s">
        <v>502</v>
      </c>
      <c r="B331" s="55" t="s">
        <v>503</v>
      </c>
      <c r="C331" s="32">
        <v>4301011774</v>
      </c>
      <c r="D331" s="411">
        <v>4680115884502</v>
      </c>
      <c r="E331" s="412"/>
      <c r="F331" s="402">
        <v>0.88</v>
      </c>
      <c r="G331" s="33">
        <v>6</v>
      </c>
      <c r="H331" s="402">
        <v>5.28</v>
      </c>
      <c r="I331" s="402">
        <v>5.64</v>
      </c>
      <c r="J331" s="33">
        <v>104</v>
      </c>
      <c r="K331" s="33" t="s">
        <v>89</v>
      </c>
      <c r="L331" s="33"/>
      <c r="M331" s="34" t="s">
        <v>90</v>
      </c>
      <c r="N331" s="34"/>
      <c r="O331" s="33">
        <v>60</v>
      </c>
      <c r="P331" s="4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31" s="408"/>
      <c r="R331" s="408"/>
      <c r="S331" s="408"/>
      <c r="T331" s="409"/>
      <c r="U331" s="35"/>
      <c r="V331" s="35"/>
      <c r="W331" s="36" t="s">
        <v>71</v>
      </c>
      <c r="X331" s="403">
        <v>0</v>
      </c>
      <c r="Y331" s="404">
        <f t="shared" si="30"/>
        <v>0</v>
      </c>
      <c r="Z331" s="37" t="str">
        <f>IFERROR(IF(Y331=0,"",ROUNDUP(Y331/H331,0)*0.01196),"")</f>
        <v/>
      </c>
      <c r="AA331" s="57"/>
      <c r="AB331" s="58"/>
      <c r="AC331" s="356" t="s">
        <v>504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505</v>
      </c>
      <c r="B332" s="55" t="s">
        <v>506</v>
      </c>
      <c r="C332" s="32">
        <v>4301011771</v>
      </c>
      <c r="D332" s="411">
        <v>4607091389104</v>
      </c>
      <c r="E332" s="412"/>
      <c r="F332" s="402">
        <v>0.88</v>
      </c>
      <c r="G332" s="33">
        <v>6</v>
      </c>
      <c r="H332" s="402">
        <v>5.28</v>
      </c>
      <c r="I332" s="402">
        <v>5.64</v>
      </c>
      <c r="J332" s="33">
        <v>104</v>
      </c>
      <c r="K332" s="33" t="s">
        <v>89</v>
      </c>
      <c r="L332" s="33"/>
      <c r="M332" s="34" t="s">
        <v>90</v>
      </c>
      <c r="N332" s="34"/>
      <c r="O332" s="33">
        <v>60</v>
      </c>
      <c r="P332" s="5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2" s="408"/>
      <c r="R332" s="408"/>
      <c r="S332" s="408"/>
      <c r="T332" s="409"/>
      <c r="U332" s="35"/>
      <c r="V332" s="35"/>
      <c r="W332" s="36" t="s">
        <v>71</v>
      </c>
      <c r="X332" s="403">
        <v>0</v>
      </c>
      <c r="Y332" s="404">
        <f t="shared" si="30"/>
        <v>0</v>
      </c>
      <c r="Z332" s="37" t="str">
        <f>IFERROR(IF(Y332=0,"",ROUNDUP(Y332/H332,0)*0.01196),"")</f>
        <v/>
      </c>
      <c r="AA332" s="57"/>
      <c r="AB332" s="58"/>
      <c r="AC332" s="358" t="s">
        <v>507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16.5" customHeight="1" x14ac:dyDescent="0.25">
      <c r="A333" s="55" t="s">
        <v>508</v>
      </c>
      <c r="B333" s="55" t="s">
        <v>509</v>
      </c>
      <c r="C333" s="32">
        <v>4301011799</v>
      </c>
      <c r="D333" s="411">
        <v>4680115884519</v>
      </c>
      <c r="E333" s="412"/>
      <c r="F333" s="402">
        <v>0.88</v>
      </c>
      <c r="G333" s="33">
        <v>6</v>
      </c>
      <c r="H333" s="402">
        <v>5.28</v>
      </c>
      <c r="I333" s="402">
        <v>5.64</v>
      </c>
      <c r="J333" s="33">
        <v>104</v>
      </c>
      <c r="K333" s="33" t="s">
        <v>89</v>
      </c>
      <c r="L333" s="33"/>
      <c r="M333" s="34" t="s">
        <v>95</v>
      </c>
      <c r="N333" s="34"/>
      <c r="O333" s="33">
        <v>60</v>
      </c>
      <c r="P333" s="5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33" s="408"/>
      <c r="R333" s="408"/>
      <c r="S333" s="408"/>
      <c r="T333" s="409"/>
      <c r="U333" s="35"/>
      <c r="V333" s="35"/>
      <c r="W333" s="36" t="s">
        <v>71</v>
      </c>
      <c r="X333" s="403">
        <v>0</v>
      </c>
      <c r="Y333" s="404">
        <f t="shared" si="30"/>
        <v>0</v>
      </c>
      <c r="Z333" s="37" t="str">
        <f>IFERROR(IF(Y333=0,"",ROUNDUP(Y333/H333,0)*0.01196),"")</f>
        <v/>
      </c>
      <c r="AA333" s="57"/>
      <c r="AB333" s="58"/>
      <c r="AC333" s="360" t="s">
        <v>510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ht="27" customHeight="1" x14ac:dyDescent="0.25">
      <c r="A334" s="55" t="s">
        <v>511</v>
      </c>
      <c r="B334" s="55" t="s">
        <v>512</v>
      </c>
      <c r="C334" s="32">
        <v>4301011778</v>
      </c>
      <c r="D334" s="411">
        <v>4680115880603</v>
      </c>
      <c r="E334" s="412"/>
      <c r="F334" s="402">
        <v>0.6</v>
      </c>
      <c r="G334" s="33">
        <v>6</v>
      </c>
      <c r="H334" s="402">
        <v>3.6</v>
      </c>
      <c r="I334" s="402">
        <v>3.81</v>
      </c>
      <c r="J334" s="33">
        <v>132</v>
      </c>
      <c r="K334" s="33" t="s">
        <v>94</v>
      </c>
      <c r="L334" s="33"/>
      <c r="M334" s="34" t="s">
        <v>90</v>
      </c>
      <c r="N334" s="34"/>
      <c r="O334" s="33">
        <v>60</v>
      </c>
      <c r="P334" s="4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34" s="408"/>
      <c r="R334" s="408"/>
      <c r="S334" s="408"/>
      <c r="T334" s="409"/>
      <c r="U334" s="35"/>
      <c r="V334" s="35"/>
      <c r="W334" s="36" t="s">
        <v>71</v>
      </c>
      <c r="X334" s="403">
        <v>0</v>
      </c>
      <c r="Y334" s="404">
        <f t="shared" si="30"/>
        <v>0</v>
      </c>
      <c r="Z334" s="37" t="str">
        <f>IFERROR(IF(Y334=0,"",ROUNDUP(Y334/H334,0)*0.00902),"")</f>
        <v/>
      </c>
      <c r="AA334" s="57"/>
      <c r="AB334" s="58"/>
      <c r="AC334" s="362" t="s">
        <v>498</v>
      </c>
      <c r="AG334" s="65"/>
      <c r="AJ334" s="69"/>
      <c r="AK334" s="69">
        <v>0</v>
      </c>
      <c r="BB334" s="363" t="s">
        <v>1</v>
      </c>
      <c r="BM334" s="65">
        <f t="shared" si="31"/>
        <v>0</v>
      </c>
      <c r="BN334" s="65">
        <f t="shared" si="32"/>
        <v>0</v>
      </c>
      <c r="BO334" s="65">
        <f t="shared" si="33"/>
        <v>0</v>
      </c>
      <c r="BP334" s="65">
        <f t="shared" si="34"/>
        <v>0</v>
      </c>
    </row>
    <row r="335" spans="1:68" ht="27" customHeight="1" x14ac:dyDescent="0.25">
      <c r="A335" s="55" t="s">
        <v>511</v>
      </c>
      <c r="B335" s="55" t="s">
        <v>513</v>
      </c>
      <c r="C335" s="32">
        <v>4301012035</v>
      </c>
      <c r="D335" s="411">
        <v>4680115880603</v>
      </c>
      <c r="E335" s="412"/>
      <c r="F335" s="402">
        <v>0.6</v>
      </c>
      <c r="G335" s="33">
        <v>8</v>
      </c>
      <c r="H335" s="402">
        <v>4.8</v>
      </c>
      <c r="I335" s="402">
        <v>6.93</v>
      </c>
      <c r="J335" s="33">
        <v>132</v>
      </c>
      <c r="K335" s="33" t="s">
        <v>94</v>
      </c>
      <c r="L335" s="33"/>
      <c r="M335" s="34" t="s">
        <v>90</v>
      </c>
      <c r="N335" s="34"/>
      <c r="O335" s="33">
        <v>60</v>
      </c>
      <c r="P335" s="5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5" s="408"/>
      <c r="R335" s="408"/>
      <c r="S335" s="408"/>
      <c r="T335" s="409"/>
      <c r="U335" s="35"/>
      <c r="V335" s="35"/>
      <c r="W335" s="36" t="s">
        <v>71</v>
      </c>
      <c r="X335" s="403">
        <v>0</v>
      </c>
      <c r="Y335" s="404">
        <f t="shared" si="30"/>
        <v>0</v>
      </c>
      <c r="Z335" s="37" t="str">
        <f>IFERROR(IF(Y335=0,"",ROUNDUP(Y335/H335,0)*0.00902),"")</f>
        <v/>
      </c>
      <c r="AA335" s="57"/>
      <c r="AB335" s="58"/>
      <c r="AC335" s="364" t="s">
        <v>498</v>
      </c>
      <c r="AG335" s="65"/>
      <c r="AJ335" s="69"/>
      <c r="AK335" s="69">
        <v>0</v>
      </c>
      <c r="BB335" s="365" t="s">
        <v>1</v>
      </c>
      <c r="BM335" s="65">
        <f t="shared" si="31"/>
        <v>0</v>
      </c>
      <c r="BN335" s="65">
        <f t="shared" si="32"/>
        <v>0</v>
      </c>
      <c r="BO335" s="65">
        <f t="shared" si="33"/>
        <v>0</v>
      </c>
      <c r="BP335" s="65">
        <f t="shared" si="34"/>
        <v>0</v>
      </c>
    </row>
    <row r="336" spans="1:68" ht="27" customHeight="1" x14ac:dyDescent="0.25">
      <c r="A336" s="55" t="s">
        <v>514</v>
      </c>
      <c r="B336" s="55" t="s">
        <v>515</v>
      </c>
      <c r="C336" s="32">
        <v>4301012036</v>
      </c>
      <c r="D336" s="411">
        <v>4680115882782</v>
      </c>
      <c r="E336" s="412"/>
      <c r="F336" s="402">
        <v>0.6</v>
      </c>
      <c r="G336" s="33">
        <v>8</v>
      </c>
      <c r="H336" s="402">
        <v>4.8</v>
      </c>
      <c r="I336" s="402">
        <v>6.96</v>
      </c>
      <c r="J336" s="33">
        <v>120</v>
      </c>
      <c r="K336" s="33" t="s">
        <v>94</v>
      </c>
      <c r="L336" s="33"/>
      <c r="M336" s="34" t="s">
        <v>90</v>
      </c>
      <c r="N336" s="34"/>
      <c r="O336" s="33">
        <v>60</v>
      </c>
      <c r="P336" s="6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6" s="408"/>
      <c r="R336" s="408"/>
      <c r="S336" s="408"/>
      <c r="T336" s="409"/>
      <c r="U336" s="35"/>
      <c r="V336" s="35"/>
      <c r="W336" s="36" t="s">
        <v>71</v>
      </c>
      <c r="X336" s="403">
        <v>0</v>
      </c>
      <c r="Y336" s="404">
        <f t="shared" si="30"/>
        <v>0</v>
      </c>
      <c r="Z336" s="37" t="str">
        <f>IFERROR(IF(Y336=0,"",ROUNDUP(Y336/H336,0)*0.00937),"")</f>
        <v/>
      </c>
      <c r="AA336" s="57"/>
      <c r="AB336" s="58"/>
      <c r="AC336" s="366" t="s">
        <v>516</v>
      </c>
      <c r="AG336" s="65"/>
      <c r="AJ336" s="69"/>
      <c r="AK336" s="69">
        <v>0</v>
      </c>
      <c r="BB336" s="367" t="s">
        <v>1</v>
      </c>
      <c r="BM336" s="65">
        <f t="shared" si="31"/>
        <v>0</v>
      </c>
      <c r="BN336" s="65">
        <f t="shared" si="32"/>
        <v>0</v>
      </c>
      <c r="BO336" s="65">
        <f t="shared" si="33"/>
        <v>0</v>
      </c>
      <c r="BP336" s="65">
        <f t="shared" si="34"/>
        <v>0</v>
      </c>
    </row>
    <row r="337" spans="1:68" ht="27" customHeight="1" x14ac:dyDescent="0.25">
      <c r="A337" s="55" t="s">
        <v>517</v>
      </c>
      <c r="B337" s="55" t="s">
        <v>518</v>
      </c>
      <c r="C337" s="32">
        <v>4301011784</v>
      </c>
      <c r="D337" s="411">
        <v>4607091389982</v>
      </c>
      <c r="E337" s="412"/>
      <c r="F337" s="402">
        <v>0.6</v>
      </c>
      <c r="G337" s="33">
        <v>6</v>
      </c>
      <c r="H337" s="402">
        <v>3.6</v>
      </c>
      <c r="I337" s="402">
        <v>3.81</v>
      </c>
      <c r="J337" s="33">
        <v>132</v>
      </c>
      <c r="K337" s="33" t="s">
        <v>94</v>
      </c>
      <c r="L337" s="33"/>
      <c r="M337" s="34" t="s">
        <v>90</v>
      </c>
      <c r="N337" s="34"/>
      <c r="O337" s="33">
        <v>60</v>
      </c>
      <c r="P337" s="4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7" s="408"/>
      <c r="R337" s="408"/>
      <c r="S337" s="408"/>
      <c r="T337" s="409"/>
      <c r="U337" s="35"/>
      <c r="V337" s="35"/>
      <c r="W337" s="36" t="s">
        <v>71</v>
      </c>
      <c r="X337" s="403">
        <v>0</v>
      </c>
      <c r="Y337" s="404">
        <f t="shared" si="30"/>
        <v>0</v>
      </c>
      <c r="Z337" s="37" t="str">
        <f>IFERROR(IF(Y337=0,"",ROUNDUP(Y337/H337,0)*0.00902),"")</f>
        <v/>
      </c>
      <c r="AA337" s="57"/>
      <c r="AB337" s="58"/>
      <c r="AC337" s="368" t="s">
        <v>507</v>
      </c>
      <c r="AG337" s="65"/>
      <c r="AJ337" s="69"/>
      <c r="AK337" s="69">
        <v>0</v>
      </c>
      <c r="BB337" s="369" t="s">
        <v>1</v>
      </c>
      <c r="BM337" s="65">
        <f t="shared" si="31"/>
        <v>0</v>
      </c>
      <c r="BN337" s="65">
        <f t="shared" si="32"/>
        <v>0</v>
      </c>
      <c r="BO337" s="65">
        <f t="shared" si="33"/>
        <v>0</v>
      </c>
      <c r="BP337" s="65">
        <f t="shared" si="34"/>
        <v>0</v>
      </c>
    </row>
    <row r="338" spans="1:68" ht="27" customHeight="1" x14ac:dyDescent="0.25">
      <c r="A338" s="55" t="s">
        <v>517</v>
      </c>
      <c r="B338" s="55" t="s">
        <v>519</v>
      </c>
      <c r="C338" s="32">
        <v>4301012034</v>
      </c>
      <c r="D338" s="411">
        <v>4607091389982</v>
      </c>
      <c r="E338" s="412"/>
      <c r="F338" s="402">
        <v>0.6</v>
      </c>
      <c r="G338" s="33">
        <v>8</v>
      </c>
      <c r="H338" s="402">
        <v>4.8</v>
      </c>
      <c r="I338" s="402">
        <v>6.96</v>
      </c>
      <c r="J338" s="33">
        <v>120</v>
      </c>
      <c r="K338" s="33" t="s">
        <v>94</v>
      </c>
      <c r="L338" s="33"/>
      <c r="M338" s="34" t="s">
        <v>90</v>
      </c>
      <c r="N338" s="34"/>
      <c r="O338" s="33">
        <v>60</v>
      </c>
      <c r="P338" s="65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8" s="408"/>
      <c r="R338" s="408"/>
      <c r="S338" s="408"/>
      <c r="T338" s="409"/>
      <c r="U338" s="35"/>
      <c r="V338" s="35"/>
      <c r="W338" s="36" t="s">
        <v>71</v>
      </c>
      <c r="X338" s="403">
        <v>0</v>
      </c>
      <c r="Y338" s="404">
        <f t="shared" si="30"/>
        <v>0</v>
      </c>
      <c r="Z338" s="37" t="str">
        <f>IFERROR(IF(Y338=0,"",ROUNDUP(Y338/H338,0)*0.00937),"")</f>
        <v/>
      </c>
      <c r="AA338" s="57"/>
      <c r="AB338" s="58"/>
      <c r="AC338" s="370" t="s">
        <v>507</v>
      </c>
      <c r="AG338" s="65"/>
      <c r="AJ338" s="69"/>
      <c r="AK338" s="69">
        <v>0</v>
      </c>
      <c r="BB338" s="371" t="s">
        <v>1</v>
      </c>
      <c r="BM338" s="65">
        <f t="shared" si="31"/>
        <v>0</v>
      </c>
      <c r="BN338" s="65">
        <f t="shared" si="32"/>
        <v>0</v>
      </c>
      <c r="BO338" s="65">
        <f t="shared" si="33"/>
        <v>0</v>
      </c>
      <c r="BP338" s="65">
        <f t="shared" si="34"/>
        <v>0</v>
      </c>
    </row>
    <row r="339" spans="1:68" x14ac:dyDescent="0.2">
      <c r="A339" s="419"/>
      <c r="B339" s="420"/>
      <c r="C339" s="420"/>
      <c r="D339" s="420"/>
      <c r="E339" s="420"/>
      <c r="F339" s="420"/>
      <c r="G339" s="420"/>
      <c r="H339" s="420"/>
      <c r="I339" s="420"/>
      <c r="J339" s="420"/>
      <c r="K339" s="420"/>
      <c r="L339" s="420"/>
      <c r="M339" s="420"/>
      <c r="N339" s="420"/>
      <c r="O339" s="421"/>
      <c r="P339" s="415" t="s">
        <v>76</v>
      </c>
      <c r="Q339" s="416"/>
      <c r="R339" s="416"/>
      <c r="S339" s="416"/>
      <c r="T339" s="416"/>
      <c r="U339" s="416"/>
      <c r="V339" s="417"/>
      <c r="W339" s="38" t="s">
        <v>77</v>
      </c>
      <c r="X339" s="405">
        <f>IFERROR(X329/H329,"0")+IFERROR(X330/H330,"0")+IFERROR(X331/H331,"0")+IFERROR(X332/H332,"0")+IFERROR(X333/H333,"0")+IFERROR(X334/H334,"0")+IFERROR(X335/H335,"0")+IFERROR(X336/H336,"0")+IFERROR(X337/H337,"0")+IFERROR(X338/H338,"0")</f>
        <v>56.818181818181813</v>
      </c>
      <c r="Y339" s="405">
        <f>IFERROR(Y329/H329,"0")+IFERROR(Y330/H330,"0")+IFERROR(Y331/H331,"0")+IFERROR(Y332/H332,"0")+IFERROR(Y333/H333,"0")+IFERROR(Y334/H334,"0")+IFERROR(Y335/H335,"0")+IFERROR(Y336/H336,"0")+IFERROR(Y337/H337,"0")+IFERROR(Y338/H338,"0")</f>
        <v>57.000000000000007</v>
      </c>
      <c r="Z339" s="405">
        <f>IFERROR(IF(Z329="",0,Z329),"0")+IFERROR(IF(Z330="",0,Z330),"0")+IFERROR(IF(Z331="",0,Z331),"0")+IFERROR(IF(Z332="",0,Z332),"0")+IFERROR(IF(Z333="",0,Z333),"0")+IFERROR(IF(Z334="",0,Z334),"0")+IFERROR(IF(Z335="",0,Z335),"0")+IFERROR(IF(Z336="",0,Z336),"0")+IFERROR(IF(Z337="",0,Z337),"0")+IFERROR(IF(Z338="",0,Z338),"0")</f>
        <v>0.68171999999999999</v>
      </c>
      <c r="AA339" s="406"/>
      <c r="AB339" s="406"/>
      <c r="AC339" s="406"/>
    </row>
    <row r="340" spans="1:68" x14ac:dyDescent="0.2">
      <c r="A340" s="420"/>
      <c r="B340" s="420"/>
      <c r="C340" s="420"/>
      <c r="D340" s="420"/>
      <c r="E340" s="420"/>
      <c r="F340" s="420"/>
      <c r="G340" s="420"/>
      <c r="H340" s="420"/>
      <c r="I340" s="420"/>
      <c r="J340" s="420"/>
      <c r="K340" s="420"/>
      <c r="L340" s="420"/>
      <c r="M340" s="420"/>
      <c r="N340" s="420"/>
      <c r="O340" s="421"/>
      <c r="P340" s="415" t="s">
        <v>76</v>
      </c>
      <c r="Q340" s="416"/>
      <c r="R340" s="416"/>
      <c r="S340" s="416"/>
      <c r="T340" s="416"/>
      <c r="U340" s="416"/>
      <c r="V340" s="417"/>
      <c r="W340" s="38" t="s">
        <v>71</v>
      </c>
      <c r="X340" s="405">
        <f>IFERROR(SUM(X329:X338),"0")</f>
        <v>300</v>
      </c>
      <c r="Y340" s="405">
        <f>IFERROR(SUM(Y329:Y338),"0")</f>
        <v>300.96000000000004</v>
      </c>
      <c r="Z340" s="38"/>
      <c r="AA340" s="406"/>
      <c r="AB340" s="406"/>
      <c r="AC340" s="406"/>
    </row>
    <row r="341" spans="1:68" ht="14.25" customHeight="1" x14ac:dyDescent="0.25">
      <c r="A341" s="422" t="s">
        <v>117</v>
      </c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0"/>
      <c r="N341" s="420"/>
      <c r="O341" s="420"/>
      <c r="P341" s="420"/>
      <c r="Q341" s="420"/>
      <c r="R341" s="420"/>
      <c r="S341" s="420"/>
      <c r="T341" s="420"/>
      <c r="U341" s="420"/>
      <c r="V341" s="420"/>
      <c r="W341" s="420"/>
      <c r="X341" s="420"/>
      <c r="Y341" s="420"/>
      <c r="Z341" s="420"/>
      <c r="AA341" s="399"/>
      <c r="AB341" s="399"/>
      <c r="AC341" s="399"/>
    </row>
    <row r="342" spans="1:68" ht="16.5" customHeight="1" x14ac:dyDescent="0.25">
      <c r="A342" s="55" t="s">
        <v>520</v>
      </c>
      <c r="B342" s="55" t="s">
        <v>521</v>
      </c>
      <c r="C342" s="32">
        <v>4301020334</v>
      </c>
      <c r="D342" s="411">
        <v>4607091388930</v>
      </c>
      <c r="E342" s="412"/>
      <c r="F342" s="402">
        <v>0.88</v>
      </c>
      <c r="G342" s="33">
        <v>6</v>
      </c>
      <c r="H342" s="402">
        <v>5.28</v>
      </c>
      <c r="I342" s="402">
        <v>5.64</v>
      </c>
      <c r="J342" s="33">
        <v>104</v>
      </c>
      <c r="K342" s="33" t="s">
        <v>89</v>
      </c>
      <c r="L342" s="33"/>
      <c r="M342" s="34" t="s">
        <v>95</v>
      </c>
      <c r="N342" s="34"/>
      <c r="O342" s="33">
        <v>70</v>
      </c>
      <c r="P342" s="6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42" s="408"/>
      <c r="R342" s="408"/>
      <c r="S342" s="408"/>
      <c r="T342" s="409"/>
      <c r="U342" s="35"/>
      <c r="V342" s="35"/>
      <c r="W342" s="36" t="s">
        <v>71</v>
      </c>
      <c r="X342" s="403">
        <v>400</v>
      </c>
      <c r="Y342" s="404">
        <f>IFERROR(IF(X342="",0,CEILING((X342/$H342),1)*$H342),"")</f>
        <v>401.28000000000003</v>
      </c>
      <c r="Z342" s="37">
        <f>IFERROR(IF(Y342=0,"",ROUNDUP(Y342/H342,0)*0.01196),"")</f>
        <v>0.90895999999999999</v>
      </c>
      <c r="AA342" s="57"/>
      <c r="AB342" s="58"/>
      <c r="AC342" s="372" t="s">
        <v>522</v>
      </c>
      <c r="AG342" s="65"/>
      <c r="AJ342" s="69"/>
      <c r="AK342" s="69">
        <v>0</v>
      </c>
      <c r="BB342" s="373" t="s">
        <v>1</v>
      </c>
      <c r="BM342" s="65">
        <f>IFERROR(X342*I342/H342,"0")</f>
        <v>427.27272727272725</v>
      </c>
      <c r="BN342" s="65">
        <f>IFERROR(Y342*I342/H342,"0")</f>
        <v>428.64</v>
      </c>
      <c r="BO342" s="65">
        <f>IFERROR(1/J342*(X342/H342),"0")</f>
        <v>0.72843822843822836</v>
      </c>
      <c r="BP342" s="65">
        <f>IFERROR(1/J342*(Y342/H342),"0")</f>
        <v>0.73076923076923084</v>
      </c>
    </row>
    <row r="343" spans="1:68" ht="16.5" customHeight="1" x14ac:dyDescent="0.25">
      <c r="A343" s="55" t="s">
        <v>523</v>
      </c>
      <c r="B343" s="55" t="s">
        <v>524</v>
      </c>
      <c r="C343" s="32">
        <v>4301020385</v>
      </c>
      <c r="D343" s="411">
        <v>4680115880054</v>
      </c>
      <c r="E343" s="412"/>
      <c r="F343" s="402">
        <v>0.6</v>
      </c>
      <c r="G343" s="33">
        <v>8</v>
      </c>
      <c r="H343" s="402">
        <v>4.8</v>
      </c>
      <c r="I343" s="402">
        <v>6.93</v>
      </c>
      <c r="J343" s="33">
        <v>132</v>
      </c>
      <c r="K343" s="33" t="s">
        <v>94</v>
      </c>
      <c r="L343" s="33"/>
      <c r="M343" s="34" t="s">
        <v>90</v>
      </c>
      <c r="N343" s="34"/>
      <c r="O343" s="33">
        <v>70</v>
      </c>
      <c r="P343" s="57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43" s="408"/>
      <c r="R343" s="408"/>
      <c r="S343" s="408"/>
      <c r="T343" s="409"/>
      <c r="U343" s="35"/>
      <c r="V343" s="35"/>
      <c r="W343" s="36" t="s">
        <v>71</v>
      </c>
      <c r="X343" s="403">
        <v>0</v>
      </c>
      <c r="Y343" s="404">
        <f>IFERROR(IF(X343="",0,CEILING((X343/$H343),1)*$H343),"")</f>
        <v>0</v>
      </c>
      <c r="Z343" s="37" t="str">
        <f>IFERROR(IF(Y343=0,"",ROUNDUP(Y343/H343,0)*0.00902),"")</f>
        <v/>
      </c>
      <c r="AA343" s="57"/>
      <c r="AB343" s="58"/>
      <c r="AC343" s="374" t="s">
        <v>522</v>
      </c>
      <c r="AG343" s="65"/>
      <c r="AJ343" s="69"/>
      <c r="AK343" s="69">
        <v>0</v>
      </c>
      <c r="BB343" s="375" t="s">
        <v>1</v>
      </c>
      <c r="BM343" s="65">
        <f>IFERROR(X343*I343/H343,"0")</f>
        <v>0</v>
      </c>
      <c r="BN343" s="65">
        <f>IFERROR(Y343*I343/H343,"0")</f>
        <v>0</v>
      </c>
      <c r="BO343" s="65">
        <f>IFERROR(1/J343*(X343/H343),"0")</f>
        <v>0</v>
      </c>
      <c r="BP343" s="65">
        <f>IFERROR(1/J343*(Y343/H343),"0")</f>
        <v>0</v>
      </c>
    </row>
    <row r="344" spans="1:68" x14ac:dyDescent="0.2">
      <c r="A344" s="419"/>
      <c r="B344" s="420"/>
      <c r="C344" s="420"/>
      <c r="D344" s="420"/>
      <c r="E344" s="420"/>
      <c r="F344" s="420"/>
      <c r="G344" s="420"/>
      <c r="H344" s="420"/>
      <c r="I344" s="420"/>
      <c r="J344" s="420"/>
      <c r="K344" s="420"/>
      <c r="L344" s="420"/>
      <c r="M344" s="420"/>
      <c r="N344" s="420"/>
      <c r="O344" s="421"/>
      <c r="P344" s="415" t="s">
        <v>76</v>
      </c>
      <c r="Q344" s="416"/>
      <c r="R344" s="416"/>
      <c r="S344" s="416"/>
      <c r="T344" s="416"/>
      <c r="U344" s="416"/>
      <c r="V344" s="417"/>
      <c r="W344" s="38" t="s">
        <v>77</v>
      </c>
      <c r="X344" s="405">
        <f>IFERROR(X342/H342,"0")+IFERROR(X343/H343,"0")</f>
        <v>75.757575757575751</v>
      </c>
      <c r="Y344" s="405">
        <f>IFERROR(Y342/H342,"0")+IFERROR(Y343/H343,"0")</f>
        <v>76</v>
      </c>
      <c r="Z344" s="405">
        <f>IFERROR(IF(Z342="",0,Z342),"0")+IFERROR(IF(Z343="",0,Z343),"0")</f>
        <v>0.90895999999999999</v>
      </c>
      <c r="AA344" s="406"/>
      <c r="AB344" s="406"/>
      <c r="AC344" s="406"/>
    </row>
    <row r="345" spans="1:68" x14ac:dyDescent="0.2">
      <c r="A345" s="420"/>
      <c r="B345" s="420"/>
      <c r="C345" s="420"/>
      <c r="D345" s="420"/>
      <c r="E345" s="420"/>
      <c r="F345" s="420"/>
      <c r="G345" s="420"/>
      <c r="H345" s="420"/>
      <c r="I345" s="420"/>
      <c r="J345" s="420"/>
      <c r="K345" s="420"/>
      <c r="L345" s="420"/>
      <c r="M345" s="420"/>
      <c r="N345" s="420"/>
      <c r="O345" s="421"/>
      <c r="P345" s="415" t="s">
        <v>76</v>
      </c>
      <c r="Q345" s="416"/>
      <c r="R345" s="416"/>
      <c r="S345" s="416"/>
      <c r="T345" s="416"/>
      <c r="U345" s="416"/>
      <c r="V345" s="417"/>
      <c r="W345" s="38" t="s">
        <v>71</v>
      </c>
      <c r="X345" s="405">
        <f>IFERROR(SUM(X342:X343),"0")</f>
        <v>400</v>
      </c>
      <c r="Y345" s="405">
        <f>IFERROR(SUM(Y342:Y343),"0")</f>
        <v>401.28000000000003</v>
      </c>
      <c r="Z345" s="38"/>
      <c r="AA345" s="406"/>
      <c r="AB345" s="406"/>
      <c r="AC345" s="406"/>
    </row>
    <row r="346" spans="1:68" ht="14.25" customHeight="1" x14ac:dyDescent="0.25">
      <c r="A346" s="422" t="s">
        <v>182</v>
      </c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0"/>
      <c r="N346" s="420"/>
      <c r="O346" s="420"/>
      <c r="P346" s="420"/>
      <c r="Q346" s="420"/>
      <c r="R346" s="420"/>
      <c r="S346" s="420"/>
      <c r="T346" s="420"/>
      <c r="U346" s="420"/>
      <c r="V346" s="420"/>
      <c r="W346" s="420"/>
      <c r="X346" s="420"/>
      <c r="Y346" s="420"/>
      <c r="Z346" s="420"/>
      <c r="AA346" s="399"/>
      <c r="AB346" s="399"/>
      <c r="AC346" s="399"/>
    </row>
    <row r="347" spans="1:68" ht="27" customHeight="1" x14ac:dyDescent="0.25">
      <c r="A347" s="55" t="s">
        <v>525</v>
      </c>
      <c r="B347" s="55" t="s">
        <v>526</v>
      </c>
      <c r="C347" s="32">
        <v>4301031349</v>
      </c>
      <c r="D347" s="411">
        <v>4680115883116</v>
      </c>
      <c r="E347" s="412"/>
      <c r="F347" s="402">
        <v>0.88</v>
      </c>
      <c r="G347" s="33">
        <v>6</v>
      </c>
      <c r="H347" s="402">
        <v>5.28</v>
      </c>
      <c r="I347" s="402">
        <v>5.64</v>
      </c>
      <c r="J347" s="33">
        <v>104</v>
      </c>
      <c r="K347" s="33" t="s">
        <v>89</v>
      </c>
      <c r="L347" s="33"/>
      <c r="M347" s="34" t="s">
        <v>90</v>
      </c>
      <c r="N347" s="34"/>
      <c r="O347" s="33">
        <v>70</v>
      </c>
      <c r="P347" s="62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7" s="408"/>
      <c r="R347" s="408"/>
      <c r="S347" s="408"/>
      <c r="T347" s="409"/>
      <c r="U347" s="35"/>
      <c r="V347" s="35"/>
      <c r="W347" s="36" t="s">
        <v>71</v>
      </c>
      <c r="X347" s="403">
        <v>250</v>
      </c>
      <c r="Y347" s="404">
        <f t="shared" ref="Y347:Y353" si="35">IFERROR(IF(X347="",0,CEILING((X347/$H347),1)*$H347),"")</f>
        <v>253.44</v>
      </c>
      <c r="Z347" s="37">
        <f>IFERROR(IF(Y347=0,"",ROUNDUP(Y347/H347,0)*0.01196),"")</f>
        <v>0.57408000000000003</v>
      </c>
      <c r="AA347" s="57"/>
      <c r="AB347" s="58"/>
      <c r="AC347" s="376" t="s">
        <v>527</v>
      </c>
      <c r="AG347" s="65"/>
      <c r="AJ347" s="69"/>
      <c r="AK347" s="69">
        <v>0</v>
      </c>
      <c r="BB347" s="377" t="s">
        <v>1</v>
      </c>
      <c r="BM347" s="65">
        <f t="shared" ref="BM347:BM353" si="36">IFERROR(X347*I347/H347,"0")</f>
        <v>267.04545454545456</v>
      </c>
      <c r="BN347" s="65">
        <f t="shared" ref="BN347:BN353" si="37">IFERROR(Y347*I347/H347,"0")</f>
        <v>270.71999999999997</v>
      </c>
      <c r="BO347" s="65">
        <f t="shared" ref="BO347:BO353" si="38">IFERROR(1/J347*(X347/H347),"0")</f>
        <v>0.45527389277389274</v>
      </c>
      <c r="BP347" s="65">
        <f t="shared" ref="BP347:BP353" si="39">IFERROR(1/J347*(Y347/H347),"0")</f>
        <v>0.46153846153846156</v>
      </c>
    </row>
    <row r="348" spans="1:68" ht="27" customHeight="1" x14ac:dyDescent="0.25">
      <c r="A348" s="55" t="s">
        <v>528</v>
      </c>
      <c r="B348" s="55" t="s">
        <v>529</v>
      </c>
      <c r="C348" s="32">
        <v>4301031350</v>
      </c>
      <c r="D348" s="411">
        <v>4680115883093</v>
      </c>
      <c r="E348" s="412"/>
      <c r="F348" s="402">
        <v>0.88</v>
      </c>
      <c r="G348" s="33">
        <v>6</v>
      </c>
      <c r="H348" s="402">
        <v>5.28</v>
      </c>
      <c r="I348" s="402">
        <v>5.64</v>
      </c>
      <c r="J348" s="33">
        <v>104</v>
      </c>
      <c r="K348" s="33" t="s">
        <v>89</v>
      </c>
      <c r="L348" s="33"/>
      <c r="M348" s="34" t="s">
        <v>70</v>
      </c>
      <c r="N348" s="34"/>
      <c r="O348" s="33">
        <v>70</v>
      </c>
      <c r="P348" s="59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8" s="408"/>
      <c r="R348" s="408"/>
      <c r="S348" s="408"/>
      <c r="T348" s="409"/>
      <c r="U348" s="35"/>
      <c r="V348" s="35"/>
      <c r="W348" s="36" t="s">
        <v>71</v>
      </c>
      <c r="X348" s="403">
        <v>300</v>
      </c>
      <c r="Y348" s="404">
        <f t="shared" si="35"/>
        <v>300.96000000000004</v>
      </c>
      <c r="Z348" s="37">
        <f>IFERROR(IF(Y348=0,"",ROUNDUP(Y348/H348,0)*0.01196),"")</f>
        <v>0.68171999999999999</v>
      </c>
      <c r="AA348" s="57"/>
      <c r="AB348" s="58"/>
      <c r="AC348" s="378" t="s">
        <v>530</v>
      </c>
      <c r="AG348" s="65"/>
      <c r="AJ348" s="69"/>
      <c r="AK348" s="69">
        <v>0</v>
      </c>
      <c r="BB348" s="379" t="s">
        <v>1</v>
      </c>
      <c r="BM348" s="65">
        <f t="shared" si="36"/>
        <v>320.45454545454544</v>
      </c>
      <c r="BN348" s="65">
        <f t="shared" si="37"/>
        <v>321.48</v>
      </c>
      <c r="BO348" s="65">
        <f t="shared" si="38"/>
        <v>0.54632867132867136</v>
      </c>
      <c r="BP348" s="65">
        <f t="shared" si="39"/>
        <v>0.54807692307692313</v>
      </c>
    </row>
    <row r="349" spans="1:68" ht="27" customHeight="1" x14ac:dyDescent="0.25">
      <c r="A349" s="55" t="s">
        <v>531</v>
      </c>
      <c r="B349" s="55" t="s">
        <v>532</v>
      </c>
      <c r="C349" s="32">
        <v>4301031353</v>
      </c>
      <c r="D349" s="411">
        <v>4680115883109</v>
      </c>
      <c r="E349" s="412"/>
      <c r="F349" s="402">
        <v>0.88</v>
      </c>
      <c r="G349" s="33">
        <v>6</v>
      </c>
      <c r="H349" s="402">
        <v>5.28</v>
      </c>
      <c r="I349" s="402">
        <v>5.64</v>
      </c>
      <c r="J349" s="33">
        <v>104</v>
      </c>
      <c r="K349" s="33" t="s">
        <v>89</v>
      </c>
      <c r="L349" s="33"/>
      <c r="M349" s="34" t="s">
        <v>70</v>
      </c>
      <c r="N349" s="34"/>
      <c r="O349" s="33">
        <v>70</v>
      </c>
      <c r="P349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9" s="408"/>
      <c r="R349" s="408"/>
      <c r="S349" s="408"/>
      <c r="T349" s="409"/>
      <c r="U349" s="35"/>
      <c r="V349" s="35"/>
      <c r="W349" s="36" t="s">
        <v>71</v>
      </c>
      <c r="X349" s="403">
        <v>400</v>
      </c>
      <c r="Y349" s="404">
        <f t="shared" si="35"/>
        <v>401.28000000000003</v>
      </c>
      <c r="Z349" s="37">
        <f>IFERROR(IF(Y349=0,"",ROUNDUP(Y349/H349,0)*0.01196),"")</f>
        <v>0.90895999999999999</v>
      </c>
      <c r="AA349" s="57"/>
      <c r="AB349" s="58"/>
      <c r="AC349" s="380" t="s">
        <v>533</v>
      </c>
      <c r="AG349" s="65"/>
      <c r="AJ349" s="69"/>
      <c r="AK349" s="69">
        <v>0</v>
      </c>
      <c r="BB349" s="381" t="s">
        <v>1</v>
      </c>
      <c r="BM349" s="65">
        <f t="shared" si="36"/>
        <v>427.27272727272725</v>
      </c>
      <c r="BN349" s="65">
        <f t="shared" si="37"/>
        <v>428.64</v>
      </c>
      <c r="BO349" s="65">
        <f t="shared" si="38"/>
        <v>0.72843822843822836</v>
      </c>
      <c r="BP349" s="65">
        <f t="shared" si="39"/>
        <v>0.73076923076923084</v>
      </c>
    </row>
    <row r="350" spans="1:68" ht="27" customHeight="1" x14ac:dyDescent="0.25">
      <c r="A350" s="55" t="s">
        <v>534</v>
      </c>
      <c r="B350" s="55" t="s">
        <v>535</v>
      </c>
      <c r="C350" s="32">
        <v>4301031419</v>
      </c>
      <c r="D350" s="411">
        <v>4680115882072</v>
      </c>
      <c r="E350" s="412"/>
      <c r="F350" s="402">
        <v>0.6</v>
      </c>
      <c r="G350" s="33">
        <v>8</v>
      </c>
      <c r="H350" s="402">
        <v>4.8</v>
      </c>
      <c r="I350" s="402">
        <v>6.93</v>
      </c>
      <c r="J350" s="33">
        <v>132</v>
      </c>
      <c r="K350" s="33" t="s">
        <v>94</v>
      </c>
      <c r="L350" s="33"/>
      <c r="M350" s="34" t="s">
        <v>90</v>
      </c>
      <c r="N350" s="34"/>
      <c r="O350" s="33">
        <v>70</v>
      </c>
      <c r="P350" s="4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50" s="408"/>
      <c r="R350" s="408"/>
      <c r="S350" s="408"/>
      <c r="T350" s="409"/>
      <c r="U350" s="35"/>
      <c r="V350" s="35"/>
      <c r="W350" s="36" t="s">
        <v>71</v>
      </c>
      <c r="X350" s="403">
        <v>0</v>
      </c>
      <c r="Y350" s="404">
        <f t="shared" si="35"/>
        <v>0</v>
      </c>
      <c r="Z350" s="37" t="str">
        <f>IFERROR(IF(Y350=0,"",ROUNDUP(Y350/H350,0)*0.00902),"")</f>
        <v/>
      </c>
      <c r="AA350" s="57"/>
      <c r="AB350" s="58"/>
      <c r="AC350" s="382" t="s">
        <v>527</v>
      </c>
      <c r="AG350" s="65"/>
      <c r="AJ350" s="69"/>
      <c r="AK350" s="69">
        <v>0</v>
      </c>
      <c r="BB350" s="383" t="s">
        <v>1</v>
      </c>
      <c r="BM350" s="65">
        <f t="shared" si="36"/>
        <v>0</v>
      </c>
      <c r="BN350" s="65">
        <f t="shared" si="37"/>
        <v>0</v>
      </c>
      <c r="BO350" s="65">
        <f t="shared" si="38"/>
        <v>0</v>
      </c>
      <c r="BP350" s="65">
        <f t="shared" si="39"/>
        <v>0</v>
      </c>
    </row>
    <row r="351" spans="1:68" ht="27" customHeight="1" x14ac:dyDescent="0.25">
      <c r="A351" s="55" t="s">
        <v>534</v>
      </c>
      <c r="B351" s="55" t="s">
        <v>536</v>
      </c>
      <c r="C351" s="32">
        <v>4301031351</v>
      </c>
      <c r="D351" s="411">
        <v>4680115882072</v>
      </c>
      <c r="E351" s="412"/>
      <c r="F351" s="402">
        <v>0.6</v>
      </c>
      <c r="G351" s="33">
        <v>6</v>
      </c>
      <c r="H351" s="402">
        <v>3.6</v>
      </c>
      <c r="I351" s="402">
        <v>3.81</v>
      </c>
      <c r="J351" s="33">
        <v>132</v>
      </c>
      <c r="K351" s="33" t="s">
        <v>94</v>
      </c>
      <c r="L351" s="33"/>
      <c r="M351" s="34" t="s">
        <v>90</v>
      </c>
      <c r="N351" s="34"/>
      <c r="O351" s="33">
        <v>70</v>
      </c>
      <c r="P351" s="5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51" s="408"/>
      <c r="R351" s="408"/>
      <c r="S351" s="408"/>
      <c r="T351" s="409"/>
      <c r="U351" s="35"/>
      <c r="V351" s="35"/>
      <c r="W351" s="36" t="s">
        <v>71</v>
      </c>
      <c r="X351" s="403">
        <v>0</v>
      </c>
      <c r="Y351" s="404">
        <f t="shared" si="35"/>
        <v>0</v>
      </c>
      <c r="Z351" s="37" t="str">
        <f>IFERROR(IF(Y351=0,"",ROUNDUP(Y351/H351,0)*0.00902),"")</f>
        <v/>
      </c>
      <c r="AA351" s="57"/>
      <c r="AB351" s="58"/>
      <c r="AC351" s="384" t="s">
        <v>527</v>
      </c>
      <c r="AG351" s="65"/>
      <c r="AJ351" s="69"/>
      <c r="AK351" s="69">
        <v>0</v>
      </c>
      <c r="BB351" s="385" t="s">
        <v>1</v>
      </c>
      <c r="BM351" s="65">
        <f t="shared" si="36"/>
        <v>0</v>
      </c>
      <c r="BN351" s="65">
        <f t="shared" si="37"/>
        <v>0</v>
      </c>
      <c r="BO351" s="65">
        <f t="shared" si="38"/>
        <v>0</v>
      </c>
      <c r="BP351" s="65">
        <f t="shared" si="39"/>
        <v>0</v>
      </c>
    </row>
    <row r="352" spans="1:68" ht="27" customHeight="1" x14ac:dyDescent="0.25">
      <c r="A352" s="55" t="s">
        <v>537</v>
      </c>
      <c r="B352" s="55" t="s">
        <v>538</v>
      </c>
      <c r="C352" s="32">
        <v>4301031418</v>
      </c>
      <c r="D352" s="411">
        <v>4680115882102</v>
      </c>
      <c r="E352" s="412"/>
      <c r="F352" s="402">
        <v>0.6</v>
      </c>
      <c r="G352" s="33">
        <v>8</v>
      </c>
      <c r="H352" s="402">
        <v>4.8</v>
      </c>
      <c r="I352" s="402">
        <v>6.69</v>
      </c>
      <c r="J352" s="33">
        <v>132</v>
      </c>
      <c r="K352" s="33" t="s">
        <v>94</v>
      </c>
      <c r="L352" s="33"/>
      <c r="M352" s="34" t="s">
        <v>70</v>
      </c>
      <c r="N352" s="34"/>
      <c r="O352" s="33">
        <v>70</v>
      </c>
      <c r="P352" s="4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52" s="408"/>
      <c r="R352" s="408"/>
      <c r="S352" s="408"/>
      <c r="T352" s="409"/>
      <c r="U352" s="35"/>
      <c r="V352" s="35"/>
      <c r="W352" s="36" t="s">
        <v>71</v>
      </c>
      <c r="X352" s="403">
        <v>0</v>
      </c>
      <c r="Y352" s="404">
        <f t="shared" si="35"/>
        <v>0</v>
      </c>
      <c r="Z352" s="37" t="str">
        <f>IFERROR(IF(Y352=0,"",ROUNDUP(Y352/H352,0)*0.00902),"")</f>
        <v/>
      </c>
      <c r="AA352" s="57"/>
      <c r="AB352" s="58"/>
      <c r="AC352" s="386" t="s">
        <v>530</v>
      </c>
      <c r="AG352" s="65"/>
      <c r="AJ352" s="69"/>
      <c r="AK352" s="69">
        <v>0</v>
      </c>
      <c r="BB352" s="387" t="s">
        <v>1</v>
      </c>
      <c r="BM352" s="65">
        <f t="shared" si="36"/>
        <v>0</v>
      </c>
      <c r="BN352" s="65">
        <f t="shared" si="37"/>
        <v>0</v>
      </c>
      <c r="BO352" s="65">
        <f t="shared" si="38"/>
        <v>0</v>
      </c>
      <c r="BP352" s="65">
        <f t="shared" si="39"/>
        <v>0</v>
      </c>
    </row>
    <row r="353" spans="1:68" ht="27" customHeight="1" x14ac:dyDescent="0.25">
      <c r="A353" s="55" t="s">
        <v>539</v>
      </c>
      <c r="B353" s="55" t="s">
        <v>540</v>
      </c>
      <c r="C353" s="32">
        <v>4301031417</v>
      </c>
      <c r="D353" s="411">
        <v>4680115882096</v>
      </c>
      <c r="E353" s="412"/>
      <c r="F353" s="402">
        <v>0.6</v>
      </c>
      <c r="G353" s="33">
        <v>8</v>
      </c>
      <c r="H353" s="402">
        <v>4.8</v>
      </c>
      <c r="I353" s="402">
        <v>6.69</v>
      </c>
      <c r="J353" s="33">
        <v>132</v>
      </c>
      <c r="K353" s="33" t="s">
        <v>94</v>
      </c>
      <c r="L353" s="33"/>
      <c r="M353" s="34" t="s">
        <v>70</v>
      </c>
      <c r="N353" s="34"/>
      <c r="O353" s="33">
        <v>70</v>
      </c>
      <c r="P353" s="5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53" s="408"/>
      <c r="R353" s="408"/>
      <c r="S353" s="408"/>
      <c r="T353" s="409"/>
      <c r="U353" s="35"/>
      <c r="V353" s="35"/>
      <c r="W353" s="36" t="s">
        <v>71</v>
      </c>
      <c r="X353" s="403">
        <v>0</v>
      </c>
      <c r="Y353" s="404">
        <f t="shared" si="35"/>
        <v>0</v>
      </c>
      <c r="Z353" s="37" t="str">
        <f>IFERROR(IF(Y353=0,"",ROUNDUP(Y353/H353,0)*0.00902),"")</f>
        <v/>
      </c>
      <c r="AA353" s="57"/>
      <c r="AB353" s="58"/>
      <c r="AC353" s="388" t="s">
        <v>533</v>
      </c>
      <c r="AG353" s="65"/>
      <c r="AJ353" s="69"/>
      <c r="AK353" s="69">
        <v>0</v>
      </c>
      <c r="BB353" s="389" t="s">
        <v>1</v>
      </c>
      <c r="BM353" s="65">
        <f t="shared" si="36"/>
        <v>0</v>
      </c>
      <c r="BN353" s="65">
        <f t="shared" si="37"/>
        <v>0</v>
      </c>
      <c r="BO353" s="65">
        <f t="shared" si="38"/>
        <v>0</v>
      </c>
      <c r="BP353" s="65">
        <f t="shared" si="39"/>
        <v>0</v>
      </c>
    </row>
    <row r="354" spans="1:68" x14ac:dyDescent="0.2">
      <c r="A354" s="419"/>
      <c r="B354" s="420"/>
      <c r="C354" s="420"/>
      <c r="D354" s="420"/>
      <c r="E354" s="420"/>
      <c r="F354" s="420"/>
      <c r="G354" s="420"/>
      <c r="H354" s="420"/>
      <c r="I354" s="420"/>
      <c r="J354" s="420"/>
      <c r="K354" s="420"/>
      <c r="L354" s="420"/>
      <c r="M354" s="420"/>
      <c r="N354" s="420"/>
      <c r="O354" s="421"/>
      <c r="P354" s="415" t="s">
        <v>76</v>
      </c>
      <c r="Q354" s="416"/>
      <c r="R354" s="416"/>
      <c r="S354" s="416"/>
      <c r="T354" s="416"/>
      <c r="U354" s="416"/>
      <c r="V354" s="417"/>
      <c r="W354" s="38" t="s">
        <v>77</v>
      </c>
      <c r="X354" s="405">
        <f>IFERROR(X347/H347,"0")+IFERROR(X348/H348,"0")+IFERROR(X349/H349,"0")+IFERROR(X350/H350,"0")+IFERROR(X351/H351,"0")+IFERROR(X352/H352,"0")+IFERROR(X353/H353,"0")</f>
        <v>179.92424242424241</v>
      </c>
      <c r="Y354" s="405">
        <f>IFERROR(Y347/H347,"0")+IFERROR(Y348/H348,"0")+IFERROR(Y349/H349,"0")+IFERROR(Y350/H350,"0")+IFERROR(Y351/H351,"0")+IFERROR(Y352/H352,"0")+IFERROR(Y353/H353,"0")</f>
        <v>181</v>
      </c>
      <c r="Z354" s="405">
        <f>IFERROR(IF(Z347="",0,Z347),"0")+IFERROR(IF(Z348="",0,Z348),"0")+IFERROR(IF(Z349="",0,Z349),"0")+IFERROR(IF(Z350="",0,Z350),"0")+IFERROR(IF(Z351="",0,Z351),"0")+IFERROR(IF(Z352="",0,Z352),"0")+IFERROR(IF(Z353="",0,Z353),"0")</f>
        <v>2.1647600000000002</v>
      </c>
      <c r="AA354" s="406"/>
      <c r="AB354" s="406"/>
      <c r="AC354" s="406"/>
    </row>
    <row r="355" spans="1:68" x14ac:dyDescent="0.2">
      <c r="A355" s="420"/>
      <c r="B355" s="420"/>
      <c r="C355" s="420"/>
      <c r="D355" s="420"/>
      <c r="E355" s="420"/>
      <c r="F355" s="420"/>
      <c r="G355" s="420"/>
      <c r="H355" s="420"/>
      <c r="I355" s="420"/>
      <c r="J355" s="420"/>
      <c r="K355" s="420"/>
      <c r="L355" s="420"/>
      <c r="M355" s="420"/>
      <c r="N355" s="420"/>
      <c r="O355" s="421"/>
      <c r="P355" s="415" t="s">
        <v>76</v>
      </c>
      <c r="Q355" s="416"/>
      <c r="R355" s="416"/>
      <c r="S355" s="416"/>
      <c r="T355" s="416"/>
      <c r="U355" s="416"/>
      <c r="V355" s="417"/>
      <c r="W355" s="38" t="s">
        <v>71</v>
      </c>
      <c r="X355" s="405">
        <f>IFERROR(SUM(X347:X353),"0")</f>
        <v>950</v>
      </c>
      <c r="Y355" s="405">
        <f>IFERROR(SUM(Y347:Y353),"0")</f>
        <v>955.68000000000006</v>
      </c>
      <c r="Z355" s="38"/>
      <c r="AA355" s="406"/>
      <c r="AB355" s="406"/>
      <c r="AC355" s="406"/>
    </row>
    <row r="356" spans="1:68" ht="14.25" customHeight="1" x14ac:dyDescent="0.25">
      <c r="A356" s="422" t="s">
        <v>66</v>
      </c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0"/>
      <c r="N356" s="420"/>
      <c r="O356" s="420"/>
      <c r="P356" s="420"/>
      <c r="Q356" s="420"/>
      <c r="R356" s="420"/>
      <c r="S356" s="420"/>
      <c r="T356" s="420"/>
      <c r="U356" s="420"/>
      <c r="V356" s="420"/>
      <c r="W356" s="420"/>
      <c r="X356" s="420"/>
      <c r="Y356" s="420"/>
      <c r="Z356" s="420"/>
      <c r="AA356" s="399"/>
      <c r="AB356" s="399"/>
      <c r="AC356" s="399"/>
    </row>
    <row r="357" spans="1:68" ht="16.5" customHeight="1" x14ac:dyDescent="0.25">
      <c r="A357" s="55" t="s">
        <v>541</v>
      </c>
      <c r="B357" s="55" t="s">
        <v>542</v>
      </c>
      <c r="C357" s="32">
        <v>4301051232</v>
      </c>
      <c r="D357" s="411">
        <v>4607091383409</v>
      </c>
      <c r="E357" s="412"/>
      <c r="F357" s="402">
        <v>1.3</v>
      </c>
      <c r="G357" s="33">
        <v>6</v>
      </c>
      <c r="H357" s="402">
        <v>7.8</v>
      </c>
      <c r="I357" s="402">
        <v>8.3010000000000002</v>
      </c>
      <c r="J357" s="33">
        <v>64</v>
      </c>
      <c r="K357" s="33" t="s">
        <v>89</v>
      </c>
      <c r="L357" s="33"/>
      <c r="M357" s="34" t="s">
        <v>95</v>
      </c>
      <c r="N357" s="34"/>
      <c r="O357" s="33">
        <v>45</v>
      </c>
      <c r="P357" s="6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7" s="408"/>
      <c r="R357" s="408"/>
      <c r="S357" s="408"/>
      <c r="T357" s="409"/>
      <c r="U357" s="35"/>
      <c r="V357" s="35"/>
      <c r="W357" s="36" t="s">
        <v>71</v>
      </c>
      <c r="X357" s="403">
        <v>0</v>
      </c>
      <c r="Y357" s="404">
        <f>IFERROR(IF(X357="",0,CEILING((X357/$H357),1)*$H357),"")</f>
        <v>0</v>
      </c>
      <c r="Z357" s="37" t="str">
        <f>IFERROR(IF(Y357=0,"",ROUNDUP(Y357/H357,0)*0.01898),"")</f>
        <v/>
      </c>
      <c r="AA357" s="57"/>
      <c r="AB357" s="58"/>
      <c r="AC357" s="390" t="s">
        <v>543</v>
      </c>
      <c r="AG357" s="65"/>
      <c r="AJ357" s="69"/>
      <c r="AK357" s="69">
        <v>0</v>
      </c>
      <c r="BB357" s="391" t="s">
        <v>1</v>
      </c>
      <c r="BM357" s="65">
        <f>IFERROR(X357*I357/H357,"0")</f>
        <v>0</v>
      </c>
      <c r="BN357" s="65">
        <f>IFERROR(Y357*I357/H357,"0")</f>
        <v>0</v>
      </c>
      <c r="BO357" s="65">
        <f>IFERROR(1/J357*(X357/H357),"0")</f>
        <v>0</v>
      </c>
      <c r="BP357" s="65">
        <f>IFERROR(1/J357*(Y357/H357),"0")</f>
        <v>0</v>
      </c>
    </row>
    <row r="358" spans="1:68" ht="16.5" customHeight="1" x14ac:dyDescent="0.25">
      <c r="A358" s="55" t="s">
        <v>544</v>
      </c>
      <c r="B358" s="55" t="s">
        <v>545</v>
      </c>
      <c r="C358" s="32">
        <v>4301051233</v>
      </c>
      <c r="D358" s="411">
        <v>4607091383416</v>
      </c>
      <c r="E358" s="412"/>
      <c r="F358" s="402">
        <v>1.3</v>
      </c>
      <c r="G358" s="33">
        <v>6</v>
      </c>
      <c r="H358" s="402">
        <v>7.8</v>
      </c>
      <c r="I358" s="402">
        <v>8.3010000000000002</v>
      </c>
      <c r="J358" s="33">
        <v>64</v>
      </c>
      <c r="K358" s="33" t="s">
        <v>89</v>
      </c>
      <c r="L358" s="33"/>
      <c r="M358" s="34" t="s">
        <v>95</v>
      </c>
      <c r="N358" s="34"/>
      <c r="O358" s="33">
        <v>45</v>
      </c>
      <c r="P358" s="5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8" s="408"/>
      <c r="R358" s="408"/>
      <c r="S358" s="408"/>
      <c r="T358" s="409"/>
      <c r="U358" s="35"/>
      <c r="V358" s="35"/>
      <c r="W358" s="36" t="s">
        <v>71</v>
      </c>
      <c r="X358" s="403">
        <v>80</v>
      </c>
      <c r="Y358" s="404">
        <f>IFERROR(IF(X358="",0,CEILING((X358/$H358),1)*$H358),"")</f>
        <v>85.8</v>
      </c>
      <c r="Z358" s="37">
        <f>IFERROR(IF(Y358=0,"",ROUNDUP(Y358/H358,0)*0.01898),"")</f>
        <v>0.20877999999999999</v>
      </c>
      <c r="AA358" s="57"/>
      <c r="AB358" s="58"/>
      <c r="AC358" s="392" t="s">
        <v>546</v>
      </c>
      <c r="AG358" s="65"/>
      <c r="AJ358" s="69"/>
      <c r="AK358" s="69">
        <v>0</v>
      </c>
      <c r="BB358" s="393" t="s">
        <v>1</v>
      </c>
      <c r="BM358" s="65">
        <f>IFERROR(X358*I358/H358,"0")</f>
        <v>85.138461538461542</v>
      </c>
      <c r="BN358" s="65">
        <f>IFERROR(Y358*I358/H358,"0")</f>
        <v>91.310999999999993</v>
      </c>
      <c r="BO358" s="65">
        <f>IFERROR(1/J358*(X358/H358),"0")</f>
        <v>0.16025641025641027</v>
      </c>
      <c r="BP358" s="65">
        <f>IFERROR(1/J358*(Y358/H358),"0")</f>
        <v>0.171875</v>
      </c>
    </row>
    <row r="359" spans="1:68" x14ac:dyDescent="0.2">
      <c r="A359" s="419"/>
      <c r="B359" s="420"/>
      <c r="C359" s="420"/>
      <c r="D359" s="420"/>
      <c r="E359" s="420"/>
      <c r="F359" s="420"/>
      <c r="G359" s="420"/>
      <c r="H359" s="420"/>
      <c r="I359" s="420"/>
      <c r="J359" s="420"/>
      <c r="K359" s="420"/>
      <c r="L359" s="420"/>
      <c r="M359" s="420"/>
      <c r="N359" s="420"/>
      <c r="O359" s="421"/>
      <c r="P359" s="415" t="s">
        <v>76</v>
      </c>
      <c r="Q359" s="416"/>
      <c r="R359" s="416"/>
      <c r="S359" s="416"/>
      <c r="T359" s="416"/>
      <c r="U359" s="416"/>
      <c r="V359" s="417"/>
      <c r="W359" s="38" t="s">
        <v>77</v>
      </c>
      <c r="X359" s="405">
        <f>IFERROR(X357/H357,"0")+IFERROR(X358/H358,"0")</f>
        <v>10.256410256410257</v>
      </c>
      <c r="Y359" s="405">
        <f>IFERROR(Y357/H357,"0")+IFERROR(Y358/H358,"0")</f>
        <v>11</v>
      </c>
      <c r="Z359" s="405">
        <f>IFERROR(IF(Z357="",0,Z357),"0")+IFERROR(IF(Z358="",0,Z358),"0")</f>
        <v>0.20877999999999999</v>
      </c>
      <c r="AA359" s="406"/>
      <c r="AB359" s="406"/>
      <c r="AC359" s="406"/>
    </row>
    <row r="360" spans="1:68" x14ac:dyDescent="0.2">
      <c r="A360" s="420"/>
      <c r="B360" s="420"/>
      <c r="C360" s="420"/>
      <c r="D360" s="420"/>
      <c r="E360" s="420"/>
      <c r="F360" s="420"/>
      <c r="G360" s="420"/>
      <c r="H360" s="420"/>
      <c r="I360" s="420"/>
      <c r="J360" s="420"/>
      <c r="K360" s="420"/>
      <c r="L360" s="420"/>
      <c r="M360" s="420"/>
      <c r="N360" s="420"/>
      <c r="O360" s="421"/>
      <c r="P360" s="415" t="s">
        <v>76</v>
      </c>
      <c r="Q360" s="416"/>
      <c r="R360" s="416"/>
      <c r="S360" s="416"/>
      <c r="T360" s="416"/>
      <c r="U360" s="416"/>
      <c r="V360" s="417"/>
      <c r="W360" s="38" t="s">
        <v>71</v>
      </c>
      <c r="X360" s="405">
        <f>IFERROR(SUM(X357:X358),"0")</f>
        <v>80</v>
      </c>
      <c r="Y360" s="405">
        <f>IFERROR(SUM(Y357:Y358),"0")</f>
        <v>85.8</v>
      </c>
      <c r="Z360" s="38"/>
      <c r="AA360" s="406"/>
      <c r="AB360" s="406"/>
      <c r="AC360" s="406"/>
    </row>
    <row r="361" spans="1:68" ht="27.75" customHeight="1" x14ac:dyDescent="0.2">
      <c r="A361" s="461" t="s">
        <v>547</v>
      </c>
      <c r="B361" s="462"/>
      <c r="C361" s="462"/>
      <c r="D361" s="462"/>
      <c r="E361" s="462"/>
      <c r="F361" s="462"/>
      <c r="G361" s="462"/>
      <c r="H361" s="462"/>
      <c r="I361" s="462"/>
      <c r="J361" s="462"/>
      <c r="K361" s="462"/>
      <c r="L361" s="462"/>
      <c r="M361" s="462"/>
      <c r="N361" s="462"/>
      <c r="O361" s="462"/>
      <c r="P361" s="462"/>
      <c r="Q361" s="462"/>
      <c r="R361" s="462"/>
      <c r="S361" s="462"/>
      <c r="T361" s="462"/>
      <c r="U361" s="462"/>
      <c r="V361" s="462"/>
      <c r="W361" s="462"/>
      <c r="X361" s="462"/>
      <c r="Y361" s="462"/>
      <c r="Z361" s="462"/>
      <c r="AA361" s="49"/>
      <c r="AB361" s="49"/>
      <c r="AC361" s="49"/>
    </row>
    <row r="362" spans="1:68" ht="16.5" customHeight="1" x14ac:dyDescent="0.25">
      <c r="A362" s="434" t="s">
        <v>547</v>
      </c>
      <c r="B362" s="420"/>
      <c r="C362" s="420"/>
      <c r="D362" s="420"/>
      <c r="E362" s="420"/>
      <c r="F362" s="420"/>
      <c r="G362" s="420"/>
      <c r="H362" s="420"/>
      <c r="I362" s="420"/>
      <c r="J362" s="420"/>
      <c r="K362" s="420"/>
      <c r="L362" s="420"/>
      <c r="M362" s="420"/>
      <c r="N362" s="420"/>
      <c r="O362" s="420"/>
      <c r="P362" s="420"/>
      <c r="Q362" s="420"/>
      <c r="R362" s="420"/>
      <c r="S362" s="420"/>
      <c r="T362" s="420"/>
      <c r="U362" s="420"/>
      <c r="V362" s="420"/>
      <c r="W362" s="420"/>
      <c r="X362" s="420"/>
      <c r="Y362" s="420"/>
      <c r="Z362" s="420"/>
      <c r="AA362" s="398"/>
      <c r="AB362" s="398"/>
      <c r="AC362" s="398"/>
    </row>
    <row r="363" spans="1:68" ht="14.25" customHeight="1" x14ac:dyDescent="0.25">
      <c r="A363" s="422" t="s">
        <v>66</v>
      </c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0"/>
      <c r="N363" s="420"/>
      <c r="O363" s="420"/>
      <c r="P363" s="420"/>
      <c r="Q363" s="420"/>
      <c r="R363" s="420"/>
      <c r="S363" s="420"/>
      <c r="T363" s="420"/>
      <c r="U363" s="420"/>
      <c r="V363" s="420"/>
      <c r="W363" s="420"/>
      <c r="X363" s="420"/>
      <c r="Y363" s="420"/>
      <c r="Z363" s="420"/>
      <c r="AA363" s="399"/>
      <c r="AB363" s="399"/>
      <c r="AC363" s="399"/>
    </row>
    <row r="364" spans="1:68" ht="27" customHeight="1" x14ac:dyDescent="0.25">
      <c r="A364" s="55" t="s">
        <v>548</v>
      </c>
      <c r="B364" s="55" t="s">
        <v>549</v>
      </c>
      <c r="C364" s="32">
        <v>4301051933</v>
      </c>
      <c r="D364" s="411">
        <v>4640242180540</v>
      </c>
      <c r="E364" s="412"/>
      <c r="F364" s="402">
        <v>1.3</v>
      </c>
      <c r="G364" s="33">
        <v>6</v>
      </c>
      <c r="H364" s="402">
        <v>7.8</v>
      </c>
      <c r="I364" s="402">
        <v>8.3190000000000008</v>
      </c>
      <c r="J364" s="33">
        <v>64</v>
      </c>
      <c r="K364" s="33" t="s">
        <v>89</v>
      </c>
      <c r="L364" s="33"/>
      <c r="M364" s="34" t="s">
        <v>95</v>
      </c>
      <c r="N364" s="34"/>
      <c r="O364" s="33">
        <v>45</v>
      </c>
      <c r="P364" s="624" t="s">
        <v>550</v>
      </c>
      <c r="Q364" s="408"/>
      <c r="R364" s="408"/>
      <c r="S364" s="408"/>
      <c r="T364" s="409"/>
      <c r="U364" s="35"/>
      <c r="V364" s="35"/>
      <c r="W364" s="36" t="s">
        <v>71</v>
      </c>
      <c r="X364" s="403">
        <v>0</v>
      </c>
      <c r="Y364" s="404">
        <f>IFERROR(IF(X364="",0,CEILING((X364/$H364),1)*$H364),"")</f>
        <v>0</v>
      </c>
      <c r="Z364" s="37" t="str">
        <f>IFERROR(IF(Y364=0,"",ROUNDUP(Y364/H364,0)*0.01898),"")</f>
        <v/>
      </c>
      <c r="AA364" s="57"/>
      <c r="AB364" s="58"/>
      <c r="AC364" s="394" t="s">
        <v>551</v>
      </c>
      <c r="AG364" s="65"/>
      <c r="AJ364" s="69"/>
      <c r="AK364" s="69">
        <v>0</v>
      </c>
      <c r="BB364" s="395" t="s">
        <v>1</v>
      </c>
      <c r="BM364" s="65">
        <f>IFERROR(X364*I364/H364,"0")</f>
        <v>0</v>
      </c>
      <c r="BN364" s="65">
        <f>IFERROR(Y364*I364/H364,"0")</f>
        <v>0</v>
      </c>
      <c r="BO364" s="65">
        <f>IFERROR(1/J364*(X364/H364),"0")</f>
        <v>0</v>
      </c>
      <c r="BP364" s="65">
        <f>IFERROR(1/J364*(Y364/H364),"0")</f>
        <v>0</v>
      </c>
    </row>
    <row r="365" spans="1:68" x14ac:dyDescent="0.2">
      <c r="A365" s="419"/>
      <c r="B365" s="420"/>
      <c r="C365" s="420"/>
      <c r="D365" s="420"/>
      <c r="E365" s="420"/>
      <c r="F365" s="420"/>
      <c r="G365" s="420"/>
      <c r="H365" s="420"/>
      <c r="I365" s="420"/>
      <c r="J365" s="420"/>
      <c r="K365" s="420"/>
      <c r="L365" s="420"/>
      <c r="M365" s="420"/>
      <c r="N365" s="420"/>
      <c r="O365" s="421"/>
      <c r="P365" s="415" t="s">
        <v>76</v>
      </c>
      <c r="Q365" s="416"/>
      <c r="R365" s="416"/>
      <c r="S365" s="416"/>
      <c r="T365" s="416"/>
      <c r="U365" s="416"/>
      <c r="V365" s="417"/>
      <c r="W365" s="38" t="s">
        <v>77</v>
      </c>
      <c r="X365" s="405">
        <f>IFERROR(X364/H364,"0")</f>
        <v>0</v>
      </c>
      <c r="Y365" s="405">
        <f>IFERROR(Y364/H364,"0")</f>
        <v>0</v>
      </c>
      <c r="Z365" s="405">
        <f>IFERROR(IF(Z364="",0,Z364),"0")</f>
        <v>0</v>
      </c>
      <c r="AA365" s="406"/>
      <c r="AB365" s="406"/>
      <c r="AC365" s="406"/>
    </row>
    <row r="366" spans="1:68" x14ac:dyDescent="0.2">
      <c r="A366" s="420"/>
      <c r="B366" s="420"/>
      <c r="C366" s="420"/>
      <c r="D366" s="420"/>
      <c r="E366" s="420"/>
      <c r="F366" s="420"/>
      <c r="G366" s="420"/>
      <c r="H366" s="420"/>
      <c r="I366" s="420"/>
      <c r="J366" s="420"/>
      <c r="K366" s="420"/>
      <c r="L366" s="420"/>
      <c r="M366" s="420"/>
      <c r="N366" s="420"/>
      <c r="O366" s="421"/>
      <c r="P366" s="415" t="s">
        <v>76</v>
      </c>
      <c r="Q366" s="416"/>
      <c r="R366" s="416"/>
      <c r="S366" s="416"/>
      <c r="T366" s="416"/>
      <c r="U366" s="416"/>
      <c r="V366" s="417"/>
      <c r="W366" s="38" t="s">
        <v>71</v>
      </c>
      <c r="X366" s="405">
        <f>IFERROR(SUM(X364:X364),"0")</f>
        <v>0</v>
      </c>
      <c r="Y366" s="405">
        <f>IFERROR(SUM(Y364:Y364),"0")</f>
        <v>0</v>
      </c>
      <c r="Z366" s="38"/>
      <c r="AA366" s="406"/>
      <c r="AB366" s="406"/>
      <c r="AC366" s="406"/>
    </row>
    <row r="367" spans="1:68" ht="15" customHeight="1" x14ac:dyDescent="0.2">
      <c r="A367" s="639"/>
      <c r="B367" s="420"/>
      <c r="C367" s="420"/>
      <c r="D367" s="420"/>
      <c r="E367" s="420"/>
      <c r="F367" s="420"/>
      <c r="G367" s="420"/>
      <c r="H367" s="420"/>
      <c r="I367" s="420"/>
      <c r="J367" s="420"/>
      <c r="K367" s="420"/>
      <c r="L367" s="420"/>
      <c r="M367" s="420"/>
      <c r="N367" s="420"/>
      <c r="O367" s="530"/>
      <c r="P367" s="505" t="s">
        <v>552</v>
      </c>
      <c r="Q367" s="496"/>
      <c r="R367" s="496"/>
      <c r="S367" s="496"/>
      <c r="T367" s="496"/>
      <c r="U367" s="496"/>
      <c r="V367" s="497"/>
      <c r="W367" s="38" t="s">
        <v>71</v>
      </c>
      <c r="X367" s="405">
        <f>IFERROR(X25+X29+X37+X47+X54+X59+X65+X72+X80+X86+X92+X96+X101+X107+X120+X126+X130+X136+X141+X148+X159+X163+X174+X183+X188+X193+X198+X203+X212+X221+X229+X235+X243+X249+X255+X266+X271+X276+X280+X288+X292+X297+X301+X310+X315+X321+X325+X340+X345+X355+X360+X366,"0")</f>
        <v>9500</v>
      </c>
      <c r="Y367" s="405">
        <f>IFERROR(Y25+Y29+Y37+Y47+Y54+Y59+Y65+Y72+Y80+Y86+Y92+Y96+Y101+Y107+Y120+Y126+Y130+Y136+Y141+Y148+Y159+Y163+Y174+Y183+Y188+Y193+Y198+Y203+Y212+Y221+Y229+Y235+Y243+Y249+Y255+Y266+Y271+Y276+Y280+Y288+Y292+Y297+Y301+Y310+Y315+Y321+Y325+Y340+Y345+Y355+Y360+Y366,"0")</f>
        <v>9595.52</v>
      </c>
      <c r="Z367" s="38"/>
      <c r="AA367" s="406"/>
      <c r="AB367" s="406"/>
      <c r="AC367" s="406"/>
    </row>
    <row r="368" spans="1:68" x14ac:dyDescent="0.2">
      <c r="A368" s="420"/>
      <c r="B368" s="420"/>
      <c r="C368" s="420"/>
      <c r="D368" s="420"/>
      <c r="E368" s="420"/>
      <c r="F368" s="420"/>
      <c r="G368" s="420"/>
      <c r="H368" s="420"/>
      <c r="I368" s="420"/>
      <c r="J368" s="420"/>
      <c r="K368" s="420"/>
      <c r="L368" s="420"/>
      <c r="M368" s="420"/>
      <c r="N368" s="420"/>
      <c r="O368" s="530"/>
      <c r="P368" s="505" t="s">
        <v>553</v>
      </c>
      <c r="Q368" s="496"/>
      <c r="R368" s="496"/>
      <c r="S368" s="496"/>
      <c r="T368" s="496"/>
      <c r="U368" s="496"/>
      <c r="V368" s="497"/>
      <c r="W368" s="38" t="s">
        <v>71</v>
      </c>
      <c r="X368" s="405">
        <f>IFERROR(SUM(BM22:BM364),"0")</f>
        <v>10043.842994309425</v>
      </c>
      <c r="Y368" s="405">
        <f>IFERROR(SUM(BN22:BN364),"0")</f>
        <v>10144.702999999998</v>
      </c>
      <c r="Z368" s="38"/>
      <c r="AA368" s="406"/>
      <c r="AB368" s="406"/>
      <c r="AC368" s="406"/>
    </row>
    <row r="369" spans="1:32" x14ac:dyDescent="0.2">
      <c r="A369" s="420"/>
      <c r="B369" s="420"/>
      <c r="C369" s="420"/>
      <c r="D369" s="420"/>
      <c r="E369" s="420"/>
      <c r="F369" s="420"/>
      <c r="G369" s="420"/>
      <c r="H369" s="420"/>
      <c r="I369" s="420"/>
      <c r="J369" s="420"/>
      <c r="K369" s="420"/>
      <c r="L369" s="420"/>
      <c r="M369" s="420"/>
      <c r="N369" s="420"/>
      <c r="O369" s="530"/>
      <c r="P369" s="505" t="s">
        <v>554</v>
      </c>
      <c r="Q369" s="496"/>
      <c r="R369" s="496"/>
      <c r="S369" s="496"/>
      <c r="T369" s="496"/>
      <c r="U369" s="496"/>
      <c r="V369" s="497"/>
      <c r="W369" s="38" t="s">
        <v>555</v>
      </c>
      <c r="X369" s="39">
        <f>ROUNDUP(SUM(BO22:BO364),0)</f>
        <v>17</v>
      </c>
      <c r="Y369" s="39">
        <f>ROUNDUP(SUM(BP22:BP364),0)</f>
        <v>17</v>
      </c>
      <c r="Z369" s="38"/>
      <c r="AA369" s="406"/>
      <c r="AB369" s="406"/>
      <c r="AC369" s="406"/>
    </row>
    <row r="370" spans="1:32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0"/>
      <c r="N370" s="420"/>
      <c r="O370" s="530"/>
      <c r="P370" s="505" t="s">
        <v>556</v>
      </c>
      <c r="Q370" s="496"/>
      <c r="R370" s="496"/>
      <c r="S370" s="496"/>
      <c r="T370" s="496"/>
      <c r="U370" s="496"/>
      <c r="V370" s="497"/>
      <c r="W370" s="38" t="s">
        <v>71</v>
      </c>
      <c r="X370" s="405">
        <f>GrossWeightTotal+PalletQtyTotal*25</f>
        <v>10468.842994309425</v>
      </c>
      <c r="Y370" s="405">
        <f>GrossWeightTotalR+PalletQtyTotalR*25</f>
        <v>10569.702999999998</v>
      </c>
      <c r="Z370" s="38"/>
      <c r="AA370" s="406"/>
      <c r="AB370" s="406"/>
      <c r="AC370" s="406"/>
    </row>
    <row r="371" spans="1:32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0"/>
      <c r="N371" s="420"/>
      <c r="O371" s="530"/>
      <c r="P371" s="505" t="s">
        <v>557</v>
      </c>
      <c r="Q371" s="496"/>
      <c r="R371" s="496"/>
      <c r="S371" s="496"/>
      <c r="T371" s="496"/>
      <c r="U371" s="496"/>
      <c r="V371" s="497"/>
      <c r="W371" s="38" t="s">
        <v>555</v>
      </c>
      <c r="X371" s="405">
        <f>IFERROR(X24+X28+X36+X46+X53+X58+X64+X71+X79+X85+X91+X95+X100+X106+X119+X125+X129+X135+X140+X147+X158+X162+X173+X182+X187+X192+X197+X202+X211+X220+X228+X234+X242+X248+X254+X265+X270+X275+X279+X287+X291+X296+X300+X309+X314+X320+X324+X339+X344+X354+X359+X365,"0")</f>
        <v>1520.1190730737721</v>
      </c>
      <c r="Y371" s="405">
        <f>IFERROR(Y24+Y28+Y36+Y46+Y53+Y58+Y64+Y71+Y79+Y85+Y91+Y95+Y100+Y106+Y119+Y125+Y129+Y135+Y140+Y147+Y158+Y162+Y173+Y182+Y187+Y192+Y197+Y202+Y211+Y220+Y228+Y234+Y242+Y248+Y254+Y265+Y270+Y275+Y279+Y287+Y291+Y296+Y300+Y309+Y314+Y320+Y324+Y339+Y344+Y354+Y359+Y365,"0")</f>
        <v>1535</v>
      </c>
      <c r="Z371" s="38"/>
      <c r="AA371" s="406"/>
      <c r="AB371" s="406"/>
      <c r="AC371" s="406"/>
    </row>
    <row r="372" spans="1:32" ht="14.25" customHeight="1" x14ac:dyDescent="0.2">
      <c r="A372" s="420"/>
      <c r="B372" s="420"/>
      <c r="C372" s="420"/>
      <c r="D372" s="420"/>
      <c r="E372" s="420"/>
      <c r="F372" s="420"/>
      <c r="G372" s="420"/>
      <c r="H372" s="420"/>
      <c r="I372" s="420"/>
      <c r="J372" s="420"/>
      <c r="K372" s="420"/>
      <c r="L372" s="420"/>
      <c r="M372" s="420"/>
      <c r="N372" s="420"/>
      <c r="O372" s="530"/>
      <c r="P372" s="505" t="s">
        <v>558</v>
      </c>
      <c r="Q372" s="496"/>
      <c r="R372" s="496"/>
      <c r="S372" s="496"/>
      <c r="T372" s="496"/>
      <c r="U372" s="496"/>
      <c r="V372" s="497"/>
      <c r="W372" s="40" t="s">
        <v>559</v>
      </c>
      <c r="X372" s="38"/>
      <c r="Y372" s="38"/>
      <c r="Z372" s="38">
        <f>IFERROR(Z24+Z28+Z36+Z46+Z53+Z58+Z64+Z71+Z79+Z85+Z91+Z95+Z100+Z106+Z119+Z125+Z129+Z135+Z140+Z147+Z158+Z162+Z173+Z182+Z187+Z192+Z197+Z202+Z211+Z220+Z228+Z234+Z242+Z248+Z254+Z265+Z270+Z275+Z279+Z287+Z291+Z296+Z300+Z309+Z314+Z320+Z324+Z339+Z344+Z354+Z359+Z365,"0")</f>
        <v>19.890160000000005</v>
      </c>
      <c r="AA372" s="406"/>
      <c r="AB372" s="406"/>
      <c r="AC372" s="406"/>
    </row>
    <row r="373" spans="1:32" ht="13.5" customHeight="1" thickBot="1" x14ac:dyDescent="0.25"/>
    <row r="374" spans="1:32" ht="27" customHeight="1" thickTop="1" thickBot="1" x14ac:dyDescent="0.25">
      <c r="A374" s="41" t="s">
        <v>560</v>
      </c>
      <c r="B374" s="396" t="s">
        <v>65</v>
      </c>
      <c r="C374" s="435" t="s">
        <v>84</v>
      </c>
      <c r="D374" s="458"/>
      <c r="E374" s="458"/>
      <c r="F374" s="458"/>
      <c r="G374" s="459"/>
      <c r="H374" s="435" t="s">
        <v>192</v>
      </c>
      <c r="I374" s="458"/>
      <c r="J374" s="458"/>
      <c r="K374" s="458"/>
      <c r="L374" s="458"/>
      <c r="M374" s="458"/>
      <c r="N374" s="458"/>
      <c r="O374" s="458"/>
      <c r="P374" s="458"/>
      <c r="Q374" s="458"/>
      <c r="R374" s="459"/>
      <c r="S374" s="435" t="s">
        <v>413</v>
      </c>
      <c r="T374" s="459"/>
      <c r="U374" s="435" t="s">
        <v>467</v>
      </c>
      <c r="V374" s="459"/>
      <c r="W374" s="396" t="s">
        <v>495</v>
      </c>
      <c r="X374" s="396" t="s">
        <v>547</v>
      </c>
      <c r="AB374" s="53"/>
      <c r="AC374" s="53"/>
      <c r="AF374" s="397"/>
    </row>
    <row r="375" spans="1:32" ht="14.25" customHeight="1" thickTop="1" x14ac:dyDescent="0.2">
      <c r="A375" s="548" t="s">
        <v>561</v>
      </c>
      <c r="B375" s="435" t="s">
        <v>65</v>
      </c>
      <c r="C375" s="435" t="s">
        <v>85</v>
      </c>
      <c r="D375" s="435" t="s">
        <v>98</v>
      </c>
      <c r="E375" s="435" t="s">
        <v>135</v>
      </c>
      <c r="F375" s="435" t="s">
        <v>151</v>
      </c>
      <c r="G375" s="435" t="s">
        <v>84</v>
      </c>
      <c r="H375" s="435" t="s">
        <v>193</v>
      </c>
      <c r="I375" s="435" t="s">
        <v>227</v>
      </c>
      <c r="J375" s="435" t="s">
        <v>274</v>
      </c>
      <c r="K375" s="435" t="s">
        <v>293</v>
      </c>
      <c r="L375" s="435" t="s">
        <v>309</v>
      </c>
      <c r="M375" s="435" t="s">
        <v>312</v>
      </c>
      <c r="N375" s="397"/>
      <c r="O375" s="435" t="s">
        <v>316</v>
      </c>
      <c r="P375" s="435" t="s">
        <v>320</v>
      </c>
      <c r="Q375" s="435" t="s">
        <v>325</v>
      </c>
      <c r="R375" s="435" t="s">
        <v>406</v>
      </c>
      <c r="S375" s="435" t="s">
        <v>414</v>
      </c>
      <c r="T375" s="435" t="s">
        <v>445</v>
      </c>
      <c r="U375" s="435" t="s">
        <v>468</v>
      </c>
      <c r="V375" s="435" t="s">
        <v>485</v>
      </c>
      <c r="W375" s="435" t="s">
        <v>495</v>
      </c>
      <c r="X375" s="435" t="s">
        <v>547</v>
      </c>
      <c r="AB375" s="53"/>
      <c r="AC375" s="53"/>
      <c r="AF375" s="397"/>
    </row>
    <row r="376" spans="1:32" ht="13.5" customHeight="1" thickBot="1" x14ac:dyDescent="0.25">
      <c r="A376" s="549"/>
      <c r="B376" s="436"/>
      <c r="C376" s="436"/>
      <c r="D376" s="436"/>
      <c r="E376" s="436"/>
      <c r="F376" s="436"/>
      <c r="G376" s="436"/>
      <c r="H376" s="436"/>
      <c r="I376" s="436"/>
      <c r="J376" s="436"/>
      <c r="K376" s="436"/>
      <c r="L376" s="436"/>
      <c r="M376" s="436"/>
      <c r="N376" s="397"/>
      <c r="O376" s="436"/>
      <c r="P376" s="436"/>
      <c r="Q376" s="436"/>
      <c r="R376" s="436"/>
      <c r="S376" s="436"/>
      <c r="T376" s="436"/>
      <c r="U376" s="436"/>
      <c r="V376" s="436"/>
      <c r="W376" s="436"/>
      <c r="X376" s="436"/>
      <c r="AB376" s="53"/>
      <c r="AC376" s="53"/>
      <c r="AF376" s="397"/>
    </row>
    <row r="377" spans="1:32" ht="18" customHeight="1" thickTop="1" thickBot="1" x14ac:dyDescent="0.25">
      <c r="A377" s="41" t="s">
        <v>562</v>
      </c>
      <c r="B377" s="47">
        <f>IFERROR(Y22*1,"0")+IFERROR(Y23*1,"0")+IFERROR(Y27*1,"0")</f>
        <v>0</v>
      </c>
      <c r="C377" s="47">
        <f>IFERROR(Y33*1,"0")+IFERROR(Y34*1,"0")+IFERROR(Y35*1,"0")</f>
        <v>100</v>
      </c>
      <c r="D377" s="47">
        <f>IFERROR(Y40*1,"0")+IFERROR(Y41*1,"0")+IFERROR(Y42*1,"0")+IFERROR(Y43*1,"0")+IFERROR(Y44*1,"0")+IFERROR(Y45*1,"0")+IFERROR(Y49*1,"0")+IFERROR(Y50*1,"0")+IFERROR(Y51*1,"0")+IFERROR(Y52*1,"0")+IFERROR(Y56*1,"0")+IFERROR(Y57*1,"0")</f>
        <v>108</v>
      </c>
      <c r="E377" s="47">
        <f>IFERROR(Y62*1,"0")+IFERROR(Y63*1,"0")+IFERROR(Y67*1,"0")+IFERROR(Y68*1,"0")+IFERROR(Y69*1,"0")+IFERROR(Y70*1,"0")</f>
        <v>459</v>
      </c>
      <c r="F377" s="47">
        <f>IFERROR(Y75*1,"0")+IFERROR(Y76*1,"0")+IFERROR(Y77*1,"0")+IFERROR(Y78*1,"0")+IFERROR(Y82*1,"0")+IFERROR(Y83*1,"0")+IFERROR(Y84*1,"0")+IFERROR(Y88*1,"0")+IFERROR(Y89*1,"0")+IFERROR(Y90*1,"0")+IFERROR(Y94*1,"0")</f>
        <v>1155.5999999999999</v>
      </c>
      <c r="G377" s="47">
        <f>IFERROR(Y99*1,"0")+IFERROR(Y103*1,"0")+IFERROR(Y104*1,"0")+IFERROR(Y105*1,"0")</f>
        <v>0</v>
      </c>
      <c r="H377" s="47">
        <f>IFERROR(Y111*1,"0")+IFERROR(Y112*1,"0")+IFERROR(Y113*1,"0")+IFERROR(Y114*1,"0")+IFERROR(Y115*1,"0")+IFERROR(Y116*1,"0")+IFERROR(Y117*1,"0")+IFERROR(Y118*1,"0")+IFERROR(Y122*1,"0")+IFERROR(Y123*1,"0")+IFERROR(Y124*1,"0")+IFERROR(Y128*1,"0")</f>
        <v>378.00000000000006</v>
      </c>
      <c r="I377" s="47">
        <f>IFERROR(Y133*1,"0")+IFERROR(Y134*1,"0")+IFERROR(Y138*1,"0")+IFERROR(Y139*1,"0")+IFERROR(Y143*1,"0")+IFERROR(Y144*1,"0")+IFERROR(Y145*1,"0")+IFERROR(Y146*1,"0")+IFERROR(Y150*1,"0")+IFERROR(Y151*1,"0")+IFERROR(Y152*1,"0")+IFERROR(Y153*1,"0")+IFERROR(Y154*1,"0")+IFERROR(Y155*1,"0")+IFERROR(Y156*1,"0")+IFERROR(Y157*1,"0")+IFERROR(Y161*1,"0")</f>
        <v>752.1</v>
      </c>
      <c r="J377" s="47">
        <f>IFERROR(Y166*1,"0")+IFERROR(Y167*1,"0")+IFERROR(Y168*1,"0")+IFERROR(Y169*1,"0")+IFERROR(Y170*1,"0")+IFERROR(Y171*1,"0")+IFERROR(Y172*1,"0")</f>
        <v>0</v>
      </c>
      <c r="K377" s="47">
        <f>IFERROR(Y177*1,"0")+IFERROR(Y178*1,"0")+IFERROR(Y179*1,"0")+IFERROR(Y180*1,"0")+IFERROR(Y181*1,"0")</f>
        <v>0</v>
      </c>
      <c r="L377" s="47">
        <f>IFERROR(Y186*1,"0")</f>
        <v>0</v>
      </c>
      <c r="M377" s="47">
        <f>IFERROR(Y191*1,"0")</f>
        <v>0</v>
      </c>
      <c r="N377" s="397"/>
      <c r="O377" s="47">
        <f>IFERROR(Y196*1,"0")</f>
        <v>0</v>
      </c>
      <c r="P377" s="47">
        <f>IFERROR(Y201*1,"0")</f>
        <v>0</v>
      </c>
      <c r="Q377" s="47">
        <f>IFERROR(Y206*1,"0")+IFERROR(Y207*1,"0")+IFERROR(Y208*1,"0")+IFERROR(Y209*1,"0")+IFERROR(Y210*1,"0")+IFERROR(Y214*1,"0")+IFERROR(Y215*1,"0")+IFERROR(Y216*1,"0")+IFERROR(Y217*1,"0")+IFERROR(Y218*1,"0")+IFERROR(Y219*1,"0")+IFERROR(Y223*1,"0")+IFERROR(Y224*1,"0")+IFERROR(Y225*1,"0")+IFERROR(Y226*1,"0")+IFERROR(Y227*1,"0")+IFERROR(Y231*1,"0")+IFERROR(Y232*1,"0")+IFERROR(Y233*1,"0")+IFERROR(Y237*1,"0")+IFERROR(Y238*1,"0")+IFERROR(Y239*1,"0")+IFERROR(Y240*1,"0")+IFERROR(Y241*1,"0")+IFERROR(Y245*1,"0")+IFERROR(Y246*1,"0")+IFERROR(Y247*1,"0")</f>
        <v>132</v>
      </c>
      <c r="R377" s="47">
        <f>IFERROR(Y252*1,"0")+IFERROR(Y253*1,"0")</f>
        <v>81.900000000000006</v>
      </c>
      <c r="S377" s="47">
        <f>IFERROR(Y259*1,"0")+IFERROR(Y260*1,"0")+IFERROR(Y261*1,"0")+IFERROR(Y262*1,"0")+IFERROR(Y263*1,"0")+IFERROR(Y264*1,"0")+IFERROR(Y268*1,"0")+IFERROR(Y269*1,"0")+IFERROR(Y273*1,"0")+IFERROR(Y274*1,"0")+IFERROR(Y278*1,"0")</f>
        <v>1815</v>
      </c>
      <c r="T377" s="47">
        <f>IFERROR(Y283*1,"0")+IFERROR(Y284*1,"0")+IFERROR(Y285*1,"0")+IFERROR(Y286*1,"0")+IFERROR(Y290*1,"0")+IFERROR(Y294*1,"0")+IFERROR(Y295*1,"0")+IFERROR(Y299*1,"0")</f>
        <v>2769.4</v>
      </c>
      <c r="U377" s="47">
        <f>IFERROR(Y305*1,"0")+IFERROR(Y306*1,"0")+IFERROR(Y307*1,"0")+IFERROR(Y308*1,"0")+IFERROR(Y312*1,"0")+IFERROR(Y313*1,"0")</f>
        <v>100.8</v>
      </c>
      <c r="V377" s="47">
        <f>IFERROR(Y318*1,"0")+IFERROR(Y319*1,"0")+IFERROR(Y323*1,"0")</f>
        <v>0</v>
      </c>
      <c r="W377" s="47">
        <f>IFERROR(Y329*1,"0")+IFERROR(Y330*1,"0")+IFERROR(Y331*1,"0")+IFERROR(Y332*1,"0")+IFERROR(Y333*1,"0")+IFERROR(Y334*1,"0")+IFERROR(Y335*1,"0")+IFERROR(Y336*1,"0")+IFERROR(Y337*1,"0")+IFERROR(Y338*1,"0")+IFERROR(Y342*1,"0")+IFERROR(Y343*1,"0")+IFERROR(Y347*1,"0")+IFERROR(Y348*1,"0")+IFERROR(Y349*1,"0")+IFERROR(Y350*1,"0")+IFERROR(Y351*1,"0")+IFERROR(Y352*1,"0")+IFERROR(Y353*1,"0")+IFERROR(Y357*1,"0")+IFERROR(Y358*1,"0")</f>
        <v>1743.72</v>
      </c>
      <c r="X377" s="47">
        <f>IFERROR(Y364*1,"0")</f>
        <v>0</v>
      </c>
      <c r="AB377" s="53"/>
      <c r="AC377" s="53"/>
      <c r="AF377" s="397"/>
    </row>
  </sheetData>
  <sheetProtection algorithmName="SHA-512" hashValue="IM+RkD2Zm5+U6qGwGY4YF0AgpC12xIKqMoaD0s+uaOYddX3e4Yr2FZFoZb+H36ObC7FNUDqffyMD6r+r+T22Gg==" saltValue="QiPWsAMB/RoMqBLGgJgeu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63">
    <mergeCell ref="E375:E376"/>
    <mergeCell ref="A197:O198"/>
    <mergeCell ref="A10:C10"/>
    <mergeCell ref="P218:T218"/>
    <mergeCell ref="P140:V140"/>
    <mergeCell ref="A21:Z21"/>
    <mergeCell ref="A194:Z194"/>
    <mergeCell ref="P296:V296"/>
    <mergeCell ref="D42:E42"/>
    <mergeCell ref="P338:T338"/>
    <mergeCell ref="D17:E18"/>
    <mergeCell ref="A131:Z131"/>
    <mergeCell ref="P313:T313"/>
    <mergeCell ref="X17:X18"/>
    <mergeCell ref="D123:E123"/>
    <mergeCell ref="P307:T307"/>
    <mergeCell ref="D50:E50"/>
    <mergeCell ref="X375:X376"/>
    <mergeCell ref="D44:E44"/>
    <mergeCell ref="D286:E286"/>
    <mergeCell ref="A30:Z30"/>
    <mergeCell ref="A202:O203"/>
    <mergeCell ref="D239:E239"/>
    <mergeCell ref="A279:O280"/>
    <mergeCell ref="U17:V17"/>
    <mergeCell ref="Y17:Y18"/>
    <mergeCell ref="D331:E331"/>
    <mergeCell ref="D57:E57"/>
    <mergeCell ref="A8:C8"/>
    <mergeCell ref="P124:T124"/>
    <mergeCell ref="P310:V310"/>
    <mergeCell ref="P163:V163"/>
    <mergeCell ref="D268:E268"/>
    <mergeCell ref="P151:T151"/>
    <mergeCell ref="N17:N18"/>
    <mergeCell ref="D49:E49"/>
    <mergeCell ref="Q5:R5"/>
    <mergeCell ref="F17:F18"/>
    <mergeCell ref="A58:O59"/>
    <mergeCell ref="C374:G374"/>
    <mergeCell ref="D278:E278"/>
    <mergeCell ref="A24:O25"/>
    <mergeCell ref="P70:T70"/>
    <mergeCell ref="P263:T263"/>
    <mergeCell ref="D171:E171"/>
    <mergeCell ref="D342:E342"/>
    <mergeCell ref="D336:E336"/>
    <mergeCell ref="Q6:R6"/>
    <mergeCell ref="A267:Z267"/>
    <mergeCell ref="P134:T134"/>
    <mergeCell ref="A204:Z204"/>
    <mergeCell ref="D196:E196"/>
    <mergeCell ref="P294:T294"/>
    <mergeCell ref="D133:E133"/>
    <mergeCell ref="P83:T83"/>
    <mergeCell ref="V12:W12"/>
    <mergeCell ref="D191:E191"/>
    <mergeCell ref="P319:T319"/>
    <mergeCell ref="AD17:AF18"/>
    <mergeCell ref="A132:Z132"/>
    <mergeCell ref="D76:E76"/>
    <mergeCell ref="F5:G5"/>
    <mergeCell ref="P365:V365"/>
    <mergeCell ref="P67:T67"/>
    <mergeCell ref="P119:V119"/>
    <mergeCell ref="P186:T186"/>
    <mergeCell ref="A236:Z236"/>
    <mergeCell ref="A36:O37"/>
    <mergeCell ref="P82:T82"/>
    <mergeCell ref="P253:T253"/>
    <mergeCell ref="V11:W11"/>
    <mergeCell ref="P57:T57"/>
    <mergeCell ref="P75:T75"/>
    <mergeCell ref="P342:T342"/>
    <mergeCell ref="P146:T146"/>
    <mergeCell ref="D152:E152"/>
    <mergeCell ref="D323:E323"/>
    <mergeCell ref="A192:O193"/>
    <mergeCell ref="D223:E223"/>
    <mergeCell ref="P181:T181"/>
    <mergeCell ref="P357:T357"/>
    <mergeCell ref="D23:E23"/>
    <mergeCell ref="P2:W3"/>
    <mergeCell ref="P133:T133"/>
    <mergeCell ref="D241:E241"/>
    <mergeCell ref="P347:T347"/>
    <mergeCell ref="D35:E35"/>
    <mergeCell ref="D333:E333"/>
    <mergeCell ref="A289:Z289"/>
    <mergeCell ref="D10:E10"/>
    <mergeCell ref="F10:G10"/>
    <mergeCell ref="P191:T191"/>
    <mergeCell ref="D34:E34"/>
    <mergeCell ref="D305:E305"/>
    <mergeCell ref="D99:E99"/>
    <mergeCell ref="A344:O345"/>
    <mergeCell ref="P128:T128"/>
    <mergeCell ref="D216:E216"/>
    <mergeCell ref="A20:Z20"/>
    <mergeCell ref="P300:V300"/>
    <mergeCell ref="D252:E252"/>
    <mergeCell ref="P123:T123"/>
    <mergeCell ref="D218:E218"/>
    <mergeCell ref="P197:V197"/>
    <mergeCell ref="P53:V53"/>
    <mergeCell ref="A127:Z127"/>
    <mergeCell ref="Q375:Q376"/>
    <mergeCell ref="P174:V174"/>
    <mergeCell ref="S375:S376"/>
    <mergeCell ref="A175:Z175"/>
    <mergeCell ref="A185:Z185"/>
    <mergeCell ref="P196:T196"/>
    <mergeCell ref="D177:E177"/>
    <mergeCell ref="P287:V287"/>
    <mergeCell ref="D33:E33"/>
    <mergeCell ref="D226:E226"/>
    <mergeCell ref="P62:T62"/>
    <mergeCell ref="P349:T349"/>
    <mergeCell ref="P364:T364"/>
    <mergeCell ref="A367:O372"/>
    <mergeCell ref="P371:V371"/>
    <mergeCell ref="D247:E247"/>
    <mergeCell ref="A176:Z176"/>
    <mergeCell ref="A257:Z257"/>
    <mergeCell ref="P262:T262"/>
    <mergeCell ref="D105:E105"/>
    <mergeCell ref="D170:E170"/>
    <mergeCell ref="D262:E262"/>
    <mergeCell ref="A265:O266"/>
    <mergeCell ref="A362:Z362"/>
    <mergeCell ref="A9:C9"/>
    <mergeCell ref="A71:O72"/>
    <mergeCell ref="P112:T112"/>
    <mergeCell ref="A242:O243"/>
    <mergeCell ref="A302:Z302"/>
    <mergeCell ref="H375:H376"/>
    <mergeCell ref="D294:E294"/>
    <mergeCell ref="P348:T348"/>
    <mergeCell ref="A298:Z298"/>
    <mergeCell ref="P323:T323"/>
    <mergeCell ref="D231:E231"/>
    <mergeCell ref="D358:E358"/>
    <mergeCell ref="A327:Z327"/>
    <mergeCell ref="Q13:R13"/>
    <mergeCell ref="A293:Z293"/>
    <mergeCell ref="A93:Z93"/>
    <mergeCell ref="D318:E318"/>
    <mergeCell ref="P201:T201"/>
    <mergeCell ref="P339:V339"/>
    <mergeCell ref="P139:T139"/>
    <mergeCell ref="A125:O126"/>
    <mergeCell ref="P47:V47"/>
    <mergeCell ref="P114:T114"/>
    <mergeCell ref="P247:T247"/>
    <mergeCell ref="H5:M5"/>
    <mergeCell ref="P158:V158"/>
    <mergeCell ref="A228:O229"/>
    <mergeCell ref="D146:E146"/>
    <mergeCell ref="P225:T225"/>
    <mergeCell ref="A341:Z341"/>
    <mergeCell ref="D6:M6"/>
    <mergeCell ref="P95:V95"/>
    <mergeCell ref="P266:V266"/>
    <mergeCell ref="D83:E83"/>
    <mergeCell ref="D143:E143"/>
    <mergeCell ref="P227:T227"/>
    <mergeCell ref="D319:E319"/>
    <mergeCell ref="P177:T177"/>
    <mergeCell ref="P33:T33"/>
    <mergeCell ref="P226:T226"/>
    <mergeCell ref="D207:E207"/>
    <mergeCell ref="P269:T269"/>
    <mergeCell ref="P335:T335"/>
    <mergeCell ref="P120:V120"/>
    <mergeCell ref="D299:E299"/>
    <mergeCell ref="A100:O101"/>
    <mergeCell ref="A230:Z230"/>
    <mergeCell ref="P35:T35"/>
    <mergeCell ref="V6:W9"/>
    <mergeCell ref="D128:E128"/>
    <mergeCell ref="A106:O107"/>
    <mergeCell ref="P234:V234"/>
    <mergeCell ref="D364:E364"/>
    <mergeCell ref="D186:E186"/>
    <mergeCell ref="P274:T274"/>
    <mergeCell ref="D217:E217"/>
    <mergeCell ref="P84:T84"/>
    <mergeCell ref="P22:T22"/>
    <mergeCell ref="P40:T40"/>
    <mergeCell ref="A61:Z61"/>
    <mergeCell ref="P92:V92"/>
    <mergeCell ref="P54:V54"/>
    <mergeCell ref="A346:Z346"/>
    <mergeCell ref="Z17:Z18"/>
    <mergeCell ref="P173:V173"/>
    <mergeCell ref="P29:V29"/>
    <mergeCell ref="P100:V100"/>
    <mergeCell ref="P271:V271"/>
    <mergeCell ref="P265:V265"/>
    <mergeCell ref="A277:Z277"/>
    <mergeCell ref="G17:G18"/>
    <mergeCell ref="P333:T333"/>
    <mergeCell ref="H10:M10"/>
    <mergeCell ref="AA17:AA18"/>
    <mergeCell ref="AC17:AC18"/>
    <mergeCell ref="P107:V107"/>
    <mergeCell ref="P101:V101"/>
    <mergeCell ref="D89:E89"/>
    <mergeCell ref="O375:O376"/>
    <mergeCell ref="P147:V147"/>
    <mergeCell ref="G375:G376"/>
    <mergeCell ref="A199:Z199"/>
    <mergeCell ref="I375:I376"/>
    <mergeCell ref="P45:T45"/>
    <mergeCell ref="P343:T343"/>
    <mergeCell ref="D153:E153"/>
    <mergeCell ref="P318:T318"/>
    <mergeCell ref="AB17:AB18"/>
    <mergeCell ref="P242:V242"/>
    <mergeCell ref="P148:V148"/>
    <mergeCell ref="P111:T111"/>
    <mergeCell ref="D154:E154"/>
    <mergeCell ref="D225:E225"/>
    <mergeCell ref="D227:E227"/>
    <mergeCell ref="P241:T241"/>
    <mergeCell ref="P41:T41"/>
    <mergeCell ref="J375:J376"/>
    <mergeCell ref="D269:E269"/>
    <mergeCell ref="P275:V275"/>
    <mergeCell ref="P27:T27"/>
    <mergeCell ref="D75:E75"/>
    <mergeCell ref="P154:T154"/>
    <mergeCell ref="D206:E206"/>
    <mergeCell ref="A66:Z66"/>
    <mergeCell ref="D181:E181"/>
    <mergeCell ref="D273:E273"/>
    <mergeCell ref="P156:T156"/>
    <mergeCell ref="P366:V366"/>
    <mergeCell ref="A160:Z160"/>
    <mergeCell ref="D84:E84"/>
    <mergeCell ref="D155:E155"/>
    <mergeCell ref="A328:Z328"/>
    <mergeCell ref="A222:Z222"/>
    <mergeCell ref="P255:V255"/>
    <mergeCell ref="A320:O321"/>
    <mergeCell ref="P295:T295"/>
    <mergeCell ref="P178:T178"/>
    <mergeCell ref="P34:T34"/>
    <mergeCell ref="P105:T105"/>
    <mergeCell ref="P214:T214"/>
    <mergeCell ref="P28:V28"/>
    <mergeCell ref="P221:V221"/>
    <mergeCell ref="D138:E138"/>
    <mergeCell ref="P232:T232"/>
    <mergeCell ref="P330:T330"/>
    <mergeCell ref="H17:H18"/>
    <mergeCell ref="A220:O221"/>
    <mergeCell ref="P90:T90"/>
    <mergeCell ref="P261:T261"/>
    <mergeCell ref="P161:T161"/>
    <mergeCell ref="P217:T217"/>
    <mergeCell ref="A291:O292"/>
    <mergeCell ref="D22:E22"/>
    <mergeCell ref="A64:O65"/>
    <mergeCell ref="D151:E151"/>
    <mergeCell ref="P192:V192"/>
    <mergeCell ref="P49:T49"/>
    <mergeCell ref="D150:E150"/>
    <mergeCell ref="P278:T278"/>
    <mergeCell ref="P129:V129"/>
    <mergeCell ref="D215:E215"/>
    <mergeCell ref="A317:Z317"/>
    <mergeCell ref="M17:M18"/>
    <mergeCell ref="O17:O18"/>
    <mergeCell ref="A365:O366"/>
    <mergeCell ref="S374:T374"/>
    <mergeCell ref="P86:V86"/>
    <mergeCell ref="P306:T306"/>
    <mergeCell ref="D349:E349"/>
    <mergeCell ref="U374:V374"/>
    <mergeCell ref="A38:Z38"/>
    <mergeCell ref="P207:T207"/>
    <mergeCell ref="P249:V249"/>
    <mergeCell ref="P299:T299"/>
    <mergeCell ref="P332:T332"/>
    <mergeCell ref="A339:O340"/>
    <mergeCell ref="P336:T336"/>
    <mergeCell ref="P187:V187"/>
    <mergeCell ref="D237:E237"/>
    <mergeCell ref="A39:Z39"/>
    <mergeCell ref="P372:V372"/>
    <mergeCell ref="P375:P376"/>
    <mergeCell ref="P71:V71"/>
    <mergeCell ref="R375:R376"/>
    <mergeCell ref="P202:V202"/>
    <mergeCell ref="P58:V58"/>
    <mergeCell ref="A13:M13"/>
    <mergeCell ref="P79:V79"/>
    <mergeCell ref="P315:V315"/>
    <mergeCell ref="P115:T115"/>
    <mergeCell ref="A256:Z256"/>
    <mergeCell ref="A15:M15"/>
    <mergeCell ref="P238:T238"/>
    <mergeCell ref="A375:A376"/>
    <mergeCell ref="A359:O360"/>
    <mergeCell ref="P77:T77"/>
    <mergeCell ref="P179:T179"/>
    <mergeCell ref="D112:E112"/>
    <mergeCell ref="D283:E283"/>
    <mergeCell ref="A296:O297"/>
    <mergeCell ref="A356:Z356"/>
    <mergeCell ref="D348:E348"/>
    <mergeCell ref="D62:E62"/>
    <mergeCell ref="D56:E56"/>
    <mergeCell ref="P206:T206"/>
    <mergeCell ref="P360:V360"/>
    <mergeCell ref="P80:V80"/>
    <mergeCell ref="D68:E68"/>
    <mergeCell ref="D201:E201"/>
    <mergeCell ref="D335:E335"/>
    <mergeCell ref="P245:T245"/>
    <mergeCell ref="P126:V126"/>
    <mergeCell ref="P224:T224"/>
    <mergeCell ref="P89:T89"/>
    <mergeCell ref="P260:T260"/>
    <mergeCell ref="D295:E295"/>
    <mergeCell ref="D178:E178"/>
    <mergeCell ref="P88:T88"/>
    <mergeCell ref="D172:E172"/>
    <mergeCell ref="P153:T153"/>
    <mergeCell ref="A270:O271"/>
    <mergeCell ref="P233:T233"/>
    <mergeCell ref="D347:E347"/>
    <mergeCell ref="D114:E114"/>
    <mergeCell ref="D285:E285"/>
    <mergeCell ref="P220:V220"/>
    <mergeCell ref="P143:T143"/>
    <mergeCell ref="A129:O130"/>
    <mergeCell ref="T5:U5"/>
    <mergeCell ref="P76:T76"/>
    <mergeCell ref="V5:W5"/>
    <mergeCell ref="D246:E246"/>
    <mergeCell ref="A48:Z48"/>
    <mergeCell ref="D40:E40"/>
    <mergeCell ref="U375:U376"/>
    <mergeCell ref="D111:E111"/>
    <mergeCell ref="D233:E233"/>
    <mergeCell ref="P212:V212"/>
    <mergeCell ref="D338:E338"/>
    <mergeCell ref="A142:Z142"/>
    <mergeCell ref="W375:W376"/>
    <mergeCell ref="Q8:R8"/>
    <mergeCell ref="A28:O29"/>
    <mergeCell ref="P69:T69"/>
    <mergeCell ref="D219:E219"/>
    <mergeCell ref="D104:E104"/>
    <mergeCell ref="P254:V254"/>
    <mergeCell ref="T6:U9"/>
    <mergeCell ref="Q10:R10"/>
    <mergeCell ref="P368:V368"/>
    <mergeCell ref="D41:E41"/>
    <mergeCell ref="P25:V25"/>
    <mergeCell ref="P370:V370"/>
    <mergeCell ref="A195:Z195"/>
    <mergeCell ref="A251:Z251"/>
    <mergeCell ref="B375:B376"/>
    <mergeCell ref="P122:T122"/>
    <mergeCell ref="P297:V297"/>
    <mergeCell ref="A322:Z322"/>
    <mergeCell ref="P291:V291"/>
    <mergeCell ref="P288:V288"/>
    <mergeCell ref="P285:T285"/>
    <mergeCell ref="D157:E157"/>
    <mergeCell ref="P136:V136"/>
    <mergeCell ref="A135:O136"/>
    <mergeCell ref="P228:V228"/>
    <mergeCell ref="P355:V355"/>
    <mergeCell ref="D343:E343"/>
    <mergeCell ref="P243:V243"/>
    <mergeCell ref="A190:Z190"/>
    <mergeCell ref="P292:V292"/>
    <mergeCell ref="P138:T138"/>
    <mergeCell ref="A137:Z137"/>
    <mergeCell ref="P320:V320"/>
    <mergeCell ref="P314:V314"/>
    <mergeCell ref="P216:T216"/>
    <mergeCell ref="P367:V367"/>
    <mergeCell ref="A314:O315"/>
    <mergeCell ref="D63:E63"/>
    <mergeCell ref="A31:Z31"/>
    <mergeCell ref="D330:E330"/>
    <mergeCell ref="P305:T305"/>
    <mergeCell ref="A304:Z304"/>
    <mergeCell ref="A98:Z98"/>
    <mergeCell ref="P344:V344"/>
    <mergeCell ref="D52:E52"/>
    <mergeCell ref="D350:E350"/>
    <mergeCell ref="P208:T208"/>
    <mergeCell ref="D116:E116"/>
    <mergeCell ref="D352:E352"/>
    <mergeCell ref="P219:T219"/>
    <mergeCell ref="A164:Z164"/>
    <mergeCell ref="A275:O276"/>
    <mergeCell ref="D156:E156"/>
    <mergeCell ref="P210:T210"/>
    <mergeCell ref="P308:T308"/>
    <mergeCell ref="P283:T283"/>
    <mergeCell ref="D264:E264"/>
    <mergeCell ref="P72:V72"/>
    <mergeCell ref="P43:T43"/>
    <mergeCell ref="P351:T351"/>
    <mergeCell ref="A248:O249"/>
    <mergeCell ref="D161:E161"/>
    <mergeCell ref="D232:E232"/>
    <mergeCell ref="P264:T264"/>
    <mergeCell ref="P68:T68"/>
    <mergeCell ref="P239:T239"/>
    <mergeCell ref="D169:E169"/>
    <mergeCell ref="P353:T353"/>
    <mergeCell ref="A121:Z121"/>
    <mergeCell ref="A109:Z109"/>
    <mergeCell ref="P85:V85"/>
    <mergeCell ref="A272:Z272"/>
    <mergeCell ref="A5:C5"/>
    <mergeCell ref="A110:Z110"/>
    <mergeCell ref="P64:V64"/>
    <mergeCell ref="P135:V135"/>
    <mergeCell ref="D179:E179"/>
    <mergeCell ref="A108:Z108"/>
    <mergeCell ref="D166:E166"/>
    <mergeCell ref="D337:E337"/>
    <mergeCell ref="A17:A18"/>
    <mergeCell ref="K17:K18"/>
    <mergeCell ref="A189:Z189"/>
    <mergeCell ref="C17:C18"/>
    <mergeCell ref="D103:E103"/>
    <mergeCell ref="D168:E168"/>
    <mergeCell ref="D9:E9"/>
    <mergeCell ref="D180:E180"/>
    <mergeCell ref="D118:E118"/>
    <mergeCell ref="F9:G9"/>
    <mergeCell ref="A254:O255"/>
    <mergeCell ref="D167:E167"/>
    <mergeCell ref="D27:E27"/>
    <mergeCell ref="P15:T16"/>
    <mergeCell ref="P23:T23"/>
    <mergeCell ref="P65:V65"/>
    <mergeCell ref="Q11:R11"/>
    <mergeCell ref="D260:E260"/>
    <mergeCell ref="A6:C6"/>
    <mergeCell ref="D113:E113"/>
    <mergeCell ref="P180:T180"/>
    <mergeCell ref="P118:T118"/>
    <mergeCell ref="D88:E88"/>
    <mergeCell ref="P167:T167"/>
    <mergeCell ref="P117:T117"/>
    <mergeCell ref="D115:E115"/>
    <mergeCell ref="Q12:R12"/>
    <mergeCell ref="D90:E90"/>
    <mergeCell ref="P169:T169"/>
    <mergeCell ref="P183:V183"/>
    <mergeCell ref="P246:T246"/>
    <mergeCell ref="P198:V198"/>
    <mergeCell ref="A250:Z250"/>
    <mergeCell ref="A12:M12"/>
    <mergeCell ref="A19:Z19"/>
    <mergeCell ref="A14:M14"/>
    <mergeCell ref="D43:E43"/>
    <mergeCell ref="P51:T51"/>
    <mergeCell ref="J9:M9"/>
    <mergeCell ref="D51:E51"/>
    <mergeCell ref="P350:T350"/>
    <mergeCell ref="I17:I18"/>
    <mergeCell ref="D306:E306"/>
    <mergeCell ref="A119:O120"/>
    <mergeCell ref="K375:K376"/>
    <mergeCell ref="M375:M376"/>
    <mergeCell ref="P352:T352"/>
    <mergeCell ref="P203:V203"/>
    <mergeCell ref="P301:V301"/>
    <mergeCell ref="A326:Z326"/>
    <mergeCell ref="P276:V276"/>
    <mergeCell ref="P270:V270"/>
    <mergeCell ref="P312:T312"/>
    <mergeCell ref="P36:V36"/>
    <mergeCell ref="A32:Z32"/>
    <mergeCell ref="A303:Z303"/>
    <mergeCell ref="P78:T78"/>
    <mergeCell ref="A97:Z97"/>
    <mergeCell ref="A324:O325"/>
    <mergeCell ref="D261:E261"/>
    <mergeCell ref="P354:V354"/>
    <mergeCell ref="P369:V369"/>
    <mergeCell ref="P358:T358"/>
    <mergeCell ref="A354:O355"/>
    <mergeCell ref="D1:F1"/>
    <mergeCell ref="P46:V46"/>
    <mergeCell ref="J17:J18"/>
    <mergeCell ref="D82:E82"/>
    <mergeCell ref="A91:O92"/>
    <mergeCell ref="L17:L18"/>
    <mergeCell ref="A85:O86"/>
    <mergeCell ref="P359:V359"/>
    <mergeCell ref="A184:Z184"/>
    <mergeCell ref="D240:E240"/>
    <mergeCell ref="A244:Z244"/>
    <mergeCell ref="D334:E334"/>
    <mergeCell ref="A165:Z165"/>
    <mergeCell ref="P321:V321"/>
    <mergeCell ref="P125:V125"/>
    <mergeCell ref="A309:O310"/>
    <mergeCell ref="A102:Z102"/>
    <mergeCell ref="P113:T113"/>
    <mergeCell ref="P284:T284"/>
    <mergeCell ref="P17:T18"/>
    <mergeCell ref="P63:T63"/>
    <mergeCell ref="A53:O54"/>
    <mergeCell ref="P50:T50"/>
    <mergeCell ref="P286:T286"/>
    <mergeCell ref="L375:L376"/>
    <mergeCell ref="D117:E117"/>
    <mergeCell ref="P171:T171"/>
    <mergeCell ref="P340:V340"/>
    <mergeCell ref="A361:Z361"/>
    <mergeCell ref="A95:O96"/>
    <mergeCell ref="D353:E353"/>
    <mergeCell ref="D67:E67"/>
    <mergeCell ref="D5:E5"/>
    <mergeCell ref="A311:Z311"/>
    <mergeCell ref="P42:T42"/>
    <mergeCell ref="C375:C376"/>
    <mergeCell ref="D290:E290"/>
    <mergeCell ref="D94:E94"/>
    <mergeCell ref="P259:T259"/>
    <mergeCell ref="D69:E69"/>
    <mergeCell ref="P240:T240"/>
    <mergeCell ref="P162:V162"/>
    <mergeCell ref="P106:V106"/>
    <mergeCell ref="A281:Z281"/>
    <mergeCell ref="A87:Z87"/>
    <mergeCell ref="D145:E145"/>
    <mergeCell ref="P273:T273"/>
    <mergeCell ref="D210:E210"/>
    <mergeCell ref="H1:Q1"/>
    <mergeCell ref="P280:V280"/>
    <mergeCell ref="P345:V345"/>
    <mergeCell ref="H374:R374"/>
    <mergeCell ref="D214:E214"/>
    <mergeCell ref="D284:E284"/>
    <mergeCell ref="P193:V193"/>
    <mergeCell ref="A74:Z74"/>
    <mergeCell ref="D259:E259"/>
    <mergeCell ref="D313:E313"/>
    <mergeCell ref="A316:Z316"/>
    <mergeCell ref="D308:E308"/>
    <mergeCell ref="P166:T166"/>
    <mergeCell ref="D209:E209"/>
    <mergeCell ref="P188:V188"/>
    <mergeCell ref="A282:Z282"/>
    <mergeCell ref="A187:O188"/>
    <mergeCell ref="D274:E274"/>
    <mergeCell ref="D245:E245"/>
    <mergeCell ref="P337:T337"/>
    <mergeCell ref="P116:T116"/>
    <mergeCell ref="D122:E122"/>
    <mergeCell ref="A162:O163"/>
    <mergeCell ref="D224:E224"/>
    <mergeCell ref="D7:M7"/>
    <mergeCell ref="P91:V91"/>
    <mergeCell ref="A81:Z81"/>
    <mergeCell ref="P334:T334"/>
    <mergeCell ref="D144:E144"/>
    <mergeCell ref="P94:T94"/>
    <mergeCell ref="D208:E208"/>
    <mergeCell ref="D8:M8"/>
    <mergeCell ref="A211:O212"/>
    <mergeCell ref="P44:T44"/>
    <mergeCell ref="P237:T237"/>
    <mergeCell ref="P279:V279"/>
    <mergeCell ref="P329:T329"/>
    <mergeCell ref="D139:E139"/>
    <mergeCell ref="P331:T331"/>
    <mergeCell ref="P182:V182"/>
    <mergeCell ref="A26:Z26"/>
    <mergeCell ref="P103:T103"/>
    <mergeCell ref="P59:V59"/>
    <mergeCell ref="P268:T268"/>
    <mergeCell ref="P130:V130"/>
    <mergeCell ref="P168:T168"/>
    <mergeCell ref="D329:E329"/>
    <mergeCell ref="D77:E77"/>
    <mergeCell ref="D375:D376"/>
    <mergeCell ref="P235:V235"/>
    <mergeCell ref="A60:Z60"/>
    <mergeCell ref="F375:F376"/>
    <mergeCell ref="D124:E124"/>
    <mergeCell ref="P56:T56"/>
    <mergeCell ref="V10:W10"/>
    <mergeCell ref="P252:T252"/>
    <mergeCell ref="A173:O174"/>
    <mergeCell ref="P99:T99"/>
    <mergeCell ref="A300:O301"/>
    <mergeCell ref="P170:T170"/>
    <mergeCell ref="P145:T145"/>
    <mergeCell ref="D253:E253"/>
    <mergeCell ref="D351:E351"/>
    <mergeCell ref="P159:V159"/>
    <mergeCell ref="A149:Z149"/>
    <mergeCell ref="P209:T209"/>
    <mergeCell ref="W17:W18"/>
    <mergeCell ref="P96:V96"/>
    <mergeCell ref="A213:Z213"/>
    <mergeCell ref="P325:V325"/>
    <mergeCell ref="T375:T376"/>
    <mergeCell ref="V375:V376"/>
    <mergeCell ref="A363:Z363"/>
    <mergeCell ref="D238:E238"/>
    <mergeCell ref="A287:O288"/>
    <mergeCell ref="D78:E78"/>
    <mergeCell ref="D134:E134"/>
    <mergeCell ref="P157:T157"/>
    <mergeCell ref="A55:Z55"/>
    <mergeCell ref="D357:E357"/>
    <mergeCell ref="R1:T1"/>
    <mergeCell ref="A158:O159"/>
    <mergeCell ref="P150:T150"/>
    <mergeCell ref="P172:T172"/>
    <mergeCell ref="D332:E332"/>
    <mergeCell ref="P215:T215"/>
    <mergeCell ref="D307:E307"/>
    <mergeCell ref="A46:O47"/>
    <mergeCell ref="P229:V229"/>
    <mergeCell ref="P152:T152"/>
    <mergeCell ref="A147:O148"/>
    <mergeCell ref="A200:Z200"/>
    <mergeCell ref="P290:T290"/>
    <mergeCell ref="P141:V141"/>
    <mergeCell ref="A140:O141"/>
    <mergeCell ref="A258:Z258"/>
    <mergeCell ref="P144:T144"/>
    <mergeCell ref="P231:T231"/>
    <mergeCell ref="D45:E45"/>
    <mergeCell ref="H9:I9"/>
    <mergeCell ref="P24:V24"/>
    <mergeCell ref="P211:V211"/>
    <mergeCell ref="P309:V309"/>
    <mergeCell ref="P155:T155"/>
    <mergeCell ref="P324:V324"/>
    <mergeCell ref="A79:O80"/>
    <mergeCell ref="D70:E70"/>
    <mergeCell ref="A205:Z205"/>
    <mergeCell ref="D263:E263"/>
    <mergeCell ref="D312:E312"/>
    <mergeCell ref="P37:V37"/>
    <mergeCell ref="A234:O235"/>
    <mergeCell ref="P104:T104"/>
    <mergeCell ref="B17:B18"/>
    <mergeCell ref="P248:V248"/>
    <mergeCell ref="A73:Z73"/>
    <mergeCell ref="A182:O183"/>
    <mergeCell ref="P52:T52"/>
    <mergeCell ref="P223:T223"/>
    <mergeCell ref="Q9:R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563</v>
      </c>
      <c r="H1" s="53"/>
    </row>
    <row r="3" spans="2:8" x14ac:dyDescent="0.2">
      <c r="B3" s="48" t="s">
        <v>564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565</v>
      </c>
      <c r="D6" s="48" t="s">
        <v>566</v>
      </c>
      <c r="E6" s="48"/>
    </row>
    <row r="8" spans="2:8" x14ac:dyDescent="0.2">
      <c r="B8" s="48" t="s">
        <v>19</v>
      </c>
      <c r="C8" s="48" t="s">
        <v>565</v>
      </c>
      <c r="D8" s="48"/>
      <c r="E8" s="48"/>
    </row>
    <row r="10" spans="2:8" x14ac:dyDescent="0.2">
      <c r="B10" s="48" t="s">
        <v>567</v>
      </c>
      <c r="C10" s="48"/>
      <c r="D10" s="48"/>
      <c r="E10" s="48"/>
    </row>
    <row r="11" spans="2:8" x14ac:dyDescent="0.2">
      <c r="B11" s="48" t="s">
        <v>568</v>
      </c>
      <c r="C11" s="48"/>
      <c r="D11" s="48"/>
      <c r="E11" s="48"/>
    </row>
    <row r="12" spans="2:8" x14ac:dyDescent="0.2">
      <c r="B12" s="48" t="s">
        <v>569</v>
      </c>
      <c r="C12" s="48"/>
      <c r="D12" s="48"/>
      <c r="E12" s="48"/>
    </row>
    <row r="13" spans="2:8" x14ac:dyDescent="0.2">
      <c r="B13" s="48" t="s">
        <v>570</v>
      </c>
      <c r="C13" s="48"/>
      <c r="D13" s="48"/>
      <c r="E13" s="48"/>
    </row>
    <row r="14" spans="2:8" x14ac:dyDescent="0.2">
      <c r="B14" s="48" t="s">
        <v>571</v>
      </c>
      <c r="C14" s="48"/>
      <c r="D14" s="48"/>
      <c r="E14" s="48"/>
    </row>
    <row r="15" spans="2:8" x14ac:dyDescent="0.2">
      <c r="B15" s="48" t="s">
        <v>572</v>
      </c>
      <c r="C15" s="48"/>
      <c r="D15" s="48"/>
      <c r="E15" s="48"/>
    </row>
    <row r="16" spans="2:8" x14ac:dyDescent="0.2">
      <c r="B16" s="48" t="s">
        <v>573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574</v>
      </c>
      <c r="C18" s="48"/>
      <c r="D18" s="48"/>
      <c r="E18" s="48"/>
    </row>
    <row r="19" spans="2:5" x14ac:dyDescent="0.2">
      <c r="B19" s="48" t="s">
        <v>575</v>
      </c>
      <c r="C19" s="48"/>
      <c r="D19" s="48"/>
      <c r="E19" s="48"/>
    </row>
    <row r="20" spans="2:5" x14ac:dyDescent="0.2">
      <c r="B20" s="48" t="s">
        <v>576</v>
      </c>
      <c r="C20" s="48"/>
      <c r="D20" s="48"/>
      <c r="E20" s="48"/>
    </row>
  </sheetData>
  <sheetProtection algorithmName="SHA-512" hashValue="0UJj4ChCdTFDtI8UAtv86JU7p/N35ewBBeOmi/frk+ReFWEealRomC1k5BNtfC7lXKxgznPEGla1d3Ya3jnFuw==" saltValue="Ln2QgEnlD/lgVM8EymO0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693</vt:i4>
      </vt:variant>
    </vt:vector>
  </HeadingPairs>
  <TitlesOfParts>
    <vt:vector size="6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2025-07-11T11:24:27Z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