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B0927B7-4BDD-4FD4-BFF5-D0ED5C1EE6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84" i="1" s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BN512" i="1"/>
  <c r="BL512" i="1"/>
  <c r="X512" i="1"/>
  <c r="O512" i="1"/>
  <c r="BO511" i="1"/>
  <c r="BN511" i="1"/>
  <c r="BM511" i="1"/>
  <c r="BL511" i="1"/>
  <c r="Y511" i="1"/>
  <c r="X511" i="1"/>
  <c r="O511" i="1"/>
  <c r="W509" i="1"/>
  <c r="X508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7" i="1"/>
  <c r="X486" i="1"/>
  <c r="W486" i="1"/>
  <c r="BO485" i="1"/>
  <c r="BN485" i="1"/>
  <c r="BM485" i="1"/>
  <c r="BL485" i="1"/>
  <c r="Y485" i="1"/>
  <c r="Y486" i="1" s="1"/>
  <c r="X485" i="1"/>
  <c r="X487" i="1" s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BO447" i="1"/>
  <c r="BN447" i="1"/>
  <c r="BM447" i="1"/>
  <c r="BL447" i="1"/>
  <c r="Y447" i="1"/>
  <c r="X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39" i="1"/>
  <c r="X438" i="1"/>
  <c r="W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W433" i="1"/>
  <c r="X432" i="1"/>
  <c r="W432" i="1"/>
  <c r="BO431" i="1"/>
  <c r="BN431" i="1"/>
  <c r="BM431" i="1"/>
  <c r="BL431" i="1"/>
  <c r="Y431" i="1"/>
  <c r="Y432" i="1" s="1"/>
  <c r="X431" i="1"/>
  <c r="X433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W423" i="1"/>
  <c r="W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W395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O380" i="1"/>
  <c r="BN379" i="1"/>
  <c r="BL379" i="1"/>
  <c r="X379" i="1"/>
  <c r="BN378" i="1"/>
  <c r="BL378" i="1"/>
  <c r="X378" i="1"/>
  <c r="O378" i="1"/>
  <c r="BO377" i="1"/>
  <c r="BN377" i="1"/>
  <c r="BM377" i="1"/>
  <c r="BL377" i="1"/>
  <c r="Y377" i="1"/>
  <c r="X377" i="1"/>
  <c r="W375" i="1"/>
  <c r="W374" i="1"/>
  <c r="BN373" i="1"/>
  <c r="BL373" i="1"/>
  <c r="X373" i="1"/>
  <c r="BN372" i="1"/>
  <c r="BL372" i="1"/>
  <c r="X372" i="1"/>
  <c r="O372" i="1"/>
  <c r="BO371" i="1"/>
  <c r="BN371" i="1"/>
  <c r="BM371" i="1"/>
  <c r="BL371" i="1"/>
  <c r="Y371" i="1"/>
  <c r="X371" i="1"/>
  <c r="X374" i="1" s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W355" i="1"/>
  <c r="BO354" i="1"/>
  <c r="BN354" i="1"/>
  <c r="BM354" i="1"/>
  <c r="BL354" i="1"/>
  <c r="Y354" i="1"/>
  <c r="X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BO289" i="1" s="1"/>
  <c r="O289" i="1"/>
  <c r="BO288" i="1"/>
  <c r="BN288" i="1"/>
  <c r="BM288" i="1"/>
  <c r="BL288" i="1"/>
  <c r="Y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X278" i="1" s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3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L584" i="1" s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K584" i="1" s="1"/>
  <c r="O232" i="1"/>
  <c r="W229" i="1"/>
  <c r="W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28" i="1" s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W212" i="1"/>
  <c r="W211" i="1"/>
  <c r="BO210" i="1"/>
  <c r="BN210" i="1"/>
  <c r="BM210" i="1"/>
  <c r="BL210" i="1"/>
  <c r="Y210" i="1"/>
  <c r="X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X212" i="1" s="1"/>
  <c r="O207" i="1"/>
  <c r="W205" i="1"/>
  <c r="W204" i="1"/>
  <c r="BN203" i="1"/>
  <c r="BL203" i="1"/>
  <c r="X203" i="1"/>
  <c r="BO203" i="1" s="1"/>
  <c r="O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X204" i="1" s="1"/>
  <c r="O189" i="1"/>
  <c r="W187" i="1"/>
  <c r="W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87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X170" i="1" s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4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F584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X124" i="1" s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W96" i="1"/>
  <c r="W95" i="1"/>
  <c r="BN94" i="1"/>
  <c r="BL94" i="1"/>
  <c r="X94" i="1"/>
  <c r="O94" i="1"/>
  <c r="BO93" i="1"/>
  <c r="BN93" i="1"/>
  <c r="BM93" i="1"/>
  <c r="BL93" i="1"/>
  <c r="Y93" i="1"/>
  <c r="X93" i="1"/>
  <c r="O93" i="1"/>
  <c r="BN92" i="1"/>
  <c r="BL92" i="1"/>
  <c r="X92" i="1"/>
  <c r="O92" i="1"/>
  <c r="BO91" i="1"/>
  <c r="BN91" i="1"/>
  <c r="BM91" i="1"/>
  <c r="BL91" i="1"/>
  <c r="Y91" i="1"/>
  <c r="X91" i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W64" i="1"/>
  <c r="X63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O34" i="1"/>
  <c r="BN34" i="1"/>
  <c r="BM34" i="1"/>
  <c r="BL34" i="1"/>
  <c r="Y34" i="1"/>
  <c r="X34" i="1"/>
  <c r="O34" i="1"/>
  <c r="BN33" i="1"/>
  <c r="BL33" i="1"/>
  <c r="X33" i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574" i="1" s="1"/>
  <c r="W24" i="1"/>
  <c r="W578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84" i="1"/>
  <c r="X56" i="1"/>
  <c r="BO53" i="1"/>
  <c r="BM53" i="1"/>
  <c r="Y53" i="1"/>
  <c r="Y55" i="1" s="1"/>
  <c r="BO68" i="1"/>
  <c r="BM68" i="1"/>
  <c r="Y68" i="1"/>
  <c r="Y88" i="1" s="1"/>
  <c r="BO72" i="1"/>
  <c r="BM72" i="1"/>
  <c r="Y72" i="1"/>
  <c r="BO76" i="1"/>
  <c r="BM76" i="1"/>
  <c r="Y76" i="1"/>
  <c r="BO80" i="1"/>
  <c r="BM80" i="1"/>
  <c r="Y80" i="1"/>
  <c r="BO84" i="1"/>
  <c r="BM84" i="1"/>
  <c r="Y84" i="1"/>
  <c r="X88" i="1"/>
  <c r="BO92" i="1"/>
  <c r="BM92" i="1"/>
  <c r="Y92" i="1"/>
  <c r="Y95" i="1" s="1"/>
  <c r="BO100" i="1"/>
  <c r="BM100" i="1"/>
  <c r="Y100" i="1"/>
  <c r="H9" i="1"/>
  <c r="B584" i="1"/>
  <c r="W575" i="1"/>
  <c r="W576" i="1"/>
  <c r="Y23" i="1"/>
  <c r="Y24" i="1" s="1"/>
  <c r="BM23" i="1"/>
  <c r="X575" i="1" s="1"/>
  <c r="X24" i="1"/>
  <c r="Y27" i="1"/>
  <c r="Y36" i="1" s="1"/>
  <c r="BM27" i="1"/>
  <c r="BO27" i="1"/>
  <c r="X576" i="1" s="1"/>
  <c r="Y29" i="1"/>
  <c r="BM29" i="1"/>
  <c r="BO33" i="1"/>
  <c r="BM33" i="1"/>
  <c r="Y33" i="1"/>
  <c r="X55" i="1"/>
  <c r="BO60" i="1"/>
  <c r="BM60" i="1"/>
  <c r="Y60" i="1"/>
  <c r="Y63" i="1" s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X95" i="1"/>
  <c r="BO94" i="1"/>
  <c r="BM94" i="1"/>
  <c r="Y94" i="1"/>
  <c r="X96" i="1"/>
  <c r="X106" i="1"/>
  <c r="X105" i="1"/>
  <c r="BO98" i="1"/>
  <c r="BM98" i="1"/>
  <c r="Y98" i="1"/>
  <c r="BO102" i="1"/>
  <c r="BM102" i="1"/>
  <c r="Y102" i="1"/>
  <c r="D584" i="1"/>
  <c r="X64" i="1"/>
  <c r="E584" i="1"/>
  <c r="X89" i="1"/>
  <c r="Y104" i="1"/>
  <c r="BM104" i="1"/>
  <c r="Y109" i="1"/>
  <c r="Y123" i="1" s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X123" i="1"/>
  <c r="X133" i="1"/>
  <c r="X142" i="1"/>
  <c r="X151" i="1"/>
  <c r="X164" i="1"/>
  <c r="X171" i="1"/>
  <c r="X175" i="1"/>
  <c r="X186" i="1"/>
  <c r="X205" i="1"/>
  <c r="X211" i="1"/>
  <c r="X222" i="1"/>
  <c r="X229" i="1"/>
  <c r="X238" i="1"/>
  <c r="X252" i="1"/>
  <c r="X260" i="1"/>
  <c r="X272" i="1"/>
  <c r="X279" i="1"/>
  <c r="X285" i="1"/>
  <c r="X291" i="1"/>
  <c r="N584" i="1"/>
  <c r="X301" i="1"/>
  <c r="BO298" i="1"/>
  <c r="BM298" i="1"/>
  <c r="Y298" i="1"/>
  <c r="Y317" i="1"/>
  <c r="BO315" i="1"/>
  <c r="BM315" i="1"/>
  <c r="Y315" i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43" i="1"/>
  <c r="X350" i="1"/>
  <c r="BO345" i="1"/>
  <c r="BM345" i="1"/>
  <c r="Y345" i="1"/>
  <c r="X349" i="1"/>
  <c r="X356" i="1"/>
  <c r="BO352" i="1"/>
  <c r="BM352" i="1"/>
  <c r="Y352" i="1"/>
  <c r="Y355" i="1" s="1"/>
  <c r="BO365" i="1"/>
  <c r="BM365" i="1"/>
  <c r="Y365" i="1"/>
  <c r="Y368" i="1" s="1"/>
  <c r="BO373" i="1"/>
  <c r="BM373" i="1"/>
  <c r="Y373" i="1"/>
  <c r="X375" i="1"/>
  <c r="BO378" i="1"/>
  <c r="BM378" i="1"/>
  <c r="Y378" i="1"/>
  <c r="Y382" i="1" s="1"/>
  <c r="BO381" i="1"/>
  <c r="BM381" i="1"/>
  <c r="Y381" i="1"/>
  <c r="X383" i="1"/>
  <c r="BO386" i="1"/>
  <c r="BM386" i="1"/>
  <c r="Y386" i="1"/>
  <c r="Y387" i="1" s="1"/>
  <c r="X388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X422" i="1"/>
  <c r="BO426" i="1"/>
  <c r="BM426" i="1"/>
  <c r="Y426" i="1"/>
  <c r="Y428" i="1" s="1"/>
  <c r="BO443" i="1"/>
  <c r="BM443" i="1"/>
  <c r="Y443" i="1"/>
  <c r="Y444" i="1" s="1"/>
  <c r="X445" i="1"/>
  <c r="BO448" i="1"/>
  <c r="BM448" i="1"/>
  <c r="Y448" i="1"/>
  <c r="Y456" i="1" s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I584" i="1"/>
  <c r="Y127" i="1"/>
  <c r="Y132" i="1" s="1"/>
  <c r="BM127" i="1"/>
  <c r="Y129" i="1"/>
  <c r="BM129" i="1"/>
  <c r="Y131" i="1"/>
  <c r="BM131" i="1"/>
  <c r="Y136" i="1"/>
  <c r="Y141" i="1" s="1"/>
  <c r="BM136" i="1"/>
  <c r="BO136" i="1"/>
  <c r="Y138" i="1"/>
  <c r="BM138" i="1"/>
  <c r="Y140" i="1"/>
  <c r="BM140" i="1"/>
  <c r="X141" i="1"/>
  <c r="Y146" i="1"/>
  <c r="Y151" i="1" s="1"/>
  <c r="BM146" i="1"/>
  <c r="BO146" i="1"/>
  <c r="Y147" i="1"/>
  <c r="BM147" i="1"/>
  <c r="Y148" i="1"/>
  <c r="BM148" i="1"/>
  <c r="Y149" i="1"/>
  <c r="BM149" i="1"/>
  <c r="X152" i="1"/>
  <c r="H584" i="1"/>
  <c r="Y156" i="1"/>
  <c r="Y164" i="1" s="1"/>
  <c r="BM156" i="1"/>
  <c r="Y158" i="1"/>
  <c r="BM158" i="1"/>
  <c r="Y160" i="1"/>
  <c r="BM160" i="1"/>
  <c r="Y162" i="1"/>
  <c r="BM162" i="1"/>
  <c r="X165" i="1"/>
  <c r="Y169" i="1"/>
  <c r="Y170" i="1" s="1"/>
  <c r="BM169" i="1"/>
  <c r="Y173" i="1"/>
  <c r="Y175" i="1" s="1"/>
  <c r="BM173" i="1"/>
  <c r="BO173" i="1"/>
  <c r="Y179" i="1"/>
  <c r="Y186" i="1" s="1"/>
  <c r="BM179" i="1"/>
  <c r="Y181" i="1"/>
  <c r="BM181" i="1"/>
  <c r="Y182" i="1"/>
  <c r="BM182" i="1"/>
  <c r="Y183" i="1"/>
  <c r="BM183" i="1"/>
  <c r="Y190" i="1"/>
  <c r="Y204" i="1" s="1"/>
  <c r="BM190" i="1"/>
  <c r="Y193" i="1"/>
  <c r="BM193" i="1"/>
  <c r="Y194" i="1"/>
  <c r="BM194" i="1"/>
  <c r="Y196" i="1"/>
  <c r="BM196" i="1"/>
  <c r="Y198" i="1"/>
  <c r="BM198" i="1"/>
  <c r="Y203" i="1"/>
  <c r="BM203" i="1"/>
  <c r="Y207" i="1"/>
  <c r="Y211" i="1" s="1"/>
  <c r="BM207" i="1"/>
  <c r="BO207" i="1"/>
  <c r="J584" i="1"/>
  <c r="Y216" i="1"/>
  <c r="Y222" i="1" s="1"/>
  <c r="BM216" i="1"/>
  <c r="Y218" i="1"/>
  <c r="BM218" i="1"/>
  <c r="Y220" i="1"/>
  <c r="BM220" i="1"/>
  <c r="X223" i="1"/>
  <c r="Y225" i="1"/>
  <c r="Y228" i="1" s="1"/>
  <c r="BM225" i="1"/>
  <c r="BO225" i="1"/>
  <c r="Y227" i="1"/>
  <c r="BM227" i="1"/>
  <c r="Y232" i="1"/>
  <c r="BM232" i="1"/>
  <c r="BO232" i="1"/>
  <c r="Y234" i="1"/>
  <c r="BM234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5" i="1"/>
  <c r="Y278" i="1" s="1"/>
  <c r="BM275" i="1"/>
  <c r="BO275" i="1"/>
  <c r="Y277" i="1"/>
  <c r="BM277" i="1"/>
  <c r="Y283" i="1"/>
  <c r="Y284" i="1" s="1"/>
  <c r="BM283" i="1"/>
  <c r="Y287" i="1"/>
  <c r="BM287" i="1"/>
  <c r="BO287" i="1"/>
  <c r="Y289" i="1"/>
  <c r="BM289" i="1"/>
  <c r="Y294" i="1"/>
  <c r="Y301" i="1" s="1"/>
  <c r="BM294" i="1"/>
  <c r="BO294" i="1"/>
  <c r="Y296" i="1"/>
  <c r="BM296" i="1"/>
  <c r="BO300" i="1"/>
  <c r="BM300" i="1"/>
  <c r="Y300" i="1"/>
  <c r="X302" i="1"/>
  <c r="X307" i="1"/>
  <c r="BO304" i="1"/>
  <c r="BM304" i="1"/>
  <c r="Y304" i="1"/>
  <c r="Y306" i="1" s="1"/>
  <c r="X318" i="1"/>
  <c r="X317" i="1"/>
  <c r="P584" i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X355" i="1"/>
  <c r="X361" i="1"/>
  <c r="BO358" i="1"/>
  <c r="BM358" i="1"/>
  <c r="Y358" i="1"/>
  <c r="Y360" i="1" s="1"/>
  <c r="BO367" i="1"/>
  <c r="BM367" i="1"/>
  <c r="Y367" i="1"/>
  <c r="X369" i="1"/>
  <c r="BO372" i="1"/>
  <c r="BM372" i="1"/>
  <c r="Y372" i="1"/>
  <c r="Y374" i="1" s="1"/>
  <c r="X382" i="1"/>
  <c r="BO379" i="1"/>
  <c r="BM379" i="1"/>
  <c r="Y379" i="1"/>
  <c r="X387" i="1"/>
  <c r="X394" i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9" i="1"/>
  <c r="X428" i="1"/>
  <c r="Y438" i="1"/>
  <c r="BO436" i="1"/>
  <c r="BM436" i="1"/>
  <c r="Y436" i="1"/>
  <c r="Y482" i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X483" i="1"/>
  <c r="BO492" i="1"/>
  <c r="BM492" i="1"/>
  <c r="Y492" i="1"/>
  <c r="Y503" i="1" s="1"/>
  <c r="BO497" i="1"/>
  <c r="BM497" i="1"/>
  <c r="Y497" i="1"/>
  <c r="BO500" i="1"/>
  <c r="BM500" i="1"/>
  <c r="Y500" i="1"/>
  <c r="BO512" i="1"/>
  <c r="BM512" i="1"/>
  <c r="Y512" i="1"/>
  <c r="Y517" i="1" s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X577" i="1" l="1"/>
  <c r="Y549" i="1"/>
  <c r="Y349" i="1"/>
  <c r="X574" i="1"/>
  <c r="Y565" i="1"/>
  <c r="Y523" i="1"/>
  <c r="Y422" i="1"/>
  <c r="Y342" i="1"/>
  <c r="Y290" i="1"/>
  <c r="Y272" i="1"/>
  <c r="Y252" i="1"/>
  <c r="Y238" i="1"/>
  <c r="Y476" i="1"/>
  <c r="Y105" i="1"/>
  <c r="Y579" i="1" s="1"/>
  <c r="X578" i="1"/>
  <c r="W577" i="1"/>
</calcChain>
</file>

<file path=xl/sharedStrings.xml><?xml version="1.0" encoding="utf-8"?>
<sst xmlns="http://schemas.openxmlformats.org/spreadsheetml/2006/main" count="2563" uniqueCount="853">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</sst>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1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3" t="s">
        <v>0</v>
      </c>
      <c r="E1" s="534"/>
      <c r="F1" s="534"/>
      <c r="G1" s="12" t="s">
        <v>1</v>
      </c>
      <c r="H1" s="533" t="s">
        <v>2</v>
      </c>
      <c r="I1" s="534"/>
      <c r="J1" s="534"/>
      <c r="K1" s="534"/>
      <c r="L1" s="534"/>
      <c r="M1" s="534"/>
      <c r="N1" s="534"/>
      <c r="O1" s="534"/>
      <c r="P1" s="534"/>
      <c r="Q1" s="808" t="s">
        <v>3</v>
      </c>
      <c r="R1" s="534"/>
      <c r="S1" s="53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39"/>
      <c r="C5" s="440"/>
      <c r="D5" s="454"/>
      <c r="E5" s="456"/>
      <c r="F5" s="768" t="s">
        <v>9</v>
      </c>
      <c r="G5" s="440"/>
      <c r="H5" s="454"/>
      <c r="I5" s="455"/>
      <c r="J5" s="455"/>
      <c r="K5" s="455"/>
      <c r="L5" s="456"/>
      <c r="M5" s="58"/>
      <c r="O5" s="24" t="s">
        <v>10</v>
      </c>
      <c r="P5" s="805">
        <v>45478</v>
      </c>
      <c r="Q5" s="581"/>
      <c r="S5" s="668" t="s">
        <v>11</v>
      </c>
      <c r="T5" s="467"/>
      <c r="U5" s="671" t="s">
        <v>12</v>
      </c>
      <c r="V5" s="581"/>
      <c r="AA5" s="51"/>
      <c r="AB5" s="51"/>
      <c r="AC5" s="51"/>
    </row>
    <row r="6" spans="1:30" s="399" customFormat="1" ht="24" customHeight="1" x14ac:dyDescent="0.2">
      <c r="A6" s="565" t="s">
        <v>13</v>
      </c>
      <c r="B6" s="439"/>
      <c r="C6" s="440"/>
      <c r="D6" s="738" t="s">
        <v>14</v>
      </c>
      <c r="E6" s="739"/>
      <c r="F6" s="739"/>
      <c r="G6" s="739"/>
      <c r="H6" s="739"/>
      <c r="I6" s="739"/>
      <c r="J6" s="739"/>
      <c r="K6" s="739"/>
      <c r="L6" s="581"/>
      <c r="M6" s="59"/>
      <c r="O6" s="24" t="s">
        <v>15</v>
      </c>
      <c r="P6" s="433" t="str">
        <f>IF(P5=0," ",CHOOSE(WEEKDAY(P5,2),"Понедельник","Вторник","Среда","Четверг","Пятница","Суббота","Воскресенье"))</f>
        <v>Пятница</v>
      </c>
      <c r="Q6" s="408"/>
      <c r="S6" s="466" t="s">
        <v>16</v>
      </c>
      <c r="T6" s="467"/>
      <c r="U6" s="732" t="s">
        <v>17</v>
      </c>
      <c r="V6" s="487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14"/>
      <c r="M7" s="60"/>
      <c r="O7" s="24"/>
      <c r="P7" s="42"/>
      <c r="Q7" s="42"/>
      <c r="S7" s="412"/>
      <c r="T7" s="467"/>
      <c r="U7" s="733"/>
      <c r="V7" s="734"/>
      <c r="AA7" s="51"/>
      <c r="AB7" s="51"/>
      <c r="AC7" s="51"/>
    </row>
    <row r="8" spans="1:30" s="399" customFormat="1" ht="25.5" customHeight="1" x14ac:dyDescent="0.2">
      <c r="A8" s="810" t="s">
        <v>18</v>
      </c>
      <c r="B8" s="442"/>
      <c r="C8" s="443"/>
      <c r="D8" s="528"/>
      <c r="E8" s="529"/>
      <c r="F8" s="529"/>
      <c r="G8" s="529"/>
      <c r="H8" s="529"/>
      <c r="I8" s="529"/>
      <c r="J8" s="529"/>
      <c r="K8" s="529"/>
      <c r="L8" s="530"/>
      <c r="M8" s="61"/>
      <c r="O8" s="24" t="s">
        <v>19</v>
      </c>
      <c r="P8" s="613">
        <v>0.375</v>
      </c>
      <c r="Q8" s="614"/>
      <c r="S8" s="412"/>
      <c r="T8" s="467"/>
      <c r="U8" s="733"/>
      <c r="V8" s="734"/>
      <c r="AA8" s="51"/>
      <c r="AB8" s="51"/>
      <c r="AC8" s="51"/>
    </row>
    <row r="9" spans="1:30" s="399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9"/>
      <c r="E9" s="424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01"/>
      <c r="O9" s="26" t="s">
        <v>20</v>
      </c>
      <c r="P9" s="571"/>
      <c r="Q9" s="572"/>
      <c r="S9" s="412"/>
      <c r="T9" s="467"/>
      <c r="U9" s="735"/>
      <c r="V9" s="736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9"/>
      <c r="E10" s="424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17" t="str">
        <f>IFERROR(VLOOKUP($D$10,Proxy,2,FALSE),"")</f>
        <v/>
      </c>
      <c r="I10" s="412"/>
      <c r="J10" s="412"/>
      <c r="K10" s="412"/>
      <c r="L10" s="412"/>
      <c r="M10" s="398"/>
      <c r="O10" s="26" t="s">
        <v>21</v>
      </c>
      <c r="P10" s="679"/>
      <c r="Q10" s="680"/>
      <c r="T10" s="24" t="s">
        <v>22</v>
      </c>
      <c r="U10" s="486" t="s">
        <v>23</v>
      </c>
      <c r="V10" s="487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0"/>
      <c r="Q11" s="581"/>
      <c r="T11" s="24" t="s">
        <v>26</v>
      </c>
      <c r="U11" s="663" t="s">
        <v>27</v>
      </c>
      <c r="V11" s="572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4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29</v>
      </c>
      <c r="P12" s="613"/>
      <c r="Q12" s="614"/>
      <c r="R12" s="23"/>
      <c r="T12" s="24"/>
      <c r="U12" s="534"/>
      <c r="V12" s="412"/>
      <c r="AA12" s="51"/>
      <c r="AB12" s="51"/>
      <c r="AC12" s="51"/>
    </row>
    <row r="13" spans="1:30" s="399" customFormat="1" ht="23.25" customHeight="1" x14ac:dyDescent="0.2">
      <c r="A13" s="764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31</v>
      </c>
      <c r="P13" s="663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4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0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559" t="s">
        <v>34</v>
      </c>
      <c r="P15" s="534"/>
      <c r="Q15" s="534"/>
      <c r="R15" s="534"/>
      <c r="S15" s="53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1" t="s">
        <v>35</v>
      </c>
      <c r="B17" s="461" t="s">
        <v>36</v>
      </c>
      <c r="C17" s="587" t="s">
        <v>37</v>
      </c>
      <c r="D17" s="461" t="s">
        <v>38</v>
      </c>
      <c r="E17" s="496"/>
      <c r="F17" s="461" t="s">
        <v>39</v>
      </c>
      <c r="G17" s="461" t="s">
        <v>40</v>
      </c>
      <c r="H17" s="461" t="s">
        <v>41</v>
      </c>
      <c r="I17" s="461" t="s">
        <v>42</v>
      </c>
      <c r="J17" s="461" t="s">
        <v>43</v>
      </c>
      <c r="K17" s="461" t="s">
        <v>44</v>
      </c>
      <c r="L17" s="461" t="s">
        <v>45</v>
      </c>
      <c r="M17" s="461" t="s">
        <v>46</v>
      </c>
      <c r="N17" s="461" t="s">
        <v>47</v>
      </c>
      <c r="O17" s="461" t="s">
        <v>48</v>
      </c>
      <c r="P17" s="495"/>
      <c r="Q17" s="495"/>
      <c r="R17" s="495"/>
      <c r="S17" s="496"/>
      <c r="T17" s="796" t="s">
        <v>49</v>
      </c>
      <c r="U17" s="440"/>
      <c r="V17" s="461" t="s">
        <v>50</v>
      </c>
      <c r="W17" s="461" t="s">
        <v>51</v>
      </c>
      <c r="X17" s="825" t="s">
        <v>52</v>
      </c>
      <c r="Y17" s="461" t="s">
        <v>53</v>
      </c>
      <c r="Z17" s="508" t="s">
        <v>54</v>
      </c>
      <c r="AA17" s="508" t="s">
        <v>55</v>
      </c>
      <c r="AB17" s="508" t="s">
        <v>56</v>
      </c>
      <c r="AC17" s="509"/>
      <c r="AD17" s="510"/>
      <c r="AE17" s="522"/>
      <c r="BB17" s="794" t="s">
        <v>57</v>
      </c>
    </row>
    <row r="18" spans="1:67" ht="14.25" customHeight="1" x14ac:dyDescent="0.2">
      <c r="A18" s="462"/>
      <c r="B18" s="462"/>
      <c r="C18" s="462"/>
      <c r="D18" s="497"/>
      <c r="E18" s="499"/>
      <c r="F18" s="462"/>
      <c r="G18" s="462"/>
      <c r="H18" s="462"/>
      <c r="I18" s="462"/>
      <c r="J18" s="462"/>
      <c r="K18" s="462"/>
      <c r="L18" s="462"/>
      <c r="M18" s="462"/>
      <c r="N18" s="462"/>
      <c r="O18" s="497"/>
      <c r="P18" s="498"/>
      <c r="Q18" s="498"/>
      <c r="R18" s="498"/>
      <c r="S18" s="499"/>
      <c r="T18" s="400" t="s">
        <v>58</v>
      </c>
      <c r="U18" s="400" t="s">
        <v>59</v>
      </c>
      <c r="V18" s="462"/>
      <c r="W18" s="462"/>
      <c r="X18" s="826"/>
      <c r="Y18" s="462"/>
      <c r="Z18" s="698"/>
      <c r="AA18" s="698"/>
      <c r="AB18" s="511"/>
      <c r="AC18" s="512"/>
      <c r="AD18" s="513"/>
      <c r="AE18" s="523"/>
      <c r="BB18" s="412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1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customHeight="1" x14ac:dyDescent="0.25">
      <c r="A21" s="420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66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66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41" t="s">
        <v>70</v>
      </c>
      <c r="P24" s="442"/>
      <c r="Q24" s="442"/>
      <c r="R24" s="442"/>
      <c r="S24" s="442"/>
      <c r="T24" s="442"/>
      <c r="U24" s="443"/>
      <c r="V24" s="37" t="s">
        <v>71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41" t="s">
        <v>70</v>
      </c>
      <c r="P25" s="442"/>
      <c r="Q25" s="442"/>
      <c r="R25" s="442"/>
      <c r="S25" s="442"/>
      <c r="T25" s="442"/>
      <c r="U25" s="443"/>
      <c r="V25" s="37" t="s">
        <v>66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customHeight="1" x14ac:dyDescent="0.25">
      <c r="A26" s="420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66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66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0"/>
      <c r="Q29" s="410"/>
      <c r="R29" s="410"/>
      <c r="S29" s="408"/>
      <c r="T29" s="34"/>
      <c r="U29" s="34"/>
      <c r="V29" s="35" t="s">
        <v>66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0"/>
      <c r="Q30" s="410"/>
      <c r="R30" s="410"/>
      <c r="S30" s="408"/>
      <c r="T30" s="34"/>
      <c r="U30" s="34"/>
      <c r="V30" s="35" t="s">
        <v>66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0"/>
      <c r="Q31" s="410"/>
      <c r="R31" s="410"/>
      <c r="S31" s="408"/>
      <c r="T31" s="34" t="s">
        <v>83</v>
      </c>
      <c r="U31" s="34"/>
      <c r="V31" s="35" t="s">
        <v>66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28" t="s">
        <v>86</v>
      </c>
      <c r="P32" s="410"/>
      <c r="Q32" s="410"/>
      <c r="R32" s="410"/>
      <c r="S32" s="408"/>
      <c r="T32" s="34" t="s">
        <v>83</v>
      </c>
      <c r="U32" s="34"/>
      <c r="V32" s="35" t="s">
        <v>66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87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66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88</v>
      </c>
      <c r="B34" s="54" t="s">
        <v>89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66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90</v>
      </c>
      <c r="B35" s="54" t="s">
        <v>91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66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41" t="s">
        <v>70</v>
      </c>
      <c r="P36" s="442"/>
      <c r="Q36" s="442"/>
      <c r="R36" s="442"/>
      <c r="S36" s="442"/>
      <c r="T36" s="442"/>
      <c r="U36" s="443"/>
      <c r="V36" s="37" t="s">
        <v>71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41" t="s">
        <v>70</v>
      </c>
      <c r="P37" s="442"/>
      <c r="Q37" s="442"/>
      <c r="R37" s="442"/>
      <c r="S37" s="442"/>
      <c r="T37" s="442"/>
      <c r="U37" s="443"/>
      <c r="V37" s="37" t="s">
        <v>66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customHeight="1" x14ac:dyDescent="0.25">
      <c r="A38" s="420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customHeight="1" x14ac:dyDescent="0.25">
      <c r="A39" s="54" t="s">
        <v>93</v>
      </c>
      <c r="B39" s="54" t="s">
        <v>94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66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41" t="s">
        <v>70</v>
      </c>
      <c r="P40" s="442"/>
      <c r="Q40" s="442"/>
      <c r="R40" s="442"/>
      <c r="S40" s="442"/>
      <c r="T40" s="442"/>
      <c r="U40" s="443"/>
      <c r="V40" s="37" t="s">
        <v>71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41" t="s">
        <v>70</v>
      </c>
      <c r="P41" s="442"/>
      <c r="Q41" s="442"/>
      <c r="R41" s="442"/>
      <c r="S41" s="442"/>
      <c r="T41" s="442"/>
      <c r="U41" s="443"/>
      <c r="V41" s="37" t="s">
        <v>66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customHeight="1" x14ac:dyDescent="0.25">
      <c r="A42" s="420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customHeight="1" x14ac:dyDescent="0.25">
      <c r="A43" s="54" t="s">
        <v>98</v>
      </c>
      <c r="B43" s="54" t="s">
        <v>99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66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41" t="s">
        <v>70</v>
      </c>
      <c r="P44" s="442"/>
      <c r="Q44" s="442"/>
      <c r="R44" s="442"/>
      <c r="S44" s="442"/>
      <c r="T44" s="442"/>
      <c r="U44" s="443"/>
      <c r="V44" s="37" t="s">
        <v>71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41" t="s">
        <v>70</v>
      </c>
      <c r="P45" s="442"/>
      <c r="Q45" s="442"/>
      <c r="R45" s="442"/>
      <c r="S45" s="442"/>
      <c r="T45" s="442"/>
      <c r="U45" s="443"/>
      <c r="V45" s="37" t="s">
        <v>66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customHeight="1" x14ac:dyDescent="0.25">
      <c r="A46" s="420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customHeight="1" x14ac:dyDescent="0.25">
      <c r="A47" s="54" t="s">
        <v>102</v>
      </c>
      <c r="B47" s="54" t="s">
        <v>103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66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41" t="s">
        <v>70</v>
      </c>
      <c r="P48" s="442"/>
      <c r="Q48" s="442"/>
      <c r="R48" s="442"/>
      <c r="S48" s="442"/>
      <c r="T48" s="442"/>
      <c r="U48" s="443"/>
      <c r="V48" s="37" t="s">
        <v>71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41" t="s">
        <v>70</v>
      </c>
      <c r="P49" s="442"/>
      <c r="Q49" s="442"/>
      <c r="R49" s="442"/>
      <c r="S49" s="442"/>
      <c r="T49" s="442"/>
      <c r="U49" s="443"/>
      <c r="V49" s="37" t="s">
        <v>66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customHeight="1" x14ac:dyDescent="0.2">
      <c r="A50" s="470" t="s">
        <v>104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8"/>
      <c r="AA50" s="48"/>
    </row>
    <row r="51" spans="1:67" ht="16.5" customHeight="1" x14ac:dyDescent="0.25">
      <c r="A51" s="41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customHeight="1" x14ac:dyDescent="0.25">
      <c r="A52" s="420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66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66</v>
      </c>
      <c r="W54" s="403">
        <v>148.5</v>
      </c>
      <c r="X54" s="404">
        <f>IFERROR(IF(W54="",0,CEILING((W54/$H54),1)*$H54),"")</f>
        <v>148.5</v>
      </c>
      <c r="Y54" s="36">
        <f>IFERROR(IF(X54=0,"",ROUNDUP(X54/H54,0)*0.00753),"")</f>
        <v>0.41415000000000002</v>
      </c>
      <c r="Z54" s="56"/>
      <c r="AA54" s="57"/>
      <c r="AE54" s="64"/>
      <c r="BB54" s="80" t="s">
        <v>1</v>
      </c>
      <c r="BL54" s="64">
        <f>IFERROR(W54*I54/H54,"0")</f>
        <v>159.49999999999997</v>
      </c>
      <c r="BM54" s="64">
        <f>IFERROR(X54*I54/H54,"0")</f>
        <v>159.49999999999997</v>
      </c>
      <c r="BN54" s="64">
        <f>IFERROR(1/J54*(W54/H54),"0")</f>
        <v>0.35256410256410253</v>
      </c>
      <c r="BO54" s="64">
        <f>IFERROR(1/J54*(X54/H54),"0")</f>
        <v>0.35256410256410253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41" t="s">
        <v>70</v>
      </c>
      <c r="P55" s="442"/>
      <c r="Q55" s="442"/>
      <c r="R55" s="442"/>
      <c r="S55" s="442"/>
      <c r="T55" s="442"/>
      <c r="U55" s="443"/>
      <c r="V55" s="37" t="s">
        <v>71</v>
      </c>
      <c r="W55" s="405">
        <f>IFERROR(W53/H53,"0")+IFERROR(W54/H54,"0")</f>
        <v>54.999999999999993</v>
      </c>
      <c r="X55" s="405">
        <f>IFERROR(X53/H53,"0")+IFERROR(X54/H54,"0")</f>
        <v>54.999999999999993</v>
      </c>
      <c r="Y55" s="405">
        <f>IFERROR(IF(Y53="",0,Y53),"0")+IFERROR(IF(Y54="",0,Y54),"0")</f>
        <v>0.41415000000000002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41" t="s">
        <v>70</v>
      </c>
      <c r="P56" s="442"/>
      <c r="Q56" s="442"/>
      <c r="R56" s="442"/>
      <c r="S56" s="442"/>
      <c r="T56" s="442"/>
      <c r="U56" s="443"/>
      <c r="V56" s="37" t="s">
        <v>66</v>
      </c>
      <c r="W56" s="405">
        <f>IFERROR(SUM(W53:W54),"0")</f>
        <v>148.5</v>
      </c>
      <c r="X56" s="405">
        <f>IFERROR(SUM(X53:X54),"0")</f>
        <v>148.5</v>
      </c>
      <c r="Y56" s="37"/>
      <c r="Z56" s="406"/>
      <c r="AA56" s="406"/>
    </row>
    <row r="57" spans="1:67" ht="16.5" customHeight="1" x14ac:dyDescent="0.25">
      <c r="A57" s="41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customHeight="1" x14ac:dyDescent="0.25">
      <c r="A58" s="420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66</v>
      </c>
      <c r="W59" s="403">
        <v>300</v>
      </c>
      <c r="X59" s="404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115</v>
      </c>
      <c r="B60" s="54" t="s">
        <v>117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66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66</v>
      </c>
      <c r="W61" s="403">
        <v>585</v>
      </c>
      <c r="X61" s="404">
        <f>IFERROR(IF(W61="",0,CEILING((W61/$H61),1)*$H61),"")</f>
        <v>585</v>
      </c>
      <c r="Y61" s="36">
        <f>IFERROR(IF(X61=0,"",ROUNDUP(X61/H61,0)*0.00937),"")</f>
        <v>1.2181</v>
      </c>
      <c r="Z61" s="56"/>
      <c r="AA61" s="57"/>
      <c r="AE61" s="64"/>
      <c r="BB61" s="83" t="s">
        <v>1</v>
      </c>
      <c r="BL61" s="64">
        <f>IFERROR(W61*I61/H61,"0")</f>
        <v>616.20000000000005</v>
      </c>
      <c r="BM61" s="64">
        <f>IFERROR(X61*I61/H61,"0")</f>
        <v>616.20000000000005</v>
      </c>
      <c r="BN61" s="64">
        <f>IFERROR(1/J61*(W61/H61),"0")</f>
        <v>1.0833333333333333</v>
      </c>
      <c r="BO61" s="64">
        <f>IFERROR(1/J61*(X61/H61),"0")</f>
        <v>1.0833333333333333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49" t="s">
        <v>123</v>
      </c>
      <c r="P62" s="410"/>
      <c r="Q62" s="410"/>
      <c r="R62" s="410"/>
      <c r="S62" s="408"/>
      <c r="T62" s="34"/>
      <c r="U62" s="34"/>
      <c r="V62" s="35" t="s">
        <v>66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41" t="s">
        <v>70</v>
      </c>
      <c r="P63" s="442"/>
      <c r="Q63" s="442"/>
      <c r="R63" s="442"/>
      <c r="S63" s="442"/>
      <c r="T63" s="442"/>
      <c r="U63" s="443"/>
      <c r="V63" s="37" t="s">
        <v>71</v>
      </c>
      <c r="W63" s="405">
        <f>IFERROR(W59/H59,"0")+IFERROR(W60/H60,"0")+IFERROR(W61/H61,"0")+IFERROR(W62/H62,"0")</f>
        <v>157.77777777777777</v>
      </c>
      <c r="X63" s="405">
        <f>IFERROR(X59/H59,"0")+IFERROR(X60/H60,"0")+IFERROR(X61/H61,"0")+IFERROR(X62/H62,"0")</f>
        <v>158</v>
      </c>
      <c r="Y63" s="405">
        <f>IFERROR(IF(Y59="",0,Y59),"0")+IFERROR(IF(Y60="",0,Y60),"0")+IFERROR(IF(Y61="",0,Y61),"0")+IFERROR(IF(Y62="",0,Y62),"0")</f>
        <v>1.8270999999999999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41" t="s">
        <v>70</v>
      </c>
      <c r="P64" s="442"/>
      <c r="Q64" s="442"/>
      <c r="R64" s="442"/>
      <c r="S64" s="442"/>
      <c r="T64" s="442"/>
      <c r="U64" s="443"/>
      <c r="V64" s="37" t="s">
        <v>66</v>
      </c>
      <c r="W64" s="405">
        <f>IFERROR(SUM(W59:W62),"0")</f>
        <v>885</v>
      </c>
      <c r="X64" s="405">
        <f>IFERROR(SUM(X59:X62),"0")</f>
        <v>887.40000000000009</v>
      </c>
      <c r="Y64" s="37"/>
      <c r="Z64" s="406"/>
      <c r="AA64" s="406"/>
    </row>
    <row r="65" spans="1:67" ht="16.5" customHeight="1" x14ac:dyDescent="0.25">
      <c r="A65" s="41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customHeight="1" x14ac:dyDescent="0.25">
      <c r="A66" s="420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customHeight="1" x14ac:dyDescent="0.25">
      <c r="A67" s="54" t="s">
        <v>124</v>
      </c>
      <c r="B67" s="54" t="s">
        <v>125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66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66</v>
      </c>
      <c r="W68" s="403">
        <v>50</v>
      </c>
      <c r="X68" s="404">
        <f t="shared" si="6"/>
        <v>54</v>
      </c>
      <c r="Y68" s="36">
        <f t="shared" si="7"/>
        <v>0.10874999999999999</v>
      </c>
      <c r="Z68" s="56"/>
      <c r="AA68" s="57"/>
      <c r="AE68" s="64"/>
      <c r="BB68" s="86" t="s">
        <v>1</v>
      </c>
      <c r="BL68" s="64">
        <f t="shared" si="8"/>
        <v>52.222222222222221</v>
      </c>
      <c r="BM68" s="64">
        <f t="shared" si="9"/>
        <v>56.4</v>
      </c>
      <c r="BN68" s="64">
        <f t="shared" si="10"/>
        <v>8.2671957671957674E-2</v>
      </c>
      <c r="BO68" s="64">
        <f t="shared" si="11"/>
        <v>8.9285714285714274E-2</v>
      </c>
    </row>
    <row r="69" spans="1:67" ht="27" customHeight="1" x14ac:dyDescent="0.25">
      <c r="A69" s="54" t="s">
        <v>126</v>
      </c>
      <c r="B69" s="54" t="s">
        <v>128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66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130</v>
      </c>
      <c r="B70" s="54" t="s">
        <v>131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66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66</v>
      </c>
      <c r="W71" s="403">
        <v>100</v>
      </c>
      <c r="X71" s="404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104.44444444444444</v>
      </c>
      <c r="BM71" s="64">
        <f t="shared" si="9"/>
        <v>112.8</v>
      </c>
      <c r="BN71" s="64">
        <f t="shared" si="10"/>
        <v>0.16534391534391535</v>
      </c>
      <c r="BO71" s="64">
        <f t="shared" si="11"/>
        <v>0.17857142857142855</v>
      </c>
    </row>
    <row r="72" spans="1:67" ht="16.5" customHeight="1" x14ac:dyDescent="0.25">
      <c r="A72" s="54" t="s">
        <v>135</v>
      </c>
      <c r="B72" s="54" t="s">
        <v>136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66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135</v>
      </c>
      <c r="B73" s="54" t="s">
        <v>137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66</v>
      </c>
      <c r="W73" s="403">
        <v>50</v>
      </c>
      <c r="X73" s="404">
        <f t="shared" si="6"/>
        <v>56</v>
      </c>
      <c r="Y73" s="36">
        <f t="shared" si="7"/>
        <v>0.10874999999999999</v>
      </c>
      <c r="Z73" s="56"/>
      <c r="AA73" s="57"/>
      <c r="AE73" s="64"/>
      <c r="BB73" s="91" t="s">
        <v>1</v>
      </c>
      <c r="BL73" s="64">
        <f t="shared" si="8"/>
        <v>52.142857142857146</v>
      </c>
      <c r="BM73" s="64">
        <f t="shared" si="9"/>
        <v>58.4</v>
      </c>
      <c r="BN73" s="64">
        <f t="shared" si="10"/>
        <v>7.9719387755102039E-2</v>
      </c>
      <c r="BO73" s="64">
        <f t="shared" si="11"/>
        <v>8.9285714285714274E-2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66</v>
      </c>
      <c r="W74" s="403">
        <v>35</v>
      </c>
      <c r="X74" s="404">
        <f t="shared" si="6"/>
        <v>36</v>
      </c>
      <c r="Y74" s="36">
        <f>IFERROR(IF(X74=0,"",ROUNDUP(X74/H74,0)*0.00753),"")</f>
        <v>9.0359999999999996E-2</v>
      </c>
      <c r="Z74" s="56"/>
      <c r="AA74" s="57"/>
      <c r="AE74" s="64"/>
      <c r="BB74" s="92" t="s">
        <v>1</v>
      </c>
      <c r="BL74" s="64">
        <f t="shared" si="8"/>
        <v>37.333333333333336</v>
      </c>
      <c r="BM74" s="64">
        <f t="shared" si="9"/>
        <v>38.4</v>
      </c>
      <c r="BN74" s="64">
        <f t="shared" si="10"/>
        <v>7.4786324786324784E-2</v>
      </c>
      <c r="BO74" s="64">
        <f t="shared" si="11"/>
        <v>7.6923076923076927E-2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66</v>
      </c>
      <c r="W75" s="403">
        <v>144</v>
      </c>
      <c r="X75" s="404">
        <f t="shared" si="6"/>
        <v>144</v>
      </c>
      <c r="Y75" s="36">
        <f t="shared" ref="Y75:Y81" si="12">IFERROR(IF(X75=0,"",ROUNDUP(X75/H75,0)*0.00937),"")</f>
        <v>0.33732000000000001</v>
      </c>
      <c r="Z75" s="56"/>
      <c r="AA75" s="57"/>
      <c r="AE75" s="64"/>
      <c r="BB75" s="93" t="s">
        <v>1</v>
      </c>
      <c r="BL75" s="64">
        <f t="shared" si="8"/>
        <v>152.64000000000001</v>
      </c>
      <c r="BM75" s="64">
        <f t="shared" si="9"/>
        <v>152.64000000000001</v>
      </c>
      <c r="BN75" s="64">
        <f t="shared" si="10"/>
        <v>0.3</v>
      </c>
      <c r="BO75" s="64">
        <f t="shared" si="11"/>
        <v>0.3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66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66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66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66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150</v>
      </c>
      <c r="B80" s="54" t="s">
        <v>151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64</v>
      </c>
      <c r="L80" s="33" t="s">
        <v>129</v>
      </c>
      <c r="M80" s="33"/>
      <c r="N80" s="32">
        <v>50</v>
      </c>
      <c r="O80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66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152</v>
      </c>
      <c r="B81" s="54" t="s">
        <v>153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64</v>
      </c>
      <c r="L81" s="33" t="s">
        <v>134</v>
      </c>
      <c r="M81" s="33"/>
      <c r="N81" s="32">
        <v>50</v>
      </c>
      <c r="O81" s="4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66</v>
      </c>
      <c r="W81" s="403">
        <v>495</v>
      </c>
      <c r="X81" s="404">
        <f t="shared" si="6"/>
        <v>495</v>
      </c>
      <c r="Y81" s="36">
        <f t="shared" si="12"/>
        <v>1.0306999999999999</v>
      </c>
      <c r="Z81" s="56"/>
      <c r="AA81" s="57"/>
      <c r="AE81" s="64"/>
      <c r="BB81" s="99" t="s">
        <v>1</v>
      </c>
      <c r="BL81" s="64">
        <f t="shared" si="8"/>
        <v>518.09999999999991</v>
      </c>
      <c r="BM81" s="64">
        <f t="shared" si="9"/>
        <v>518.09999999999991</v>
      </c>
      <c r="BN81" s="64">
        <f t="shared" si="10"/>
        <v>0.91666666666666663</v>
      </c>
      <c r="BO81" s="64">
        <f t="shared" si="11"/>
        <v>0.91666666666666663</v>
      </c>
    </row>
    <row r="82" spans="1:67" ht="27" customHeight="1" x14ac:dyDescent="0.25">
      <c r="A82" s="54" t="s">
        <v>154</v>
      </c>
      <c r="B82" s="54" t="s">
        <v>155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66</v>
      </c>
      <c r="W82" s="403">
        <v>80</v>
      </c>
      <c r="X82" s="404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customHeight="1" x14ac:dyDescent="0.25">
      <c r="A83" s="54" t="s">
        <v>154</v>
      </c>
      <c r="B83" s="54" t="s">
        <v>156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64</v>
      </c>
      <c r="L83" s="33" t="s">
        <v>95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66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157</v>
      </c>
      <c r="B84" s="54" t="s">
        <v>158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64</v>
      </c>
      <c r="L84" s="33" t="s">
        <v>110</v>
      </c>
      <c r="M84" s="33"/>
      <c r="N84" s="32">
        <v>90</v>
      </c>
      <c r="O84" s="4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66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159</v>
      </c>
      <c r="B85" s="54" t="s">
        <v>160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66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66</v>
      </c>
      <c r="W86" s="403">
        <v>225</v>
      </c>
      <c r="X86" s="404">
        <f t="shared" si="6"/>
        <v>225</v>
      </c>
      <c r="Y86" s="36">
        <f>IFERROR(IF(X86=0,"",ROUNDUP(X86/H86,0)*0.00937),"")</f>
        <v>0.46849999999999997</v>
      </c>
      <c r="Z86" s="56"/>
      <c r="AA86" s="57"/>
      <c r="AE86" s="64"/>
      <c r="BB86" s="104" t="s">
        <v>1</v>
      </c>
      <c r="BL86" s="64">
        <f t="shared" si="8"/>
        <v>237</v>
      </c>
      <c r="BM86" s="64">
        <f t="shared" si="9"/>
        <v>237</v>
      </c>
      <c r="BN86" s="64">
        <f t="shared" si="10"/>
        <v>0.41666666666666669</v>
      </c>
      <c r="BO86" s="64">
        <f t="shared" si="11"/>
        <v>0.41666666666666669</v>
      </c>
    </row>
    <row r="87" spans="1:67" ht="16.5" customHeight="1" x14ac:dyDescent="0.25">
      <c r="A87" s="54" t="s">
        <v>163</v>
      </c>
      <c r="B87" s="54" t="s">
        <v>164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64</v>
      </c>
      <c r="L87" s="33" t="s">
        <v>129</v>
      </c>
      <c r="M87" s="33"/>
      <c r="N87" s="32">
        <v>50</v>
      </c>
      <c r="O87" s="5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66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41" t="s">
        <v>70</v>
      </c>
      <c r="P88" s="442"/>
      <c r="Q88" s="442"/>
      <c r="R88" s="442"/>
      <c r="S88" s="442"/>
      <c r="T88" s="442"/>
      <c r="U88" s="443"/>
      <c r="V88" s="37" t="s">
        <v>71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251.01984126984127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253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2.5501299999999998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5"/>
      <c r="O89" s="441" t="s">
        <v>70</v>
      </c>
      <c r="P89" s="442"/>
      <c r="Q89" s="442"/>
      <c r="R89" s="442"/>
      <c r="S89" s="442"/>
      <c r="T89" s="442"/>
      <c r="U89" s="443"/>
      <c r="V89" s="37" t="s">
        <v>66</v>
      </c>
      <c r="W89" s="405">
        <f>IFERROR(SUM(W67:W87),"0")</f>
        <v>1179</v>
      </c>
      <c r="X89" s="405">
        <f>IFERROR(SUM(X67:X87),"0")</f>
        <v>1198</v>
      </c>
      <c r="Y89" s="37"/>
      <c r="Z89" s="406"/>
      <c r="AA89" s="406"/>
    </row>
    <row r="90" spans="1:67" ht="14.25" customHeight="1" x14ac:dyDescent="0.25">
      <c r="A90" s="420" t="s">
        <v>106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customHeight="1" x14ac:dyDescent="0.25">
      <c r="A91" s="54" t="s">
        <v>165</v>
      </c>
      <c r="B91" s="54" t="s">
        <v>166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109</v>
      </c>
      <c r="L91" s="33" t="s">
        <v>110</v>
      </c>
      <c r="M91" s="33"/>
      <c r="N91" s="32">
        <v>50</v>
      </c>
      <c r="O91" s="4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66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64</v>
      </c>
      <c r="L92" s="33" t="s">
        <v>110</v>
      </c>
      <c r="M92" s="33"/>
      <c r="N92" s="32">
        <v>90</v>
      </c>
      <c r="O92" s="4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66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69</v>
      </c>
      <c r="L93" s="33" t="s">
        <v>129</v>
      </c>
      <c r="M93" s="33"/>
      <c r="N93" s="32">
        <v>50</v>
      </c>
      <c r="O93" s="6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66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171</v>
      </c>
      <c r="B94" s="54" t="s">
        <v>172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64</v>
      </c>
      <c r="L94" s="33" t="s">
        <v>110</v>
      </c>
      <c r="M94" s="33"/>
      <c r="N94" s="32">
        <v>50</v>
      </c>
      <c r="O94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66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41" t="s">
        <v>70</v>
      </c>
      <c r="P95" s="442"/>
      <c r="Q95" s="442"/>
      <c r="R95" s="442"/>
      <c r="S95" s="442"/>
      <c r="T95" s="442"/>
      <c r="U95" s="443"/>
      <c r="V95" s="37" t="s">
        <v>71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5"/>
      <c r="O96" s="441" t="s">
        <v>70</v>
      </c>
      <c r="P96" s="442"/>
      <c r="Q96" s="442"/>
      <c r="R96" s="442"/>
      <c r="S96" s="442"/>
      <c r="T96" s="442"/>
      <c r="U96" s="443"/>
      <c r="V96" s="37" t="s">
        <v>66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customHeight="1" x14ac:dyDescent="0.25">
      <c r="A97" s="420" t="s">
        <v>61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customHeight="1" x14ac:dyDescent="0.25">
      <c r="A98" s="54" t="s">
        <v>173</v>
      </c>
      <c r="B98" s="54" t="s">
        <v>174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109</v>
      </c>
      <c r="L98" s="33" t="s">
        <v>110</v>
      </c>
      <c r="M98" s="33"/>
      <c r="N98" s="32">
        <v>40</v>
      </c>
      <c r="O98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66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66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177</v>
      </c>
      <c r="B100" s="54" t="s">
        <v>178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109</v>
      </c>
      <c r="L100" s="33" t="s">
        <v>65</v>
      </c>
      <c r="M100" s="33"/>
      <c r="N100" s="32">
        <v>40</v>
      </c>
      <c r="O100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66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66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181</v>
      </c>
      <c r="B102" s="54" t="s">
        <v>182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66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183</v>
      </c>
      <c r="B103" s="54" t="s">
        <v>184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66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183</v>
      </c>
      <c r="B104" s="54" t="s">
        <v>185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64</v>
      </c>
      <c r="L104" s="33" t="s">
        <v>95</v>
      </c>
      <c r="M104" s="33"/>
      <c r="N104" s="32">
        <v>90</v>
      </c>
      <c r="O104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66</v>
      </c>
      <c r="W104" s="403">
        <v>17.5</v>
      </c>
      <c r="X104" s="404">
        <f t="shared" si="13"/>
        <v>19.599999999999998</v>
      </c>
      <c r="Y104" s="36">
        <f>IFERROR(IF(X104=0,"",ROUNDUP(X104/H104,0)*0.00753),"")</f>
        <v>5.271E-2</v>
      </c>
      <c r="Z104" s="56"/>
      <c r="AA104" s="57"/>
      <c r="AE104" s="64"/>
      <c r="BB104" s="116" t="s">
        <v>1</v>
      </c>
      <c r="BL104" s="64">
        <f t="shared" si="14"/>
        <v>19.3</v>
      </c>
      <c r="BM104" s="64">
        <f t="shared" si="15"/>
        <v>21.616</v>
      </c>
      <c r="BN104" s="64">
        <f t="shared" si="16"/>
        <v>4.0064102564102561E-2</v>
      </c>
      <c r="BO104" s="64">
        <f t="shared" si="17"/>
        <v>4.4871794871794872E-2</v>
      </c>
    </row>
    <row r="105" spans="1:67" x14ac:dyDescent="0.2">
      <c r="A105" s="41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41" t="s">
        <v>70</v>
      </c>
      <c r="P105" s="442"/>
      <c r="Q105" s="442"/>
      <c r="R105" s="442"/>
      <c r="S105" s="442"/>
      <c r="T105" s="442"/>
      <c r="U105" s="443"/>
      <c r="V105" s="37" t="s">
        <v>71</v>
      </c>
      <c r="W105" s="405">
        <f>IFERROR(W98/H98,"0")+IFERROR(W99/H99,"0")+IFERROR(W100/H100,"0")+IFERROR(W101/H101,"0")+IFERROR(W102/H102,"0")+IFERROR(W103/H103,"0")+IFERROR(W104/H104,"0")</f>
        <v>6.25</v>
      </c>
      <c r="X105" s="405">
        <f>IFERROR(X98/H98,"0")+IFERROR(X99/H99,"0")+IFERROR(X100/H100,"0")+IFERROR(X101/H101,"0")+IFERROR(X102/H102,"0")+IFERROR(X103/H103,"0")+IFERROR(X104/H104,"0")</f>
        <v>7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5.271E-2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5"/>
      <c r="O106" s="441" t="s">
        <v>70</v>
      </c>
      <c r="P106" s="442"/>
      <c r="Q106" s="442"/>
      <c r="R106" s="442"/>
      <c r="S106" s="442"/>
      <c r="T106" s="442"/>
      <c r="U106" s="443"/>
      <c r="V106" s="37" t="s">
        <v>66</v>
      </c>
      <c r="W106" s="405">
        <f>IFERROR(SUM(W98:W104),"0")</f>
        <v>17.5</v>
      </c>
      <c r="X106" s="405">
        <f>IFERROR(SUM(X98:X104),"0")</f>
        <v>19.599999999999998</v>
      </c>
      <c r="Y106" s="37"/>
      <c r="Z106" s="406"/>
      <c r="AA106" s="406"/>
    </row>
    <row r="107" spans="1:67" ht="14.25" customHeight="1" x14ac:dyDescent="0.25">
      <c r="A107" s="420" t="s">
        <v>72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customHeight="1" x14ac:dyDescent="0.25">
      <c r="A108" s="54" t="s">
        <v>186</v>
      </c>
      <c r="B108" s="54" t="s">
        <v>187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69</v>
      </c>
      <c r="L108" s="33" t="s">
        <v>129</v>
      </c>
      <c r="M108" s="33"/>
      <c r="N108" s="32">
        <v>40</v>
      </c>
      <c r="O108" s="623" t="s">
        <v>188</v>
      </c>
      <c r="P108" s="410"/>
      <c r="Q108" s="410"/>
      <c r="R108" s="410"/>
      <c r="S108" s="408"/>
      <c r="T108" s="34"/>
      <c r="U108" s="34"/>
      <c r="V108" s="35" t="s">
        <v>66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189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190</v>
      </c>
      <c r="B109" s="54" t="s">
        <v>191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66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190</v>
      </c>
      <c r="B110" s="54" t="s">
        <v>192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45</v>
      </c>
      <c r="O110" s="8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66</v>
      </c>
      <c r="W110" s="403">
        <v>100</v>
      </c>
      <c r="X110" s="404">
        <f t="shared" si="18"/>
        <v>100.80000000000001</v>
      </c>
      <c r="Y110" s="36">
        <f>IFERROR(IF(X110=0,"",ROUNDUP(X110/H110,0)*0.02175),"")</f>
        <v>0.26100000000000001</v>
      </c>
      <c r="Z110" s="56"/>
      <c r="AA110" s="57"/>
      <c r="AE110" s="64"/>
      <c r="BB110" s="119" t="s">
        <v>1</v>
      </c>
      <c r="BL110" s="64">
        <f t="shared" si="19"/>
        <v>106.71428571428572</v>
      </c>
      <c r="BM110" s="64">
        <f t="shared" si="20"/>
        <v>107.56800000000001</v>
      </c>
      <c r="BN110" s="64">
        <f t="shared" si="21"/>
        <v>0.21258503401360543</v>
      </c>
      <c r="BO110" s="64">
        <f t="shared" si="22"/>
        <v>0.21428571428571427</v>
      </c>
    </row>
    <row r="111" spans="1:67" ht="16.5" customHeight="1" x14ac:dyDescent="0.25">
      <c r="A111" s="54" t="s">
        <v>193</v>
      </c>
      <c r="B111" s="54" t="s">
        <v>194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109</v>
      </c>
      <c r="L111" s="33" t="s">
        <v>65</v>
      </c>
      <c r="M111" s="33"/>
      <c r="N111" s="32">
        <v>40</v>
      </c>
      <c r="O111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66</v>
      </c>
      <c r="W111" s="403">
        <v>70</v>
      </c>
      <c r="X111" s="404">
        <f t="shared" si="18"/>
        <v>75.600000000000009</v>
      </c>
      <c r="Y111" s="36">
        <f>IFERROR(IF(X111=0,"",ROUNDUP(X111/H111,0)*0.02175),"")</f>
        <v>0.19574999999999998</v>
      </c>
      <c r="Z111" s="56"/>
      <c r="AA111" s="57"/>
      <c r="AE111" s="64"/>
      <c r="BB111" s="120" t="s">
        <v>1</v>
      </c>
      <c r="BL111" s="64">
        <f t="shared" si="19"/>
        <v>74.7</v>
      </c>
      <c r="BM111" s="64">
        <f t="shared" si="20"/>
        <v>80.676000000000016</v>
      </c>
      <c r="BN111" s="64">
        <f t="shared" si="21"/>
        <v>0.14880952380952378</v>
      </c>
      <c r="BO111" s="64">
        <f t="shared" si="22"/>
        <v>0.1607142857142857</v>
      </c>
    </row>
    <row r="112" spans="1:67" ht="16.5" customHeight="1" x14ac:dyDescent="0.25">
      <c r="A112" s="54" t="s">
        <v>195</v>
      </c>
      <c r="B112" s="54" t="s">
        <v>196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64</v>
      </c>
      <c r="L112" s="33" t="s">
        <v>65</v>
      </c>
      <c r="M112" s="33"/>
      <c r="N112" s="32">
        <v>31</v>
      </c>
      <c r="O112" s="7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66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197</v>
      </c>
      <c r="B113" s="54" t="s">
        <v>198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66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197</v>
      </c>
      <c r="B114" s="54" t="s">
        <v>199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64</v>
      </c>
      <c r="L114" s="33" t="s">
        <v>95</v>
      </c>
      <c r="M114" s="33"/>
      <c r="N114" s="32">
        <v>60</v>
      </c>
      <c r="O114" s="7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66</v>
      </c>
      <c r="W114" s="403">
        <v>115.5</v>
      </c>
      <c r="X114" s="404">
        <f t="shared" si="18"/>
        <v>116.16000000000001</v>
      </c>
      <c r="Y114" s="36">
        <f>IFERROR(IF(X114=0,"",ROUNDUP(X114/H114,0)*0.00753),"")</f>
        <v>0.33132</v>
      </c>
      <c r="Z114" s="56"/>
      <c r="AA114" s="57"/>
      <c r="AE114" s="64"/>
      <c r="BB114" s="123" t="s">
        <v>1</v>
      </c>
      <c r="BL114" s="64">
        <f t="shared" si="19"/>
        <v>128.1</v>
      </c>
      <c r="BM114" s="64">
        <f t="shared" si="20"/>
        <v>128.83199999999999</v>
      </c>
      <c r="BN114" s="64">
        <f t="shared" si="21"/>
        <v>0.28044871794871795</v>
      </c>
      <c r="BO114" s="64">
        <f t="shared" si="22"/>
        <v>0.28205128205128205</v>
      </c>
    </row>
    <row r="115" spans="1:67" ht="27" customHeight="1" x14ac:dyDescent="0.25">
      <c r="A115" s="54" t="s">
        <v>200</v>
      </c>
      <c r="B115" s="54" t="s">
        <v>201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64</v>
      </c>
      <c r="L115" s="33" t="s">
        <v>129</v>
      </c>
      <c r="M115" s="33"/>
      <c r="N115" s="32">
        <v>45</v>
      </c>
      <c r="O115" s="5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66</v>
      </c>
      <c r="W115" s="403">
        <v>315</v>
      </c>
      <c r="X115" s="404">
        <f t="shared" si="18"/>
        <v>315.90000000000003</v>
      </c>
      <c r="Y115" s="36">
        <f>IFERROR(IF(X115=0,"",ROUNDUP(X115/H115,0)*0.00753),"")</f>
        <v>0.88101000000000007</v>
      </c>
      <c r="Z115" s="56"/>
      <c r="AA115" s="57"/>
      <c r="AE115" s="64"/>
      <c r="BB115" s="124" t="s">
        <v>1</v>
      </c>
      <c r="BL115" s="64">
        <f t="shared" si="19"/>
        <v>346.73333333333329</v>
      </c>
      <c r="BM115" s="64">
        <f t="shared" si="20"/>
        <v>347.72399999999999</v>
      </c>
      <c r="BN115" s="64">
        <f t="shared" si="21"/>
        <v>0.74786324786324776</v>
      </c>
      <c r="BO115" s="64">
        <f t="shared" si="22"/>
        <v>0.75</v>
      </c>
    </row>
    <row r="116" spans="1:67" ht="27" customHeight="1" x14ac:dyDescent="0.25">
      <c r="A116" s="54" t="s">
        <v>202</v>
      </c>
      <c r="B116" s="54" t="s">
        <v>203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64</v>
      </c>
      <c r="L116" s="33" t="s">
        <v>129</v>
      </c>
      <c r="M116" s="33"/>
      <c r="N116" s="32">
        <v>45</v>
      </c>
      <c r="O116" s="6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66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customHeight="1" x14ac:dyDescent="0.25">
      <c r="A117" s="54" t="s">
        <v>204</v>
      </c>
      <c r="B117" s="54" t="s">
        <v>205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64</v>
      </c>
      <c r="L117" s="33" t="s">
        <v>129</v>
      </c>
      <c r="M117" s="33"/>
      <c r="N117" s="32">
        <v>45</v>
      </c>
      <c r="O117" s="7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66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64</v>
      </c>
      <c r="L118" s="33" t="s">
        <v>129</v>
      </c>
      <c r="M118" s="33"/>
      <c r="N118" s="32">
        <v>40</v>
      </c>
      <c r="O118" s="585" t="s">
        <v>208</v>
      </c>
      <c r="P118" s="410"/>
      <c r="Q118" s="410"/>
      <c r="R118" s="410"/>
      <c r="S118" s="408"/>
      <c r="T118" s="34"/>
      <c r="U118" s="34"/>
      <c r="V118" s="35" t="s">
        <v>66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66</v>
      </c>
      <c r="W119" s="403">
        <v>40</v>
      </c>
      <c r="X119" s="404">
        <f t="shared" si="18"/>
        <v>42</v>
      </c>
      <c r="Y119" s="36">
        <f t="shared" si="23"/>
        <v>0.10542</v>
      </c>
      <c r="Z119" s="56"/>
      <c r="AA119" s="57"/>
      <c r="AE119" s="64"/>
      <c r="BB119" s="128" t="s">
        <v>1</v>
      </c>
      <c r="BL119" s="64">
        <f t="shared" si="19"/>
        <v>43.626666666666665</v>
      </c>
      <c r="BM119" s="64">
        <f t="shared" si="20"/>
        <v>45.807999999999993</v>
      </c>
      <c r="BN119" s="64">
        <f t="shared" si="21"/>
        <v>8.5470085470085472E-2</v>
      </c>
      <c r="BO119" s="64">
        <f t="shared" si="22"/>
        <v>8.9743589743589744E-2</v>
      </c>
    </row>
    <row r="120" spans="1:67" ht="16.5" customHeight="1" x14ac:dyDescent="0.25">
      <c r="A120" s="54" t="s">
        <v>211</v>
      </c>
      <c r="B120" s="54" t="s">
        <v>212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66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213</v>
      </c>
      <c r="B121" s="54" t="s">
        <v>214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64</v>
      </c>
      <c r="L121" s="33" t="s">
        <v>129</v>
      </c>
      <c r="M121" s="33"/>
      <c r="N121" s="32">
        <v>40</v>
      </c>
      <c r="O121" s="594" t="s">
        <v>215</v>
      </c>
      <c r="P121" s="410"/>
      <c r="Q121" s="410"/>
      <c r="R121" s="410"/>
      <c r="S121" s="408"/>
      <c r="T121" s="34"/>
      <c r="U121" s="34"/>
      <c r="V121" s="35" t="s">
        <v>66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216</v>
      </c>
      <c r="B122" s="54" t="s">
        <v>217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2" t="s">
        <v>218</v>
      </c>
      <c r="P122" s="410"/>
      <c r="Q122" s="410"/>
      <c r="R122" s="410"/>
      <c r="S122" s="408"/>
      <c r="T122" s="34"/>
      <c r="U122" s="34"/>
      <c r="V122" s="35" t="s">
        <v>66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41" t="s">
        <v>70</v>
      </c>
      <c r="P123" s="442"/>
      <c r="Q123" s="442"/>
      <c r="R123" s="442"/>
      <c r="S123" s="442"/>
      <c r="T123" s="442"/>
      <c r="U123" s="443"/>
      <c r="V123" s="37" t="s">
        <v>71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193.98809523809524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196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1.7745000000000002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5"/>
      <c r="O124" s="441" t="s">
        <v>70</v>
      </c>
      <c r="P124" s="442"/>
      <c r="Q124" s="442"/>
      <c r="R124" s="442"/>
      <c r="S124" s="442"/>
      <c r="T124" s="442"/>
      <c r="U124" s="443"/>
      <c r="V124" s="37" t="s">
        <v>66</v>
      </c>
      <c r="W124" s="405">
        <f>IFERROR(SUM(W108:W122),"0")</f>
        <v>640.5</v>
      </c>
      <c r="X124" s="405">
        <f>IFERROR(SUM(X108:X122),"0")</f>
        <v>650.46</v>
      </c>
      <c r="Y124" s="37"/>
      <c r="Z124" s="406"/>
      <c r="AA124" s="406"/>
    </row>
    <row r="125" spans="1:67" ht="14.25" customHeight="1" x14ac:dyDescent="0.25">
      <c r="A125" s="420" t="s">
        <v>219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customHeight="1" x14ac:dyDescent="0.25">
      <c r="A126" s="54" t="s">
        <v>220</v>
      </c>
      <c r="B126" s="54" t="s">
        <v>221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66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customHeight="1" x14ac:dyDescent="0.25">
      <c r="A127" s="54" t="s">
        <v>222</v>
      </c>
      <c r="B127" s="54" t="s">
        <v>223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66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222</v>
      </c>
      <c r="B128" s="54" t="s">
        <v>224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109</v>
      </c>
      <c r="L128" s="33" t="s">
        <v>65</v>
      </c>
      <c r="M128" s="33"/>
      <c r="N128" s="32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66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225</v>
      </c>
      <c r="B129" s="54" t="s">
        <v>226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66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227</v>
      </c>
      <c r="B130" s="54" t="s">
        <v>228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66</v>
      </c>
      <c r="W130" s="403">
        <v>39.6</v>
      </c>
      <c r="X130" s="404">
        <f t="shared" si="24"/>
        <v>39.6</v>
      </c>
      <c r="Y130" s="36">
        <f>IFERROR(IF(X130=0,"",ROUNDUP(X130/H130,0)*0.00753),"")</f>
        <v>0.15060000000000001</v>
      </c>
      <c r="Z130" s="56"/>
      <c r="AA130" s="57"/>
      <c r="AE130" s="64"/>
      <c r="BB130" s="136" t="s">
        <v>1</v>
      </c>
      <c r="BL130" s="64">
        <f t="shared" si="25"/>
        <v>45.160000000000004</v>
      </c>
      <c r="BM130" s="64">
        <f t="shared" si="26"/>
        <v>45.160000000000004</v>
      </c>
      <c r="BN130" s="64">
        <f t="shared" si="27"/>
        <v>0.12820512820512819</v>
      </c>
      <c r="BO130" s="64">
        <f t="shared" si="28"/>
        <v>0.12820512820512819</v>
      </c>
    </row>
    <row r="131" spans="1:67" ht="27" customHeight="1" x14ac:dyDescent="0.25">
      <c r="A131" s="54" t="s">
        <v>229</v>
      </c>
      <c r="B131" s="54" t="s">
        <v>230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64</v>
      </c>
      <c r="L131" s="33" t="s">
        <v>129</v>
      </c>
      <c r="M131" s="33"/>
      <c r="N131" s="32">
        <v>30</v>
      </c>
      <c r="O131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66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1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41" t="s">
        <v>70</v>
      </c>
      <c r="P132" s="442"/>
      <c r="Q132" s="442"/>
      <c r="R132" s="442"/>
      <c r="S132" s="442"/>
      <c r="T132" s="442"/>
      <c r="U132" s="443"/>
      <c r="V132" s="37" t="s">
        <v>71</v>
      </c>
      <c r="W132" s="405">
        <f>IFERROR(W126/H126,"0")+IFERROR(W127/H127,"0")+IFERROR(W128/H128,"0")+IFERROR(W129/H129,"0")+IFERROR(W130/H130,"0")+IFERROR(W131/H131,"0")</f>
        <v>20</v>
      </c>
      <c r="X132" s="405">
        <f>IFERROR(X126/H126,"0")+IFERROR(X127/H127,"0")+IFERROR(X128/H128,"0")+IFERROR(X129/H129,"0")+IFERROR(X130/H130,"0")+IFERROR(X131/H131,"0")</f>
        <v>20</v>
      </c>
      <c r="Y132" s="405">
        <f>IFERROR(IF(Y126="",0,Y126),"0")+IFERROR(IF(Y127="",0,Y127),"0")+IFERROR(IF(Y128="",0,Y128),"0")+IFERROR(IF(Y129="",0,Y129),"0")+IFERROR(IF(Y130="",0,Y130),"0")+IFERROR(IF(Y131="",0,Y131),"0")</f>
        <v>0.15060000000000001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5"/>
      <c r="O133" s="441" t="s">
        <v>70</v>
      </c>
      <c r="P133" s="442"/>
      <c r="Q133" s="442"/>
      <c r="R133" s="442"/>
      <c r="S133" s="442"/>
      <c r="T133" s="442"/>
      <c r="U133" s="443"/>
      <c r="V133" s="37" t="s">
        <v>66</v>
      </c>
      <c r="W133" s="405">
        <f>IFERROR(SUM(W126:W131),"0")</f>
        <v>39.6</v>
      </c>
      <c r="X133" s="405">
        <f>IFERROR(SUM(X126:X131),"0")</f>
        <v>39.6</v>
      </c>
      <c r="Y133" s="37"/>
      <c r="Z133" s="406"/>
      <c r="AA133" s="406"/>
    </row>
    <row r="134" spans="1:67" ht="16.5" customHeight="1" x14ac:dyDescent="0.25">
      <c r="A134" s="411" t="s">
        <v>231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customHeight="1" x14ac:dyDescent="0.25">
      <c r="A135" s="420" t="s">
        <v>72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customHeight="1" x14ac:dyDescent="0.25">
      <c r="A136" s="54" t="s">
        <v>232</v>
      </c>
      <c r="B136" s="54" t="s">
        <v>233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109</v>
      </c>
      <c r="L136" s="33" t="s">
        <v>129</v>
      </c>
      <c r="M136" s="33"/>
      <c r="N136" s="32">
        <v>45</v>
      </c>
      <c r="O136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66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232</v>
      </c>
      <c r="B137" s="54" t="s">
        <v>234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109</v>
      </c>
      <c r="L137" s="33" t="s">
        <v>65</v>
      </c>
      <c r="M137" s="33"/>
      <c r="N137" s="32">
        <v>45</v>
      </c>
      <c r="O137" s="6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66</v>
      </c>
      <c r="W137" s="403">
        <v>300</v>
      </c>
      <c r="X137" s="404">
        <f>IFERROR(IF(W137="",0,CEILING((W137/$H137),1)*$H137),"")</f>
        <v>302.40000000000003</v>
      </c>
      <c r="Y137" s="36">
        <f>IFERROR(IF(X137=0,"",ROUNDUP(X137/H137,0)*0.02175),"")</f>
        <v>0.78299999999999992</v>
      </c>
      <c r="Z137" s="56"/>
      <c r="AA137" s="57"/>
      <c r="AE137" s="64"/>
      <c r="BB137" s="139" t="s">
        <v>1</v>
      </c>
      <c r="BL137" s="64">
        <f>IFERROR(W137*I137/H137,"0")</f>
        <v>319.92857142857144</v>
      </c>
      <c r="BM137" s="64">
        <f>IFERROR(X137*I137/H137,"0")</f>
        <v>322.488</v>
      </c>
      <c r="BN137" s="64">
        <f>IFERROR(1/J137*(W137/H137),"0")</f>
        <v>0.63775510204081631</v>
      </c>
      <c r="BO137" s="64">
        <f>IFERROR(1/J137*(X137/H137),"0")</f>
        <v>0.64285714285714279</v>
      </c>
    </row>
    <row r="138" spans="1:67" ht="16.5" customHeight="1" x14ac:dyDescent="0.25">
      <c r="A138" s="54" t="s">
        <v>235</v>
      </c>
      <c r="B138" s="54" t="s">
        <v>236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66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237</v>
      </c>
      <c r="B139" s="54" t="s">
        <v>238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64</v>
      </c>
      <c r="L139" s="33" t="s">
        <v>129</v>
      </c>
      <c r="M139" s="33"/>
      <c r="N139" s="32">
        <v>45</v>
      </c>
      <c r="O139" s="6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66</v>
      </c>
      <c r="W139" s="403">
        <v>450</v>
      </c>
      <c r="X139" s="404">
        <f>IFERROR(IF(W139="",0,CEILING((W139/$H139),1)*$H139),"")</f>
        <v>450.90000000000003</v>
      </c>
      <c r="Y139" s="36">
        <f>IFERROR(IF(X139=0,"",ROUNDUP(X139/H139,0)*0.00753),"")</f>
        <v>1.2575100000000001</v>
      </c>
      <c r="Z139" s="56"/>
      <c r="AA139" s="57"/>
      <c r="AE139" s="64"/>
      <c r="BB139" s="141" t="s">
        <v>1</v>
      </c>
      <c r="BL139" s="64">
        <f>IFERROR(W139*I139/H139,"0")</f>
        <v>495.33333333333331</v>
      </c>
      <c r="BM139" s="64">
        <f>IFERROR(X139*I139/H139,"0")</f>
        <v>496.32400000000001</v>
      </c>
      <c r="BN139" s="64">
        <f>IFERROR(1/J139*(W139/H139),"0")</f>
        <v>1.0683760683760684</v>
      </c>
      <c r="BO139" s="64">
        <f>IFERROR(1/J139*(X139/H139),"0")</f>
        <v>1.0705128205128205</v>
      </c>
    </row>
    <row r="140" spans="1:67" ht="16.5" customHeight="1" x14ac:dyDescent="0.25">
      <c r="A140" s="54" t="s">
        <v>239</v>
      </c>
      <c r="B140" s="54" t="s">
        <v>240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66</v>
      </c>
      <c r="W140" s="403">
        <v>6</v>
      </c>
      <c r="X140" s="404">
        <f>IFERROR(IF(W140="",0,CEILING((W140/$H140),1)*$H140),"")</f>
        <v>7.2</v>
      </c>
      <c r="Y140" s="36">
        <f>IFERROR(IF(X140=0,"",ROUNDUP(X140/H140,0)*0.00753),"")</f>
        <v>3.0120000000000001E-2</v>
      </c>
      <c r="Z140" s="56"/>
      <c r="AA140" s="57"/>
      <c r="AE140" s="64"/>
      <c r="BB140" s="142" t="s">
        <v>1</v>
      </c>
      <c r="BL140" s="64">
        <f>IFERROR(W140*I140/H140,"0")</f>
        <v>6.6666666666666661</v>
      </c>
      <c r="BM140" s="64">
        <f>IFERROR(X140*I140/H140,"0")</f>
        <v>8</v>
      </c>
      <c r="BN140" s="64">
        <f>IFERROR(1/J140*(W140/H140),"0")</f>
        <v>2.1367521367521364E-2</v>
      </c>
      <c r="BO140" s="64">
        <f>IFERROR(1/J140*(X140/H140),"0")</f>
        <v>2.564102564102564E-2</v>
      </c>
    </row>
    <row r="141" spans="1:67" x14ac:dyDescent="0.2">
      <c r="A141" s="41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41" t="s">
        <v>70</v>
      </c>
      <c r="P141" s="442"/>
      <c r="Q141" s="442"/>
      <c r="R141" s="442"/>
      <c r="S141" s="442"/>
      <c r="T141" s="442"/>
      <c r="U141" s="443"/>
      <c r="V141" s="37" t="s">
        <v>71</v>
      </c>
      <c r="W141" s="405">
        <f>IFERROR(W136/H136,"0")+IFERROR(W137/H137,"0")+IFERROR(W138/H138,"0")+IFERROR(W139/H139,"0")+IFERROR(W140/H140,"0")</f>
        <v>205.71428571428572</v>
      </c>
      <c r="X141" s="405">
        <f>IFERROR(X136/H136,"0")+IFERROR(X137/H137,"0")+IFERROR(X138/H138,"0")+IFERROR(X139/H139,"0")+IFERROR(X140/H140,"0")</f>
        <v>207</v>
      </c>
      <c r="Y141" s="405">
        <f>IFERROR(IF(Y136="",0,Y136),"0")+IFERROR(IF(Y137="",0,Y137),"0")+IFERROR(IF(Y138="",0,Y138),"0")+IFERROR(IF(Y139="",0,Y139),"0")+IFERROR(IF(Y140="",0,Y140),"0")</f>
        <v>2.0706300000000004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5"/>
      <c r="O142" s="441" t="s">
        <v>70</v>
      </c>
      <c r="P142" s="442"/>
      <c r="Q142" s="442"/>
      <c r="R142" s="442"/>
      <c r="S142" s="442"/>
      <c r="T142" s="442"/>
      <c r="U142" s="443"/>
      <c r="V142" s="37" t="s">
        <v>66</v>
      </c>
      <c r="W142" s="405">
        <f>IFERROR(SUM(W136:W140),"0")</f>
        <v>756</v>
      </c>
      <c r="X142" s="405">
        <f>IFERROR(SUM(X136:X140),"0")</f>
        <v>760.50000000000011</v>
      </c>
      <c r="Y142" s="37"/>
      <c r="Z142" s="406"/>
      <c r="AA142" s="406"/>
    </row>
    <row r="143" spans="1:67" ht="27.75" customHeight="1" x14ac:dyDescent="0.2">
      <c r="A143" s="470" t="s">
        <v>241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48"/>
      <c r="AA143" s="48"/>
    </row>
    <row r="144" spans="1:67" ht="16.5" customHeight="1" x14ac:dyDescent="0.25">
      <c r="A144" s="411" t="s">
        <v>242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customHeight="1" x14ac:dyDescent="0.25">
      <c r="A145" s="420" t="s">
        <v>114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customHeight="1" x14ac:dyDescent="0.25">
      <c r="A146" s="54" t="s">
        <v>243</v>
      </c>
      <c r="B146" s="54" t="s">
        <v>244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109</v>
      </c>
      <c r="L146" s="33" t="s">
        <v>129</v>
      </c>
      <c r="M146" s="33"/>
      <c r="N146" s="32">
        <v>35</v>
      </c>
      <c r="O146" s="8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66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245</v>
      </c>
      <c r="B147" s="54" t="s">
        <v>246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109</v>
      </c>
      <c r="L147" s="33" t="s">
        <v>110</v>
      </c>
      <c r="M147" s="33"/>
      <c r="N147" s="32">
        <v>31</v>
      </c>
      <c r="O147" s="527" t="s">
        <v>247</v>
      </c>
      <c r="P147" s="410"/>
      <c r="Q147" s="410"/>
      <c r="R147" s="410"/>
      <c r="S147" s="408"/>
      <c r="T147" s="34"/>
      <c r="U147" s="34"/>
      <c r="V147" s="35" t="s">
        <v>66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109</v>
      </c>
      <c r="L148" s="33" t="s">
        <v>65</v>
      </c>
      <c r="M148" s="33"/>
      <c r="N148" s="32">
        <v>35</v>
      </c>
      <c r="O148" s="700" t="s">
        <v>250</v>
      </c>
      <c r="P148" s="410"/>
      <c r="Q148" s="410"/>
      <c r="R148" s="410"/>
      <c r="S148" s="408"/>
      <c r="T148" s="34"/>
      <c r="U148" s="34"/>
      <c r="V148" s="35" t="s">
        <v>66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251</v>
      </c>
      <c r="B149" s="54" t="s">
        <v>252</v>
      </c>
      <c r="C149" s="31">
        <v>4301011879</v>
      </c>
      <c r="D149" s="407">
        <v>4680115885691</v>
      </c>
      <c r="E149" s="408"/>
      <c r="F149" s="402">
        <v>1.35</v>
      </c>
      <c r="G149" s="32">
        <v>8</v>
      </c>
      <c r="H149" s="402">
        <v>10.8</v>
      </c>
      <c r="I149" s="402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57" t="s">
        <v>253</v>
      </c>
      <c r="P149" s="410"/>
      <c r="Q149" s="410"/>
      <c r="R149" s="410"/>
      <c r="S149" s="408"/>
      <c r="T149" s="34"/>
      <c r="U149" s="34"/>
      <c r="V149" s="35" t="s">
        <v>66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254</v>
      </c>
      <c r="B150" s="54" t="s">
        <v>255</v>
      </c>
      <c r="C150" s="31">
        <v>4301011333</v>
      </c>
      <c r="D150" s="407">
        <v>4607091386516</v>
      </c>
      <c r="E150" s="408"/>
      <c r="F150" s="402">
        <v>1.4</v>
      </c>
      <c r="G150" s="32">
        <v>8</v>
      </c>
      <c r="H150" s="402">
        <v>11.2</v>
      </c>
      <c r="I150" s="402">
        <v>11.776</v>
      </c>
      <c r="J150" s="32">
        <v>56</v>
      </c>
      <c r="K150" s="32" t="s">
        <v>109</v>
      </c>
      <c r="L150" s="33" t="s">
        <v>65</v>
      </c>
      <c r="M150" s="33"/>
      <c r="N150" s="32">
        <v>30</v>
      </c>
      <c r="O150" s="6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0"/>
      <c r="Q150" s="410"/>
      <c r="R150" s="410"/>
      <c r="S150" s="408"/>
      <c r="T150" s="34"/>
      <c r="U150" s="34"/>
      <c r="V150" s="35" t="s">
        <v>66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41" t="s">
        <v>70</v>
      </c>
      <c r="P151" s="442"/>
      <c r="Q151" s="442"/>
      <c r="R151" s="442"/>
      <c r="S151" s="442"/>
      <c r="T151" s="442"/>
      <c r="U151" s="443"/>
      <c r="V151" s="37" t="s">
        <v>71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5"/>
      <c r="O152" s="441" t="s">
        <v>70</v>
      </c>
      <c r="P152" s="442"/>
      <c r="Q152" s="442"/>
      <c r="R152" s="442"/>
      <c r="S152" s="442"/>
      <c r="T152" s="442"/>
      <c r="U152" s="443"/>
      <c r="V152" s="37" t="s">
        <v>66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customHeight="1" x14ac:dyDescent="0.25">
      <c r="A153" s="411" t="s">
        <v>256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customHeight="1" x14ac:dyDescent="0.25">
      <c r="A154" s="420" t="s">
        <v>61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257</v>
      </c>
      <c r="B155" s="54" t="s">
        <v>258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66</v>
      </c>
      <c r="W155" s="403">
        <v>40</v>
      </c>
      <c r="X155" s="404">
        <f t="shared" ref="X155:X163" si="29">IFERROR(IF(W155="",0,CEILING((W155/$H155),1)*$H155),"")</f>
        <v>42</v>
      </c>
      <c r="Y155" s="36">
        <f>IFERROR(IF(X155=0,"",ROUNDUP(X155/H155,0)*0.00753),"")</f>
        <v>7.5300000000000006E-2</v>
      </c>
      <c r="Z155" s="56"/>
      <c r="AA155" s="57"/>
      <c r="AE155" s="64"/>
      <c r="BB155" s="148" t="s">
        <v>1</v>
      </c>
      <c r="BL155" s="64">
        <f t="shared" ref="BL155:BL163" si="30">IFERROR(W155*I155/H155,"0")</f>
        <v>42.476190476190474</v>
      </c>
      <c r="BM155" s="64">
        <f t="shared" ref="BM155:BM163" si="31">IFERROR(X155*I155/H155,"0")</f>
        <v>44.599999999999994</v>
      </c>
      <c r="BN155" s="64">
        <f t="shared" ref="BN155:BN163" si="32">IFERROR(1/J155*(W155/H155),"0")</f>
        <v>6.1050061050061048E-2</v>
      </c>
      <c r="BO155" s="64">
        <f t="shared" ref="BO155:BO163" si="33">IFERROR(1/J155*(X155/H155),"0")</f>
        <v>6.4102564102564097E-2</v>
      </c>
    </row>
    <row r="156" spans="1:67" ht="27" customHeight="1" x14ac:dyDescent="0.25">
      <c r="A156" s="54" t="s">
        <v>259</v>
      </c>
      <c r="B156" s="54" t="s">
        <v>260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66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66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263</v>
      </c>
      <c r="B158" s="54" t="s">
        <v>264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66</v>
      </c>
      <c r="W158" s="403">
        <v>210</v>
      </c>
      <c r="X158" s="404">
        <f t="shared" si="29"/>
        <v>210</v>
      </c>
      <c r="Y158" s="36">
        <f>IFERROR(IF(X158=0,"",ROUNDUP(X158/H158,0)*0.00502),"")</f>
        <v>0.502</v>
      </c>
      <c r="Z158" s="56"/>
      <c r="AA158" s="57"/>
      <c r="AE158" s="64"/>
      <c r="BB158" s="151" t="s">
        <v>1</v>
      </c>
      <c r="BL158" s="64">
        <f t="shared" si="30"/>
        <v>223</v>
      </c>
      <c r="BM158" s="64">
        <f t="shared" si="31"/>
        <v>223</v>
      </c>
      <c r="BN158" s="64">
        <f t="shared" si="32"/>
        <v>0.42735042735042739</v>
      </c>
      <c r="BO158" s="64">
        <f t="shared" si="33"/>
        <v>0.42735042735042739</v>
      </c>
    </row>
    <row r="159" spans="1:67" ht="27" customHeight="1" x14ac:dyDescent="0.25">
      <c r="A159" s="54" t="s">
        <v>265</v>
      </c>
      <c r="B159" s="54" t="s">
        <v>266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66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66</v>
      </c>
      <c r="W160" s="403">
        <v>140</v>
      </c>
      <c r="X160" s="404">
        <f t="shared" si="29"/>
        <v>140.70000000000002</v>
      </c>
      <c r="Y160" s="36">
        <f>IFERROR(IF(X160=0,"",ROUNDUP(X160/H160,0)*0.00502),"")</f>
        <v>0.33634000000000003</v>
      </c>
      <c r="Z160" s="56"/>
      <c r="AA160" s="57"/>
      <c r="AE160" s="64"/>
      <c r="BB160" s="153" t="s">
        <v>1</v>
      </c>
      <c r="BL160" s="64">
        <f t="shared" si="30"/>
        <v>148.66666666666666</v>
      </c>
      <c r="BM160" s="64">
        <f t="shared" si="31"/>
        <v>149.41</v>
      </c>
      <c r="BN160" s="64">
        <f t="shared" si="32"/>
        <v>0.28490028490028491</v>
      </c>
      <c r="BO160" s="64">
        <f t="shared" si="33"/>
        <v>0.28632478632478636</v>
      </c>
    </row>
    <row r="161" spans="1:67" ht="27" customHeight="1" x14ac:dyDescent="0.25">
      <c r="A161" s="54" t="s">
        <v>269</v>
      </c>
      <c r="B161" s="54" t="s">
        <v>270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66</v>
      </c>
      <c r="W161" s="403">
        <v>210</v>
      </c>
      <c r="X161" s="404">
        <f t="shared" si="29"/>
        <v>210</v>
      </c>
      <c r="Y161" s="36">
        <f>IFERROR(IF(X161=0,"",ROUNDUP(X161/H161,0)*0.00502),"")</f>
        <v>0.502</v>
      </c>
      <c r="Z161" s="56"/>
      <c r="AA161" s="57"/>
      <c r="AE161" s="64"/>
      <c r="BB161" s="154" t="s">
        <v>1</v>
      </c>
      <c r="BL161" s="64">
        <f t="shared" si="30"/>
        <v>220.00000000000003</v>
      </c>
      <c r="BM161" s="64">
        <f t="shared" si="31"/>
        <v>220.00000000000003</v>
      </c>
      <c r="BN161" s="64">
        <f t="shared" si="32"/>
        <v>0.42735042735042739</v>
      </c>
      <c r="BO161" s="64">
        <f t="shared" si="33"/>
        <v>0.42735042735042739</v>
      </c>
    </row>
    <row r="162" spans="1:67" ht="27" customHeight="1" x14ac:dyDescent="0.25">
      <c r="A162" s="54" t="s">
        <v>271</v>
      </c>
      <c r="B162" s="54" t="s">
        <v>272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66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customHeight="1" x14ac:dyDescent="0.25">
      <c r="A163" s="54" t="s">
        <v>273</v>
      </c>
      <c r="B163" s="54" t="s">
        <v>274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66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1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41" t="s">
        <v>70</v>
      </c>
      <c r="P164" s="442"/>
      <c r="Q164" s="442"/>
      <c r="R164" s="442"/>
      <c r="S164" s="442"/>
      <c r="T164" s="442"/>
      <c r="U164" s="443"/>
      <c r="V164" s="37" t="s">
        <v>71</v>
      </c>
      <c r="W164" s="405">
        <f>IFERROR(W155/H155,"0")+IFERROR(W156/H156,"0")+IFERROR(W157/H157,"0")+IFERROR(W158/H158,"0")+IFERROR(W159/H159,"0")+IFERROR(W160/H160,"0")+IFERROR(W161/H161,"0")+IFERROR(W162/H162,"0")+IFERROR(W163/H163,"0")</f>
        <v>276.19047619047615</v>
      </c>
      <c r="X164" s="405">
        <f>IFERROR(X155/H155,"0")+IFERROR(X156/H156,"0")+IFERROR(X157/H157,"0")+IFERROR(X158/H158,"0")+IFERROR(X159/H159,"0")+IFERROR(X160/H160,"0")+IFERROR(X161/H161,"0")+IFERROR(X162/H162,"0")+IFERROR(X163/H163,"0")</f>
        <v>277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1.41564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5"/>
      <c r="O165" s="441" t="s">
        <v>70</v>
      </c>
      <c r="P165" s="442"/>
      <c r="Q165" s="442"/>
      <c r="R165" s="442"/>
      <c r="S165" s="442"/>
      <c r="T165" s="442"/>
      <c r="U165" s="443"/>
      <c r="V165" s="37" t="s">
        <v>66</v>
      </c>
      <c r="W165" s="405">
        <f>IFERROR(SUM(W155:W163),"0")</f>
        <v>600</v>
      </c>
      <c r="X165" s="405">
        <f>IFERROR(SUM(X155:X163),"0")</f>
        <v>602.70000000000005</v>
      </c>
      <c r="Y165" s="37"/>
      <c r="Z165" s="406"/>
      <c r="AA165" s="406"/>
    </row>
    <row r="166" spans="1:67" ht="16.5" customHeight="1" x14ac:dyDescent="0.25">
      <c r="A166" s="411" t="s">
        <v>275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customHeight="1" x14ac:dyDescent="0.25">
      <c r="A167" s="420" t="s">
        <v>114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customHeight="1" x14ac:dyDescent="0.25">
      <c r="A168" s="54" t="s">
        <v>276</v>
      </c>
      <c r="B168" s="54" t="s">
        <v>277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109</v>
      </c>
      <c r="L168" s="33" t="s">
        <v>110</v>
      </c>
      <c r="M168" s="33"/>
      <c r="N168" s="32">
        <v>55</v>
      </c>
      <c r="O168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66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278</v>
      </c>
      <c r="B169" s="54" t="s">
        <v>279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66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41" t="s">
        <v>70</v>
      </c>
      <c r="P170" s="442"/>
      <c r="Q170" s="442"/>
      <c r="R170" s="442"/>
      <c r="S170" s="442"/>
      <c r="T170" s="442"/>
      <c r="U170" s="443"/>
      <c r="V170" s="37" t="s">
        <v>71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5"/>
      <c r="O171" s="441" t="s">
        <v>70</v>
      </c>
      <c r="P171" s="442"/>
      <c r="Q171" s="442"/>
      <c r="R171" s="442"/>
      <c r="S171" s="442"/>
      <c r="T171" s="442"/>
      <c r="U171" s="443"/>
      <c r="V171" s="37" t="s">
        <v>66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customHeight="1" x14ac:dyDescent="0.25">
      <c r="A172" s="420" t="s">
        <v>106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customHeight="1" x14ac:dyDescent="0.25">
      <c r="A173" s="54" t="s">
        <v>280</v>
      </c>
      <c r="B173" s="54" t="s">
        <v>281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109</v>
      </c>
      <c r="L173" s="33" t="s">
        <v>129</v>
      </c>
      <c r="M173" s="33"/>
      <c r="N173" s="32">
        <v>50</v>
      </c>
      <c r="O173" s="5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66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282</v>
      </c>
      <c r="B174" s="54" t="s">
        <v>283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64</v>
      </c>
      <c r="L174" s="33" t="s">
        <v>110</v>
      </c>
      <c r="M174" s="33"/>
      <c r="N174" s="32">
        <v>50</v>
      </c>
      <c r="O174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66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41" t="s">
        <v>70</v>
      </c>
      <c r="P175" s="442"/>
      <c r="Q175" s="442"/>
      <c r="R175" s="442"/>
      <c r="S175" s="442"/>
      <c r="T175" s="442"/>
      <c r="U175" s="443"/>
      <c r="V175" s="37" t="s">
        <v>71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5"/>
      <c r="O176" s="441" t="s">
        <v>70</v>
      </c>
      <c r="P176" s="442"/>
      <c r="Q176" s="442"/>
      <c r="R176" s="442"/>
      <c r="S176" s="442"/>
      <c r="T176" s="442"/>
      <c r="U176" s="443"/>
      <c r="V176" s="37" t="s">
        <v>66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customHeight="1" x14ac:dyDescent="0.25">
      <c r="A177" s="420" t="s">
        <v>61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284</v>
      </c>
      <c r="B178" s="54" t="s">
        <v>285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66</v>
      </c>
      <c r="W178" s="403">
        <v>140</v>
      </c>
      <c r="X178" s="404">
        <f t="shared" ref="X178:X185" si="34">IFERROR(IF(W178="",0,CEILING((W178/$H178),1)*$H178),"")</f>
        <v>140.4</v>
      </c>
      <c r="Y178" s="36">
        <f>IFERROR(IF(X178=0,"",ROUNDUP(X178/H178,0)*0.00937),"")</f>
        <v>0.24362</v>
      </c>
      <c r="Z178" s="56"/>
      <c r="AA178" s="57"/>
      <c r="AE178" s="64"/>
      <c r="BB178" s="161" t="s">
        <v>1</v>
      </c>
      <c r="BL178" s="64">
        <f t="shared" ref="BL178:BL185" si="35">IFERROR(W178*I178/H178,"0")</f>
        <v>145.44444444444446</v>
      </c>
      <c r="BM178" s="64">
        <f t="shared" ref="BM178:BM185" si="36">IFERROR(X178*I178/H178,"0")</f>
        <v>145.86000000000001</v>
      </c>
      <c r="BN178" s="64">
        <f t="shared" ref="BN178:BN185" si="37">IFERROR(1/J178*(W178/H178),"0")</f>
        <v>0.21604938271604937</v>
      </c>
      <c r="BO178" s="64">
        <f t="shared" ref="BO178:BO185" si="38">IFERROR(1/J178*(X178/H178),"0")</f>
        <v>0.21666666666666667</v>
      </c>
    </row>
    <row r="179" spans="1:67" ht="27" customHeight="1" x14ac:dyDescent="0.25">
      <c r="A179" s="54" t="s">
        <v>286</v>
      </c>
      <c r="B179" s="54" t="s">
        <v>287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66</v>
      </c>
      <c r="W179" s="403">
        <v>100</v>
      </c>
      <c r="X179" s="404">
        <f t="shared" si="34"/>
        <v>102.60000000000001</v>
      </c>
      <c r="Y179" s="36">
        <f>IFERROR(IF(X179=0,"",ROUNDUP(X179/H179,0)*0.00937),"")</f>
        <v>0.17802999999999999</v>
      </c>
      <c r="Z179" s="56"/>
      <c r="AA179" s="57"/>
      <c r="AE179" s="64"/>
      <c r="BB179" s="162" t="s">
        <v>1</v>
      </c>
      <c r="BL179" s="64">
        <f t="shared" si="35"/>
        <v>103.88888888888889</v>
      </c>
      <c r="BM179" s="64">
        <f t="shared" si="36"/>
        <v>106.59000000000002</v>
      </c>
      <c r="BN179" s="64">
        <f t="shared" si="37"/>
        <v>0.15432098765432098</v>
      </c>
      <c r="BO179" s="64">
        <f t="shared" si="38"/>
        <v>0.15833333333333333</v>
      </c>
    </row>
    <row r="180" spans="1:67" ht="27" customHeight="1" x14ac:dyDescent="0.25">
      <c r="A180" s="54" t="s">
        <v>288</v>
      </c>
      <c r="B180" s="54" t="s">
        <v>289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66</v>
      </c>
      <c r="W180" s="403">
        <v>240</v>
      </c>
      <c r="X180" s="404">
        <f t="shared" si="34"/>
        <v>243.00000000000003</v>
      </c>
      <c r="Y180" s="36">
        <f>IFERROR(IF(X180=0,"",ROUNDUP(X180/H180,0)*0.00937),"")</f>
        <v>0.42164999999999997</v>
      </c>
      <c r="Z180" s="56"/>
      <c r="AA180" s="57"/>
      <c r="AE180" s="64"/>
      <c r="BB180" s="163" t="s">
        <v>1</v>
      </c>
      <c r="BL180" s="64">
        <f t="shared" si="35"/>
        <v>249.33333333333334</v>
      </c>
      <c r="BM180" s="64">
        <f t="shared" si="36"/>
        <v>252.45000000000002</v>
      </c>
      <c r="BN180" s="64">
        <f t="shared" si="37"/>
        <v>0.37037037037037035</v>
      </c>
      <c r="BO180" s="64">
        <f t="shared" si="38"/>
        <v>0.375</v>
      </c>
    </row>
    <row r="181" spans="1:67" ht="27" customHeight="1" x14ac:dyDescent="0.25">
      <c r="A181" s="54" t="s">
        <v>290</v>
      </c>
      <c r="B181" s="54" t="s">
        <v>291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66</v>
      </c>
      <c r="W181" s="403">
        <v>170</v>
      </c>
      <c r="X181" s="404">
        <f t="shared" si="34"/>
        <v>172.8</v>
      </c>
      <c r="Y181" s="36">
        <f>IFERROR(IF(X181=0,"",ROUNDUP(X181/H181,0)*0.00937),"")</f>
        <v>0.29984</v>
      </c>
      <c r="Z181" s="56"/>
      <c r="AA181" s="57"/>
      <c r="AE181" s="64"/>
      <c r="BB181" s="164" t="s">
        <v>1</v>
      </c>
      <c r="BL181" s="64">
        <f t="shared" si="35"/>
        <v>176.61111111111111</v>
      </c>
      <c r="BM181" s="64">
        <f t="shared" si="36"/>
        <v>179.52</v>
      </c>
      <c r="BN181" s="64">
        <f t="shared" si="37"/>
        <v>0.26234567901234568</v>
      </c>
      <c r="BO181" s="64">
        <f t="shared" si="38"/>
        <v>0.26666666666666666</v>
      </c>
    </row>
    <row r="182" spans="1:67" ht="27" customHeight="1" x14ac:dyDescent="0.25">
      <c r="A182" s="54" t="s">
        <v>292</v>
      </c>
      <c r="B182" s="54" t="s">
        <v>293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2" t="s">
        <v>294</v>
      </c>
      <c r="P182" s="410"/>
      <c r="Q182" s="410"/>
      <c r="R182" s="410"/>
      <c r="S182" s="408"/>
      <c r="T182" s="34"/>
      <c r="U182" s="34"/>
      <c r="V182" s="35" t="s">
        <v>66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295</v>
      </c>
      <c r="B183" s="54" t="s">
        <v>296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">
        <v>297</v>
      </c>
      <c r="P183" s="410"/>
      <c r="Q183" s="410"/>
      <c r="R183" s="410"/>
      <c r="S183" s="408"/>
      <c r="T183" s="34"/>
      <c r="U183" s="34"/>
      <c r="V183" s="35" t="s">
        <v>66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298</v>
      </c>
      <c r="B184" s="54" t="s">
        <v>299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66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300</v>
      </c>
      <c r="B185" s="54" t="s">
        <v>301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80" t="s">
        <v>302</v>
      </c>
      <c r="P185" s="410"/>
      <c r="Q185" s="410"/>
      <c r="R185" s="410"/>
      <c r="S185" s="408"/>
      <c r="T185" s="34"/>
      <c r="U185" s="34"/>
      <c r="V185" s="35" t="s">
        <v>66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1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41" t="s">
        <v>70</v>
      </c>
      <c r="P186" s="442"/>
      <c r="Q186" s="442"/>
      <c r="R186" s="442"/>
      <c r="S186" s="442"/>
      <c r="T186" s="442"/>
      <c r="U186" s="443"/>
      <c r="V186" s="37" t="s">
        <v>71</v>
      </c>
      <c r="W186" s="405">
        <f>IFERROR(W178/H178,"0")+IFERROR(W179/H179,"0")+IFERROR(W180/H180,"0")+IFERROR(W181/H181,"0")+IFERROR(W182/H182,"0")+IFERROR(W183/H183,"0")+IFERROR(W184/H184,"0")+IFERROR(W185/H185,"0")</f>
        <v>120.37037037037037</v>
      </c>
      <c r="X186" s="405">
        <f>IFERROR(X178/H178,"0")+IFERROR(X179/H179,"0")+IFERROR(X180/H180,"0")+IFERROR(X181/H181,"0")+IFERROR(X182/H182,"0")+IFERROR(X183/H183,"0")+IFERROR(X184/H184,"0")+IFERROR(X185/H185,"0")</f>
        <v>122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1.1431399999999998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5"/>
      <c r="O187" s="441" t="s">
        <v>70</v>
      </c>
      <c r="P187" s="442"/>
      <c r="Q187" s="442"/>
      <c r="R187" s="442"/>
      <c r="S187" s="442"/>
      <c r="T187" s="442"/>
      <c r="U187" s="443"/>
      <c r="V187" s="37" t="s">
        <v>66</v>
      </c>
      <c r="W187" s="405">
        <f>IFERROR(SUM(W178:W185),"0")</f>
        <v>650</v>
      </c>
      <c r="X187" s="405">
        <f>IFERROR(SUM(X178:X185),"0")</f>
        <v>658.8</v>
      </c>
      <c r="Y187" s="37"/>
      <c r="Z187" s="406"/>
      <c r="AA187" s="406"/>
    </row>
    <row r="188" spans="1:67" ht="14.25" customHeight="1" x14ac:dyDescent="0.25">
      <c r="A188" s="420" t="s">
        <v>72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customHeight="1" x14ac:dyDescent="0.25">
      <c r="A189" s="54" t="s">
        <v>303</v>
      </c>
      <c r="B189" s="54" t="s">
        <v>304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109</v>
      </c>
      <c r="L189" s="33" t="s">
        <v>129</v>
      </c>
      <c r="M189" s="33"/>
      <c r="N189" s="32">
        <v>45</v>
      </c>
      <c r="O189" s="7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66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customHeight="1" x14ac:dyDescent="0.25">
      <c r="A190" s="54" t="s">
        <v>305</v>
      </c>
      <c r="B190" s="54" t="s">
        <v>306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109</v>
      </c>
      <c r="L190" s="33" t="s">
        <v>129</v>
      </c>
      <c r="M190" s="33"/>
      <c r="N190" s="32">
        <v>40</v>
      </c>
      <c r="O190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66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307</v>
      </c>
      <c r="B191" s="54" t="s">
        <v>308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109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66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customHeight="1" x14ac:dyDescent="0.25">
      <c r="A192" s="54" t="s">
        <v>309</v>
      </c>
      <c r="B192" s="54" t="s">
        <v>310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109</v>
      </c>
      <c r="L192" s="33" t="s">
        <v>65</v>
      </c>
      <c r="M192" s="33"/>
      <c r="N192" s="32">
        <v>40</v>
      </c>
      <c r="O192" s="557" t="s">
        <v>311</v>
      </c>
      <c r="P192" s="410"/>
      <c r="Q192" s="410"/>
      <c r="R192" s="410"/>
      <c r="S192" s="408"/>
      <c r="T192" s="34"/>
      <c r="U192" s="34"/>
      <c r="V192" s="35" t="s">
        <v>66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312</v>
      </c>
      <c r="B193" s="54" t="s">
        <v>313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109</v>
      </c>
      <c r="L193" s="33" t="s">
        <v>129</v>
      </c>
      <c r="M193" s="33"/>
      <c r="N193" s="32">
        <v>40</v>
      </c>
      <c r="O193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66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314</v>
      </c>
      <c r="B194" s="54" t="s">
        <v>315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109</v>
      </c>
      <c r="L194" s="33" t="s">
        <v>65</v>
      </c>
      <c r="M194" s="33"/>
      <c r="N194" s="32">
        <v>45</v>
      </c>
      <c r="O194" s="593" t="s">
        <v>316</v>
      </c>
      <c r="P194" s="410"/>
      <c r="Q194" s="410"/>
      <c r="R194" s="410"/>
      <c r="S194" s="408"/>
      <c r="T194" s="34"/>
      <c r="U194" s="34"/>
      <c r="V194" s="35" t="s">
        <v>66</v>
      </c>
      <c r="W194" s="403">
        <v>260</v>
      </c>
      <c r="X194" s="404">
        <f t="shared" si="39"/>
        <v>261</v>
      </c>
      <c r="Y194" s="36">
        <f>IFERROR(IF(X194=0,"",ROUNDUP(X194/H194,0)*0.02175),"")</f>
        <v>0.65249999999999997</v>
      </c>
      <c r="Z194" s="56"/>
      <c r="AA194" s="57"/>
      <c r="AE194" s="64"/>
      <c r="BB194" s="174" t="s">
        <v>1</v>
      </c>
      <c r="BL194" s="64">
        <f t="shared" si="40"/>
        <v>276.85517241379313</v>
      </c>
      <c r="BM194" s="64">
        <f t="shared" si="41"/>
        <v>277.92</v>
      </c>
      <c r="BN194" s="64">
        <f t="shared" si="42"/>
        <v>0.5336617405582923</v>
      </c>
      <c r="BO194" s="64">
        <f t="shared" si="43"/>
        <v>0.5357142857142857</v>
      </c>
    </row>
    <row r="195" spans="1:67" ht="27" customHeight="1" x14ac:dyDescent="0.25">
      <c r="A195" s="54" t="s">
        <v>317</v>
      </c>
      <c r="B195" s="54" t="s">
        <v>318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66</v>
      </c>
      <c r="W195" s="403">
        <v>320</v>
      </c>
      <c r="X195" s="404">
        <f t="shared" si="39"/>
        <v>321.59999999999997</v>
      </c>
      <c r="Y195" s="36">
        <f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40"/>
        <v>356.26666666666671</v>
      </c>
      <c r="BM195" s="64">
        <f t="shared" si="41"/>
        <v>358.048</v>
      </c>
      <c r="BN195" s="64">
        <f t="shared" si="42"/>
        <v>0.85470085470085477</v>
      </c>
      <c r="BO195" s="64">
        <f t="shared" si="43"/>
        <v>0.85897435897435892</v>
      </c>
    </row>
    <row r="196" spans="1:67" ht="27" customHeight="1" x14ac:dyDescent="0.25">
      <c r="A196" s="54" t="s">
        <v>319</v>
      </c>
      <c r="B196" s="54" t="s">
        <v>320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66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66</v>
      </c>
      <c r="W197" s="403">
        <v>360</v>
      </c>
      <c r="X197" s="404">
        <f t="shared" si="39"/>
        <v>360</v>
      </c>
      <c r="Y197" s="36">
        <f>IFERROR(IF(X197=0,"",ROUNDUP(X197/H197,0)*0.00753),"")</f>
        <v>1.1294999999999999</v>
      </c>
      <c r="Z197" s="56"/>
      <c r="AA197" s="57"/>
      <c r="AE197" s="64"/>
      <c r="BB197" s="177" t="s">
        <v>1</v>
      </c>
      <c r="BL197" s="64">
        <f t="shared" si="40"/>
        <v>390</v>
      </c>
      <c r="BM197" s="64">
        <f t="shared" si="41"/>
        <v>390</v>
      </c>
      <c r="BN197" s="64">
        <f t="shared" si="42"/>
        <v>0.96153846153846145</v>
      </c>
      <c r="BO197" s="64">
        <f t="shared" si="43"/>
        <v>0.96153846153846145</v>
      </c>
    </row>
    <row r="198" spans="1:67" ht="27" customHeight="1" x14ac:dyDescent="0.25">
      <c r="A198" s="54" t="s">
        <v>323</v>
      </c>
      <c r="B198" s="54" t="s">
        <v>324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66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64</v>
      </c>
      <c r="L199" s="33" t="s">
        <v>129</v>
      </c>
      <c r="M199" s="33"/>
      <c r="N199" s="32">
        <v>40</v>
      </c>
      <c r="O199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66</v>
      </c>
      <c r="W199" s="403">
        <v>360</v>
      </c>
      <c r="X199" s="404">
        <f t="shared" si="39"/>
        <v>360</v>
      </c>
      <c r="Y199" s="36">
        <f>IFERROR(IF(X199=0,"",ROUNDUP(X199/H199,0)*0.00753),"")</f>
        <v>1.1294999999999999</v>
      </c>
      <c r="Z199" s="56"/>
      <c r="AA199" s="57"/>
      <c r="AE199" s="64"/>
      <c r="BB199" s="179" t="s">
        <v>1</v>
      </c>
      <c r="BL199" s="64">
        <f t="shared" si="40"/>
        <v>403.5</v>
      </c>
      <c r="BM199" s="64">
        <f t="shared" si="41"/>
        <v>403.5</v>
      </c>
      <c r="BN199" s="64">
        <f t="shared" si="42"/>
        <v>0.96153846153846145</v>
      </c>
      <c r="BO199" s="64">
        <f t="shared" si="43"/>
        <v>0.96153846153846145</v>
      </c>
    </row>
    <row r="200" spans="1:67" ht="27" customHeight="1" x14ac:dyDescent="0.25">
      <c r="A200" s="54" t="s">
        <v>327</v>
      </c>
      <c r="B200" s="54" t="s">
        <v>328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35" t="s">
        <v>329</v>
      </c>
      <c r="P200" s="410"/>
      <c r="Q200" s="410"/>
      <c r="R200" s="410"/>
      <c r="S200" s="408"/>
      <c r="T200" s="34"/>
      <c r="U200" s="34"/>
      <c r="V200" s="35" t="s">
        <v>66</v>
      </c>
      <c r="W200" s="403">
        <v>520</v>
      </c>
      <c r="X200" s="404">
        <f t="shared" si="39"/>
        <v>520.79999999999995</v>
      </c>
      <c r="Y200" s="36">
        <f>IFERROR(IF(X200=0,"",ROUNDUP(X200/H200,0)*0.00753),"")</f>
        <v>1.63401</v>
      </c>
      <c r="Z200" s="56"/>
      <c r="AA200" s="57"/>
      <c r="AE200" s="64"/>
      <c r="BB200" s="180" t="s">
        <v>1</v>
      </c>
      <c r="BL200" s="64">
        <f t="shared" si="40"/>
        <v>578.93333333333339</v>
      </c>
      <c r="BM200" s="64">
        <f t="shared" si="41"/>
        <v>579.82399999999996</v>
      </c>
      <c r="BN200" s="64">
        <f t="shared" si="42"/>
        <v>1.3888888888888891</v>
      </c>
      <c r="BO200" s="64">
        <f t="shared" si="43"/>
        <v>1.391025641025641</v>
      </c>
    </row>
    <row r="201" spans="1:67" ht="27" customHeight="1" x14ac:dyDescent="0.25">
      <c r="A201" s="54" t="s">
        <v>330</v>
      </c>
      <c r="B201" s="54" t="s">
        <v>331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7" t="s">
        <v>332</v>
      </c>
      <c r="P201" s="410"/>
      <c r="Q201" s="410"/>
      <c r="R201" s="410"/>
      <c r="S201" s="408"/>
      <c r="T201" s="34"/>
      <c r="U201" s="34"/>
      <c r="V201" s="35" t="s">
        <v>66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333</v>
      </c>
      <c r="B202" s="54" t="s">
        <v>334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5" t="s">
        <v>335</v>
      </c>
      <c r="P202" s="410"/>
      <c r="Q202" s="410"/>
      <c r="R202" s="410"/>
      <c r="S202" s="408"/>
      <c r="T202" s="34"/>
      <c r="U202" s="34"/>
      <c r="V202" s="35" t="s">
        <v>66</v>
      </c>
      <c r="W202" s="403">
        <v>220</v>
      </c>
      <c r="X202" s="404">
        <f t="shared" si="39"/>
        <v>220.79999999999998</v>
      </c>
      <c r="Y202" s="36">
        <f>IFERROR(IF(X202=0,"",ROUNDUP(X202/H202,0)*0.00753),"")</f>
        <v>0.69276000000000004</v>
      </c>
      <c r="Z202" s="56"/>
      <c r="AA202" s="57"/>
      <c r="AE202" s="64"/>
      <c r="BB202" s="182" t="s">
        <v>1</v>
      </c>
      <c r="BL202" s="64">
        <f t="shared" si="40"/>
        <v>244.93333333333337</v>
      </c>
      <c r="BM202" s="64">
        <f t="shared" si="41"/>
        <v>245.82399999999998</v>
      </c>
      <c r="BN202" s="64">
        <f t="shared" si="42"/>
        <v>0.58760683760683763</v>
      </c>
      <c r="BO202" s="64">
        <f t="shared" si="43"/>
        <v>0.58974358974358976</v>
      </c>
    </row>
    <row r="203" spans="1:67" ht="27" customHeight="1" x14ac:dyDescent="0.25">
      <c r="A203" s="54" t="s">
        <v>336</v>
      </c>
      <c r="B203" s="54" t="s">
        <v>337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64</v>
      </c>
      <c r="L203" s="33" t="s">
        <v>129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66</v>
      </c>
      <c r="W203" s="403">
        <v>280</v>
      </c>
      <c r="X203" s="404">
        <f t="shared" si="39"/>
        <v>280.8</v>
      </c>
      <c r="Y203" s="36">
        <f>IFERROR(IF(X203=0,"",ROUNDUP(X203/H203,0)*0.00753),"")</f>
        <v>0.88101000000000007</v>
      </c>
      <c r="Z203" s="56"/>
      <c r="AA203" s="57"/>
      <c r="AE203" s="64"/>
      <c r="BB203" s="183" t="s">
        <v>1</v>
      </c>
      <c r="BL203" s="64">
        <f t="shared" si="40"/>
        <v>312.43333333333334</v>
      </c>
      <c r="BM203" s="64">
        <f t="shared" si="41"/>
        <v>313.32600000000002</v>
      </c>
      <c r="BN203" s="64">
        <f t="shared" si="42"/>
        <v>0.74786324786324787</v>
      </c>
      <c r="BO203" s="64">
        <f t="shared" si="43"/>
        <v>0.75000000000000011</v>
      </c>
    </row>
    <row r="204" spans="1:67" x14ac:dyDescent="0.2">
      <c r="A204" s="41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41" t="s">
        <v>70</v>
      </c>
      <c r="P204" s="442"/>
      <c r="Q204" s="442"/>
      <c r="R204" s="442"/>
      <c r="S204" s="442"/>
      <c r="T204" s="442"/>
      <c r="U204" s="443"/>
      <c r="V204" s="37" t="s">
        <v>71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888.21839080459768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890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7.1282999999999994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5"/>
      <c r="O205" s="441" t="s">
        <v>70</v>
      </c>
      <c r="P205" s="442"/>
      <c r="Q205" s="442"/>
      <c r="R205" s="442"/>
      <c r="S205" s="442"/>
      <c r="T205" s="442"/>
      <c r="U205" s="443"/>
      <c r="V205" s="37" t="s">
        <v>66</v>
      </c>
      <c r="W205" s="405">
        <f>IFERROR(SUM(W189:W203),"0")</f>
        <v>2320</v>
      </c>
      <c r="X205" s="405">
        <f>IFERROR(SUM(X189:X203),"0")</f>
        <v>2325</v>
      </c>
      <c r="Y205" s="37"/>
      <c r="Z205" s="406"/>
      <c r="AA205" s="406"/>
    </row>
    <row r="206" spans="1:67" ht="14.25" customHeight="1" x14ac:dyDescent="0.25">
      <c r="A206" s="420" t="s">
        <v>219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customHeight="1" x14ac:dyDescent="0.25">
      <c r="A207" s="54" t="s">
        <v>338</v>
      </c>
      <c r="B207" s="54" t="s">
        <v>339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66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30</v>
      </c>
      <c r="O208" s="4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66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342</v>
      </c>
      <c r="B209" s="54" t="s">
        <v>343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64</v>
      </c>
      <c r="L209" s="33" t="s">
        <v>65</v>
      </c>
      <c r="M209" s="33"/>
      <c r="N209" s="32">
        <v>40</v>
      </c>
      <c r="O209" s="670" t="s">
        <v>344</v>
      </c>
      <c r="P209" s="410"/>
      <c r="Q209" s="410"/>
      <c r="R209" s="410"/>
      <c r="S209" s="408"/>
      <c r="T209" s="34"/>
      <c r="U209" s="34"/>
      <c r="V209" s="35" t="s">
        <v>66</v>
      </c>
      <c r="W209" s="403">
        <v>60</v>
      </c>
      <c r="X209" s="404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ht="16.5" customHeight="1" x14ac:dyDescent="0.25">
      <c r="A210" s="54" t="s">
        <v>345</v>
      </c>
      <c r="B210" s="54" t="s">
        <v>346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64</v>
      </c>
      <c r="L210" s="33" t="s">
        <v>129</v>
      </c>
      <c r="M210" s="33"/>
      <c r="N210" s="32">
        <v>40</v>
      </c>
      <c r="O210" s="648" t="s">
        <v>347</v>
      </c>
      <c r="P210" s="410"/>
      <c r="Q210" s="410"/>
      <c r="R210" s="410"/>
      <c r="S210" s="408"/>
      <c r="T210" s="34"/>
      <c r="U210" s="34"/>
      <c r="V210" s="35" t="s">
        <v>66</v>
      </c>
      <c r="W210" s="403">
        <v>56</v>
      </c>
      <c r="X210" s="404">
        <f>IFERROR(IF(W210="",0,CEILING((W210/$H210),1)*$H210),"")</f>
        <v>57.599999999999994</v>
      </c>
      <c r="Y210" s="36">
        <f>IFERROR(IF(X210=0,"",ROUNDUP(X210/H210,0)*0.00753),"")</f>
        <v>0.18071999999999999</v>
      </c>
      <c r="Z210" s="56"/>
      <c r="AA210" s="57"/>
      <c r="AE210" s="64"/>
      <c r="BB210" s="187" t="s">
        <v>1</v>
      </c>
      <c r="BL210" s="64">
        <f>IFERROR(W210*I210/H210,"0")</f>
        <v>62.346666666666671</v>
      </c>
      <c r="BM210" s="64">
        <f>IFERROR(X210*I210/H210,"0")</f>
        <v>64.128</v>
      </c>
      <c r="BN210" s="64">
        <f>IFERROR(1/J210*(W210/H210),"0")</f>
        <v>0.1495726495726496</v>
      </c>
      <c r="BO210" s="64">
        <f>IFERROR(1/J210*(X210/H210),"0")</f>
        <v>0.15384615384615385</v>
      </c>
    </row>
    <row r="211" spans="1:67" x14ac:dyDescent="0.2">
      <c r="A211" s="41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41" t="s">
        <v>70</v>
      </c>
      <c r="P211" s="442"/>
      <c r="Q211" s="442"/>
      <c r="R211" s="442"/>
      <c r="S211" s="442"/>
      <c r="T211" s="442"/>
      <c r="U211" s="443"/>
      <c r="V211" s="37" t="s">
        <v>71</v>
      </c>
      <c r="W211" s="405">
        <f>IFERROR(W207/H207,"0")+IFERROR(W208/H208,"0")+IFERROR(W209/H209,"0")+IFERROR(W210/H210,"0")</f>
        <v>48.333333333333336</v>
      </c>
      <c r="X211" s="405">
        <f>IFERROR(X207/H207,"0")+IFERROR(X208/H208,"0")+IFERROR(X209/H209,"0")+IFERROR(X210/H210,"0")</f>
        <v>49</v>
      </c>
      <c r="Y211" s="405">
        <f>IFERROR(IF(Y207="",0,Y207),"0")+IFERROR(IF(Y208="",0,Y208),"0")+IFERROR(IF(Y209="",0,Y209),"0")+IFERROR(IF(Y210="",0,Y210),"0")</f>
        <v>0.36897000000000002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5"/>
      <c r="O212" s="441" t="s">
        <v>70</v>
      </c>
      <c r="P212" s="442"/>
      <c r="Q212" s="442"/>
      <c r="R212" s="442"/>
      <c r="S212" s="442"/>
      <c r="T212" s="442"/>
      <c r="U212" s="443"/>
      <c r="V212" s="37" t="s">
        <v>66</v>
      </c>
      <c r="W212" s="405">
        <f>IFERROR(SUM(W207:W210),"0")</f>
        <v>116</v>
      </c>
      <c r="X212" s="405">
        <f>IFERROR(SUM(X207:X210),"0")</f>
        <v>117.6</v>
      </c>
      <c r="Y212" s="37"/>
      <c r="Z212" s="406"/>
      <c r="AA212" s="406"/>
    </row>
    <row r="213" spans="1:67" ht="16.5" customHeight="1" x14ac:dyDescent="0.25">
      <c r="A213" s="411" t="s">
        <v>348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customHeight="1" x14ac:dyDescent="0.25">
      <c r="A214" s="420" t="s">
        <v>114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customHeight="1" x14ac:dyDescent="0.25">
      <c r="A215" s="54" t="s">
        <v>349</v>
      </c>
      <c r="B215" s="54" t="s">
        <v>350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66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109</v>
      </c>
      <c r="L216" s="33" t="s">
        <v>110</v>
      </c>
      <c r="M216" s="33"/>
      <c r="N216" s="32">
        <v>55</v>
      </c>
      <c r="O216" s="6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66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353</v>
      </c>
      <c r="B217" s="54" t="s">
        <v>354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109</v>
      </c>
      <c r="L217" s="33" t="s">
        <v>129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66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355</v>
      </c>
      <c r="B218" s="54" t="s">
        <v>356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66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66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359</v>
      </c>
      <c r="B220" s="54" t="s">
        <v>360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64</v>
      </c>
      <c r="L220" s="33" t="s">
        <v>110</v>
      </c>
      <c r="M220" s="33"/>
      <c r="N220" s="32">
        <v>55</v>
      </c>
      <c r="O220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66</v>
      </c>
      <c r="W220" s="403">
        <v>24</v>
      </c>
      <c r="X220" s="404">
        <f t="shared" si="44"/>
        <v>24</v>
      </c>
      <c r="Y220" s="36">
        <f>IFERROR(IF(X220=0,"",ROUNDUP(X220/H220,0)*0.00937),"")</f>
        <v>5.6219999999999999E-2</v>
      </c>
      <c r="Z220" s="56"/>
      <c r="AA220" s="57"/>
      <c r="AE220" s="64"/>
      <c r="BB220" s="193" t="s">
        <v>1</v>
      </c>
      <c r="BL220" s="64">
        <f t="shared" si="45"/>
        <v>25.44</v>
      </c>
      <c r="BM220" s="64">
        <f t="shared" si="46"/>
        <v>25.44</v>
      </c>
      <c r="BN220" s="64">
        <f t="shared" si="47"/>
        <v>0.05</v>
      </c>
      <c r="BO220" s="64">
        <f t="shared" si="48"/>
        <v>0.05</v>
      </c>
    </row>
    <row r="221" spans="1:67" ht="27" customHeight="1" x14ac:dyDescent="0.25">
      <c r="A221" s="54" t="s">
        <v>361</v>
      </c>
      <c r="B221" s="54" t="s">
        <v>362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109</v>
      </c>
      <c r="L221" s="33" t="s">
        <v>110</v>
      </c>
      <c r="M221" s="33"/>
      <c r="N221" s="32">
        <v>55</v>
      </c>
      <c r="O221" s="5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66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1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41" t="s">
        <v>70</v>
      </c>
      <c r="P222" s="442"/>
      <c r="Q222" s="442"/>
      <c r="R222" s="442"/>
      <c r="S222" s="442"/>
      <c r="T222" s="442"/>
      <c r="U222" s="443"/>
      <c r="V222" s="37" t="s">
        <v>71</v>
      </c>
      <c r="W222" s="405">
        <f>IFERROR(W215/H215,"0")+IFERROR(W216/H216,"0")+IFERROR(W217/H217,"0")+IFERROR(W218/H218,"0")+IFERROR(W219/H219,"0")+IFERROR(W220/H220,"0")+IFERROR(W221/H221,"0")</f>
        <v>6</v>
      </c>
      <c r="X222" s="405">
        <f>IFERROR(X215/H215,"0")+IFERROR(X216/H216,"0")+IFERROR(X217/H217,"0")+IFERROR(X218/H218,"0")+IFERROR(X219/H219,"0")+IFERROR(X220/H220,"0")+IFERROR(X221/H221,"0")</f>
        <v>6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5.6219999999999999E-2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5"/>
      <c r="O223" s="441" t="s">
        <v>70</v>
      </c>
      <c r="P223" s="442"/>
      <c r="Q223" s="442"/>
      <c r="R223" s="442"/>
      <c r="S223" s="442"/>
      <c r="T223" s="442"/>
      <c r="U223" s="443"/>
      <c r="V223" s="37" t="s">
        <v>66</v>
      </c>
      <c r="W223" s="405">
        <f>IFERROR(SUM(W215:W221),"0")</f>
        <v>24</v>
      </c>
      <c r="X223" s="405">
        <f>IFERROR(SUM(X215:X221),"0")</f>
        <v>24</v>
      </c>
      <c r="Y223" s="37"/>
      <c r="Z223" s="406"/>
      <c r="AA223" s="406"/>
    </row>
    <row r="224" spans="1:67" ht="14.25" customHeight="1" x14ac:dyDescent="0.25">
      <c r="A224" s="420" t="s">
        <v>61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customHeight="1" x14ac:dyDescent="0.25">
      <c r="A225" s="54" t="s">
        <v>363</v>
      </c>
      <c r="B225" s="54" t="s">
        <v>364</v>
      </c>
      <c r="C225" s="31">
        <v>4301031305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21" t="s">
        <v>365</v>
      </c>
      <c r="P225" s="410"/>
      <c r="Q225" s="410"/>
      <c r="R225" s="410"/>
      <c r="S225" s="408"/>
      <c r="T225" s="34" t="s">
        <v>83</v>
      </c>
      <c r="U225" s="34"/>
      <c r="V225" s="35" t="s">
        <v>66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366</v>
      </c>
      <c r="C226" s="31">
        <v>4301031151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10"/>
      <c r="Q226" s="410"/>
      <c r="R226" s="410"/>
      <c r="S226" s="408"/>
      <c r="T226" s="34"/>
      <c r="U226" s="34"/>
      <c r="V226" s="35" t="s">
        <v>66</v>
      </c>
      <c r="W226" s="403">
        <v>105</v>
      </c>
      <c r="X226" s="404">
        <f>IFERROR(IF(W226="",0,CEILING((W226/$H226),1)*$H226),"")</f>
        <v>105</v>
      </c>
      <c r="Y226" s="36">
        <f>IFERROR(IF(X226=0,"",ROUNDUP(X226/H226,0)*0.00502),"")</f>
        <v>0.251</v>
      </c>
      <c r="Z226" s="56"/>
      <c r="AA226" s="57"/>
      <c r="AE226" s="64"/>
      <c r="BB226" s="196" t="s">
        <v>1</v>
      </c>
      <c r="BL226" s="64">
        <f>IFERROR(W226*I226/H226,"0")</f>
        <v>110.00000000000001</v>
      </c>
      <c r="BM226" s="64">
        <f>IFERROR(X226*I226/H226,"0")</f>
        <v>110.00000000000001</v>
      </c>
      <c r="BN226" s="64">
        <f>IFERROR(1/J226*(W226/H226),"0")</f>
        <v>0.21367521367521369</v>
      </c>
      <c r="BO226" s="64">
        <f>IFERROR(1/J226*(X226/H226),"0")</f>
        <v>0.21367521367521369</v>
      </c>
    </row>
    <row r="227" spans="1:67" ht="27" customHeight="1" x14ac:dyDescent="0.25">
      <c r="A227" s="54" t="s">
        <v>367</v>
      </c>
      <c r="B227" s="54" t="s">
        <v>368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66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1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41" t="s">
        <v>70</v>
      </c>
      <c r="P228" s="442"/>
      <c r="Q228" s="442"/>
      <c r="R228" s="442"/>
      <c r="S228" s="442"/>
      <c r="T228" s="442"/>
      <c r="U228" s="443"/>
      <c r="V228" s="37" t="s">
        <v>71</v>
      </c>
      <c r="W228" s="405">
        <f>IFERROR(W225/H225,"0")+IFERROR(W226/H226,"0")+IFERROR(W227/H227,"0")</f>
        <v>50</v>
      </c>
      <c r="X228" s="405">
        <f>IFERROR(X225/H225,"0")+IFERROR(X226/H226,"0")+IFERROR(X227/H227,"0")</f>
        <v>50</v>
      </c>
      <c r="Y228" s="405">
        <f>IFERROR(IF(Y225="",0,Y225),"0")+IFERROR(IF(Y226="",0,Y226),"0")+IFERROR(IF(Y227="",0,Y227),"0")</f>
        <v>0.251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5"/>
      <c r="O229" s="441" t="s">
        <v>70</v>
      </c>
      <c r="P229" s="442"/>
      <c r="Q229" s="442"/>
      <c r="R229" s="442"/>
      <c r="S229" s="442"/>
      <c r="T229" s="442"/>
      <c r="U229" s="443"/>
      <c r="V229" s="37" t="s">
        <v>66</v>
      </c>
      <c r="W229" s="405">
        <f>IFERROR(SUM(W225:W227),"0")</f>
        <v>105</v>
      </c>
      <c r="X229" s="405">
        <f>IFERROR(SUM(X225:X227),"0")</f>
        <v>105</v>
      </c>
      <c r="Y229" s="37"/>
      <c r="Z229" s="406"/>
      <c r="AA229" s="406"/>
    </row>
    <row r="230" spans="1:67" ht="16.5" customHeight="1" x14ac:dyDescent="0.25">
      <c r="A230" s="411" t="s">
        <v>369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customHeight="1" x14ac:dyDescent="0.25">
      <c r="A231" s="420" t="s">
        <v>114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370</v>
      </c>
      <c r="B232" s="54" t="s">
        <v>371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66</v>
      </c>
      <c r="W232" s="403">
        <v>50</v>
      </c>
      <c r="X232" s="404">
        <f t="shared" ref="X232:X237" si="49">IFERROR(IF(W232="",0,CEILING((W232/$H232),1)*$H232),"")</f>
        <v>58</v>
      </c>
      <c r="Y232" s="36">
        <f>IFERROR(IF(X232=0,"",ROUNDUP(X232/H232,0)*0.02175),"")</f>
        <v>0.10874999999999999</v>
      </c>
      <c r="Z232" s="56"/>
      <c r="AA232" s="57"/>
      <c r="AE232" s="64"/>
      <c r="BB232" s="198" t="s">
        <v>1</v>
      </c>
      <c r="BL232" s="64">
        <f t="shared" ref="BL232:BL237" si="50">IFERROR(W232*I232/H232,"0")</f>
        <v>52.068965517241381</v>
      </c>
      <c r="BM232" s="64">
        <f t="shared" ref="BM232:BM237" si="51">IFERROR(X232*I232/H232,"0")</f>
        <v>60.4</v>
      </c>
      <c r="BN232" s="64">
        <f t="shared" ref="BN232:BN237" si="52">IFERROR(1/J232*(W232/H232),"0")</f>
        <v>7.6970443349753698E-2</v>
      </c>
      <c r="BO232" s="64">
        <f t="shared" ref="BO232:BO237" si="53">IFERROR(1/J232*(X232/H232),"0")</f>
        <v>8.9285714285714274E-2</v>
      </c>
    </row>
    <row r="233" spans="1:67" ht="27" customHeight="1" x14ac:dyDescent="0.25">
      <c r="A233" s="54" t="s">
        <v>372</v>
      </c>
      <c r="B233" s="54" t="s">
        <v>373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66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109</v>
      </c>
      <c r="L234" s="33" t="s">
        <v>110</v>
      </c>
      <c r="M234" s="33"/>
      <c r="N234" s="32">
        <v>55</v>
      </c>
      <c r="O234" s="5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66</v>
      </c>
      <c r="W234" s="403">
        <v>160</v>
      </c>
      <c r="X234" s="404">
        <f t="shared" si="49"/>
        <v>162.4</v>
      </c>
      <c r="Y234" s="36">
        <f>IFERROR(IF(X234=0,"",ROUNDUP(X234/H234,0)*0.02175),"")</f>
        <v>0.30449999999999999</v>
      </c>
      <c r="Z234" s="56"/>
      <c r="AA234" s="57"/>
      <c r="AE234" s="64"/>
      <c r="BB234" s="200" t="s">
        <v>1</v>
      </c>
      <c r="BL234" s="64">
        <f t="shared" si="50"/>
        <v>166.62068965517241</v>
      </c>
      <c r="BM234" s="64">
        <f t="shared" si="51"/>
        <v>169.12</v>
      </c>
      <c r="BN234" s="64">
        <f t="shared" si="52"/>
        <v>0.24630541871921183</v>
      </c>
      <c r="BO234" s="64">
        <f t="shared" si="53"/>
        <v>0.25</v>
      </c>
    </row>
    <row r="235" spans="1:67" ht="27" customHeight="1" x14ac:dyDescent="0.25">
      <c r="A235" s="54" t="s">
        <v>376</v>
      </c>
      <c r="B235" s="54" t="s">
        <v>377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66</v>
      </c>
      <c r="W235" s="403">
        <v>40</v>
      </c>
      <c r="X235" s="404">
        <f t="shared" si="49"/>
        <v>40</v>
      </c>
      <c r="Y235" s="36">
        <f>IFERROR(IF(X235=0,"",ROUNDUP(X235/H235,0)*0.00937),"")</f>
        <v>9.3700000000000006E-2</v>
      </c>
      <c r="Z235" s="56"/>
      <c r="AA235" s="57"/>
      <c r="AE235" s="64"/>
      <c r="BB235" s="201" t="s">
        <v>1</v>
      </c>
      <c r="BL235" s="64">
        <f t="shared" si="50"/>
        <v>42.400000000000006</v>
      </c>
      <c r="BM235" s="64">
        <f t="shared" si="51"/>
        <v>42.400000000000006</v>
      </c>
      <c r="BN235" s="64">
        <f t="shared" si="52"/>
        <v>8.3333333333333329E-2</v>
      </c>
      <c r="BO235" s="64">
        <f t="shared" si="53"/>
        <v>8.3333333333333329E-2</v>
      </c>
    </row>
    <row r="236" spans="1:67" ht="27" customHeight="1" x14ac:dyDescent="0.25">
      <c r="A236" s="54" t="s">
        <v>378</v>
      </c>
      <c r="B236" s="54" t="s">
        <v>379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66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380</v>
      </c>
      <c r="B237" s="54" t="s">
        <v>381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64</v>
      </c>
      <c r="L237" s="33" t="s">
        <v>110</v>
      </c>
      <c r="M237" s="33"/>
      <c r="N237" s="32">
        <v>55</v>
      </c>
      <c r="O237" s="5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66</v>
      </c>
      <c r="W237" s="403">
        <v>32</v>
      </c>
      <c r="X237" s="404">
        <f t="shared" si="49"/>
        <v>32</v>
      </c>
      <c r="Y237" s="36">
        <f>IFERROR(IF(X237=0,"",ROUNDUP(X237/H237,0)*0.00937),"")</f>
        <v>7.4959999999999999E-2</v>
      </c>
      <c r="Z237" s="56"/>
      <c r="AA237" s="57"/>
      <c r="AE237" s="64"/>
      <c r="BB237" s="203" t="s">
        <v>1</v>
      </c>
      <c r="BL237" s="64">
        <f t="shared" si="50"/>
        <v>33.92</v>
      </c>
      <c r="BM237" s="64">
        <f t="shared" si="51"/>
        <v>33.92</v>
      </c>
      <c r="BN237" s="64">
        <f t="shared" si="52"/>
        <v>6.6666666666666666E-2</v>
      </c>
      <c r="BO237" s="64">
        <f t="shared" si="53"/>
        <v>6.6666666666666666E-2</v>
      </c>
    </row>
    <row r="238" spans="1:67" x14ac:dyDescent="0.2">
      <c r="A238" s="41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41" t="s">
        <v>70</v>
      </c>
      <c r="P238" s="442"/>
      <c r="Q238" s="442"/>
      <c r="R238" s="442"/>
      <c r="S238" s="442"/>
      <c r="T238" s="442"/>
      <c r="U238" s="443"/>
      <c r="V238" s="37" t="s">
        <v>71</v>
      </c>
      <c r="W238" s="405">
        <f>IFERROR(W232/H232,"0")+IFERROR(W233/H233,"0")+IFERROR(W234/H234,"0")+IFERROR(W235/H235,"0")+IFERROR(W236/H236,"0")+IFERROR(W237/H237,"0")</f>
        <v>36.103448275862071</v>
      </c>
      <c r="X238" s="405">
        <f>IFERROR(X232/H232,"0")+IFERROR(X233/H233,"0")+IFERROR(X234/H234,"0")+IFERROR(X235/H235,"0")+IFERROR(X236/H236,"0")+IFERROR(X237/H237,"0")</f>
        <v>37</v>
      </c>
      <c r="Y238" s="405">
        <f>IFERROR(IF(Y232="",0,Y232),"0")+IFERROR(IF(Y233="",0,Y233),"0")+IFERROR(IF(Y234="",0,Y234),"0")+IFERROR(IF(Y235="",0,Y235),"0")+IFERROR(IF(Y236="",0,Y236),"0")+IFERROR(IF(Y237="",0,Y237),"0")</f>
        <v>0.58191000000000004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5"/>
      <c r="O239" s="441" t="s">
        <v>70</v>
      </c>
      <c r="P239" s="442"/>
      <c r="Q239" s="442"/>
      <c r="R239" s="442"/>
      <c r="S239" s="442"/>
      <c r="T239" s="442"/>
      <c r="U239" s="443"/>
      <c r="V239" s="37" t="s">
        <v>66</v>
      </c>
      <c r="W239" s="405">
        <f>IFERROR(SUM(W232:W237),"0")</f>
        <v>282</v>
      </c>
      <c r="X239" s="405">
        <f>IFERROR(SUM(X232:X237),"0")</f>
        <v>292.39999999999998</v>
      </c>
      <c r="Y239" s="37"/>
      <c r="Z239" s="406"/>
      <c r="AA239" s="406"/>
    </row>
    <row r="240" spans="1:67" ht="16.5" customHeight="1" x14ac:dyDescent="0.25">
      <c r="A240" s="411" t="s">
        <v>382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customHeight="1" x14ac:dyDescent="0.25">
      <c r="A241" s="420" t="s">
        <v>114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383</v>
      </c>
      <c r="B242" s="54" t="s">
        <v>384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5" t="s">
        <v>385</v>
      </c>
      <c r="P242" s="410"/>
      <c r="Q242" s="410"/>
      <c r="R242" s="410"/>
      <c r="S242" s="408"/>
      <c r="T242" s="34"/>
      <c r="U242" s="34"/>
      <c r="V242" s="35" t="s">
        <v>66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189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customHeight="1" x14ac:dyDescent="0.25">
      <c r="A243" s="54" t="s">
        <v>386</v>
      </c>
      <c r="B243" s="54" t="s">
        <v>387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109</v>
      </c>
      <c r="L243" s="33" t="s">
        <v>129</v>
      </c>
      <c r="M243" s="33"/>
      <c r="N243" s="32">
        <v>55</v>
      </c>
      <c r="O243" s="756" t="s">
        <v>388</v>
      </c>
      <c r="P243" s="410"/>
      <c r="Q243" s="410"/>
      <c r="R243" s="410"/>
      <c r="S243" s="408"/>
      <c r="T243" s="34"/>
      <c r="U243" s="34"/>
      <c r="V243" s="35" t="s">
        <v>66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189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389</v>
      </c>
      <c r="B244" s="54" t="s">
        <v>390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109</v>
      </c>
      <c r="L244" s="33" t="s">
        <v>110</v>
      </c>
      <c r="M244" s="33"/>
      <c r="N244" s="32">
        <v>55</v>
      </c>
      <c r="O244" s="537" t="s">
        <v>391</v>
      </c>
      <c r="P244" s="410"/>
      <c r="Q244" s="410"/>
      <c r="R244" s="410"/>
      <c r="S244" s="408"/>
      <c r="T244" s="34"/>
      <c r="U244" s="34"/>
      <c r="V244" s="35" t="s">
        <v>66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189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392</v>
      </c>
      <c r="B245" s="54" t="s">
        <v>393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109</v>
      </c>
      <c r="L245" s="33" t="s">
        <v>110</v>
      </c>
      <c r="M245" s="33"/>
      <c r="N245" s="32">
        <v>31</v>
      </c>
      <c r="O245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66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66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66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398</v>
      </c>
      <c r="B248" s="54" t="s">
        <v>399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64</v>
      </c>
      <c r="L248" s="33" t="s">
        <v>110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66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400</v>
      </c>
      <c r="B249" s="54" t="s">
        <v>401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64</v>
      </c>
      <c r="L249" s="33" t="s">
        <v>110</v>
      </c>
      <c r="M249" s="33"/>
      <c r="N249" s="32">
        <v>90</v>
      </c>
      <c r="O249" s="7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66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402</v>
      </c>
      <c r="B250" s="54" t="s">
        <v>403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66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404</v>
      </c>
      <c r="B251" s="54" t="s">
        <v>405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64</v>
      </c>
      <c r="L251" s="33" t="s">
        <v>110</v>
      </c>
      <c r="M251" s="33"/>
      <c r="N251" s="32">
        <v>55</v>
      </c>
      <c r="O251" s="7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66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1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41" t="s">
        <v>70</v>
      </c>
      <c r="P252" s="442"/>
      <c r="Q252" s="442"/>
      <c r="R252" s="442"/>
      <c r="S252" s="442"/>
      <c r="T252" s="442"/>
      <c r="U252" s="443"/>
      <c r="V252" s="37" t="s">
        <v>71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5"/>
      <c r="O253" s="441" t="s">
        <v>70</v>
      </c>
      <c r="P253" s="442"/>
      <c r="Q253" s="442"/>
      <c r="R253" s="442"/>
      <c r="S253" s="442"/>
      <c r="T253" s="442"/>
      <c r="U253" s="443"/>
      <c r="V253" s="37" t="s">
        <v>66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customHeight="1" x14ac:dyDescent="0.25">
      <c r="A254" s="420" t="s">
        <v>61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customHeight="1" x14ac:dyDescent="0.25">
      <c r="A255" s="54" t="s">
        <v>406</v>
      </c>
      <c r="B255" s="54" t="s">
        <v>407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66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408</v>
      </c>
      <c r="B256" s="54" t="s">
        <v>409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66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410</v>
      </c>
      <c r="B257" s="54" t="s">
        <v>411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66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412</v>
      </c>
      <c r="B258" s="54" t="s">
        <v>413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66</v>
      </c>
      <c r="W258" s="403">
        <v>19.600000000000001</v>
      </c>
      <c r="X258" s="404">
        <f>IFERROR(IF(W258="",0,CEILING((W258/$H258),1)*$H258),"")</f>
        <v>20.16</v>
      </c>
      <c r="Y258" s="36">
        <f>IFERROR(IF(X258=0,"",ROUNDUP(X258/H258,0)*0.00502),"")</f>
        <v>6.0240000000000002E-2</v>
      </c>
      <c r="Z258" s="56"/>
      <c r="AA258" s="57"/>
      <c r="AE258" s="64"/>
      <c r="BB258" s="217" t="s">
        <v>1</v>
      </c>
      <c r="BL258" s="64">
        <f>IFERROR(W258*I258/H258,"0")</f>
        <v>20.766666666666669</v>
      </c>
      <c r="BM258" s="64">
        <f>IFERROR(X258*I258/H258,"0")</f>
        <v>21.36</v>
      </c>
      <c r="BN258" s="64">
        <f>IFERROR(1/J258*(W258/H258),"0")</f>
        <v>4.9857549857549865E-2</v>
      </c>
      <c r="BO258" s="64">
        <f>IFERROR(1/J258*(X258/H258),"0")</f>
        <v>5.1282051282051287E-2</v>
      </c>
    </row>
    <row r="259" spans="1:67" x14ac:dyDescent="0.2">
      <c r="A259" s="41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41" t="s">
        <v>70</v>
      </c>
      <c r="P259" s="442"/>
      <c r="Q259" s="442"/>
      <c r="R259" s="442"/>
      <c r="S259" s="442"/>
      <c r="T259" s="442"/>
      <c r="U259" s="443"/>
      <c r="V259" s="37" t="s">
        <v>71</v>
      </c>
      <c r="W259" s="405">
        <f>IFERROR(W255/H255,"0")+IFERROR(W256/H256,"0")+IFERROR(W257/H257,"0")+IFERROR(W258/H258,"0")</f>
        <v>11.666666666666668</v>
      </c>
      <c r="X259" s="405">
        <f>IFERROR(X255/H255,"0")+IFERROR(X256/H256,"0")+IFERROR(X257/H257,"0")+IFERROR(X258/H258,"0")</f>
        <v>12</v>
      </c>
      <c r="Y259" s="405">
        <f>IFERROR(IF(Y255="",0,Y255),"0")+IFERROR(IF(Y256="",0,Y256),"0")+IFERROR(IF(Y257="",0,Y257),"0")+IFERROR(IF(Y258="",0,Y258),"0")</f>
        <v>6.0240000000000002E-2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5"/>
      <c r="O260" s="441" t="s">
        <v>70</v>
      </c>
      <c r="P260" s="442"/>
      <c r="Q260" s="442"/>
      <c r="R260" s="442"/>
      <c r="S260" s="442"/>
      <c r="T260" s="442"/>
      <c r="U260" s="443"/>
      <c r="V260" s="37" t="s">
        <v>66</v>
      </c>
      <c r="W260" s="405">
        <f>IFERROR(SUM(W255:W258),"0")</f>
        <v>19.600000000000001</v>
      </c>
      <c r="X260" s="405">
        <f>IFERROR(SUM(X255:X258),"0")</f>
        <v>20.16</v>
      </c>
      <c r="Y260" s="37"/>
      <c r="Z260" s="406"/>
      <c r="AA260" s="406"/>
    </row>
    <row r="261" spans="1:67" ht="14.25" customHeight="1" x14ac:dyDescent="0.25">
      <c r="A261" s="420" t="s">
        <v>72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414</v>
      </c>
      <c r="B262" s="54" t="s">
        <v>415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109</v>
      </c>
      <c r="L262" s="33" t="s">
        <v>129</v>
      </c>
      <c r="M262" s="33"/>
      <c r="N262" s="32">
        <v>40</v>
      </c>
      <c r="O262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66</v>
      </c>
      <c r="W262" s="403">
        <v>0</v>
      </c>
      <c r="X262" s="404">
        <f t="shared" ref="X262:X271" si="60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1" si="61">IFERROR(W262*I262/H262,"0")</f>
        <v>0</v>
      </c>
      <c r="BM262" s="64">
        <f t="shared" ref="BM262:BM271" si="62">IFERROR(X262*I262/H262,"0")</f>
        <v>0</v>
      </c>
      <c r="BN262" s="64">
        <f t="shared" ref="BN262:BN271" si="63">IFERROR(1/J262*(W262/H262),"0")</f>
        <v>0</v>
      </c>
      <c r="BO262" s="64">
        <f t="shared" ref="BO262:BO271" si="64">IFERROR(1/J262*(X262/H262),"0")</f>
        <v>0</v>
      </c>
    </row>
    <row r="263" spans="1:67" ht="27" customHeight="1" x14ac:dyDescent="0.25">
      <c r="A263" s="54" t="s">
        <v>416</v>
      </c>
      <c r="B263" s="54" t="s">
        <v>417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66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418</v>
      </c>
      <c r="B264" s="54" t="s">
        <v>419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109</v>
      </c>
      <c r="L264" s="33" t="s">
        <v>65</v>
      </c>
      <c r="M264" s="33"/>
      <c r="N264" s="32">
        <v>40</v>
      </c>
      <c r="O264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66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customHeight="1" x14ac:dyDescent="0.25">
      <c r="A265" s="54" t="s">
        <v>420</v>
      </c>
      <c r="B265" s="54" t="s">
        <v>421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66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422</v>
      </c>
      <c r="B266" s="54" t="s">
        <v>423</v>
      </c>
      <c r="C266" s="31">
        <v>4301051705</v>
      </c>
      <c r="D266" s="407">
        <v>4680115884588</v>
      </c>
      <c r="E266" s="408"/>
      <c r="F266" s="402">
        <v>0.5</v>
      </c>
      <c r="G266" s="32">
        <v>6</v>
      </c>
      <c r="H266" s="402">
        <v>3</v>
      </c>
      <c r="I266" s="402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10"/>
      <c r="Q266" s="410"/>
      <c r="R266" s="410"/>
      <c r="S266" s="408"/>
      <c r="T266" s="34"/>
      <c r="U266" s="34"/>
      <c r="V266" s="35" t="s">
        <v>66</v>
      </c>
      <c r="W266" s="403">
        <v>0</v>
      </c>
      <c r="X266" s="404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424</v>
      </c>
      <c r="B267" s="54" t="s">
        <v>425</v>
      </c>
      <c r="C267" s="31">
        <v>4301051134</v>
      </c>
      <c r="D267" s="407">
        <v>4607091381672</v>
      </c>
      <c r="E267" s="408"/>
      <c r="F267" s="402">
        <v>0.6</v>
      </c>
      <c r="G267" s="32">
        <v>6</v>
      </c>
      <c r="H267" s="402">
        <v>3.6</v>
      </c>
      <c r="I267" s="402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0"/>
      <c r="Q267" s="410"/>
      <c r="R267" s="410"/>
      <c r="S267" s="408"/>
      <c r="T267" s="34"/>
      <c r="U267" s="34"/>
      <c r="V267" s="35" t="s">
        <v>66</v>
      </c>
      <c r="W267" s="403">
        <v>0</v>
      </c>
      <c r="X267" s="404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426</v>
      </c>
      <c r="B268" s="54" t="s">
        <v>427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66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428</v>
      </c>
      <c r="B269" s="54" t="s">
        <v>429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66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64</v>
      </c>
      <c r="L270" s="33" t="s">
        <v>129</v>
      </c>
      <c r="M270" s="33"/>
      <c r="N270" s="32">
        <v>40</v>
      </c>
      <c r="O270" s="4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66</v>
      </c>
      <c r="W270" s="403">
        <v>66</v>
      </c>
      <c r="X270" s="404">
        <f t="shared" si="60"/>
        <v>67.319999999999993</v>
      </c>
      <c r="Y270" s="36">
        <f>IFERROR(IF(X270=0,"",ROUNDUP(X270/H270,0)*0.00753),"")</f>
        <v>0.25602000000000003</v>
      </c>
      <c r="Z270" s="56"/>
      <c r="AA270" s="57"/>
      <c r="AE270" s="64"/>
      <c r="BB270" s="226" t="s">
        <v>1</v>
      </c>
      <c r="BL270" s="64">
        <f t="shared" si="61"/>
        <v>72.666666666666686</v>
      </c>
      <c r="BM270" s="64">
        <f t="shared" si="62"/>
        <v>74.12</v>
      </c>
      <c r="BN270" s="64">
        <f t="shared" si="63"/>
        <v>0.21367521367521369</v>
      </c>
      <c r="BO270" s="64">
        <f t="shared" si="64"/>
        <v>0.21794871794871795</v>
      </c>
    </row>
    <row r="271" spans="1:67" ht="27" customHeight="1" x14ac:dyDescent="0.25">
      <c r="A271" s="54" t="s">
        <v>432</v>
      </c>
      <c r="B271" s="54" t="s">
        <v>433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64</v>
      </c>
      <c r="L271" s="33" t="s">
        <v>129</v>
      </c>
      <c r="M271" s="33"/>
      <c r="N271" s="32">
        <v>45</v>
      </c>
      <c r="O271" s="4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66</v>
      </c>
      <c r="W271" s="403">
        <v>49.5</v>
      </c>
      <c r="X271" s="404">
        <f t="shared" si="60"/>
        <v>49.5</v>
      </c>
      <c r="Y271" s="36">
        <f>IFERROR(IF(X271=0,"",ROUNDUP(X271/H271,0)*0.00753),"")</f>
        <v>0.18825</v>
      </c>
      <c r="Z271" s="56"/>
      <c r="AA271" s="57"/>
      <c r="AE271" s="64"/>
      <c r="BB271" s="227" t="s">
        <v>1</v>
      </c>
      <c r="BL271" s="64">
        <f t="shared" si="61"/>
        <v>56.150000000000006</v>
      </c>
      <c r="BM271" s="64">
        <f t="shared" si="62"/>
        <v>56.150000000000006</v>
      </c>
      <c r="BN271" s="64">
        <f t="shared" si="63"/>
        <v>0.16025641025641024</v>
      </c>
      <c r="BO271" s="64">
        <f t="shared" si="64"/>
        <v>0.16025641025641024</v>
      </c>
    </row>
    <row r="272" spans="1:67" x14ac:dyDescent="0.2">
      <c r="A272" s="41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41" t="s">
        <v>70</v>
      </c>
      <c r="P272" s="442"/>
      <c r="Q272" s="442"/>
      <c r="R272" s="442"/>
      <c r="S272" s="442"/>
      <c r="T272" s="442"/>
      <c r="U272" s="443"/>
      <c r="V272" s="37" t="s">
        <v>71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58.333333333333336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59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0.44427000000000005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5"/>
      <c r="O273" s="441" t="s">
        <v>70</v>
      </c>
      <c r="P273" s="442"/>
      <c r="Q273" s="442"/>
      <c r="R273" s="442"/>
      <c r="S273" s="442"/>
      <c r="T273" s="442"/>
      <c r="U273" s="443"/>
      <c r="V273" s="37" t="s">
        <v>66</v>
      </c>
      <c r="W273" s="405">
        <f>IFERROR(SUM(W262:W271),"0")</f>
        <v>115.5</v>
      </c>
      <c r="X273" s="405">
        <f>IFERROR(SUM(X262:X271),"0")</f>
        <v>116.82</v>
      </c>
      <c r="Y273" s="37"/>
      <c r="Z273" s="406"/>
      <c r="AA273" s="406"/>
    </row>
    <row r="274" spans="1:67" ht="14.25" customHeight="1" x14ac:dyDescent="0.25">
      <c r="A274" s="420" t="s">
        <v>219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customHeight="1" x14ac:dyDescent="0.25">
      <c r="A275" s="54" t="s">
        <v>434</v>
      </c>
      <c r="B275" s="54" t="s">
        <v>435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11" t="s">
        <v>436</v>
      </c>
      <c r="P275" s="410"/>
      <c r="Q275" s="410"/>
      <c r="R275" s="410"/>
      <c r="S275" s="408"/>
      <c r="T275" s="34"/>
      <c r="U275" s="34"/>
      <c r="V275" s="35" t="s">
        <v>66</v>
      </c>
      <c r="W275" s="403">
        <v>50</v>
      </c>
      <c r="X275" s="404">
        <f>IFERROR(IF(W275="",0,CEILING((W275/$H275),1)*$H275),"")</f>
        <v>50.400000000000006</v>
      </c>
      <c r="Y275" s="36">
        <f>IFERROR(IF(X275=0,"",ROUNDUP(X275/H275,0)*0.02175),"")</f>
        <v>0.1305</v>
      </c>
      <c r="Z275" s="56"/>
      <c r="AA275" s="57"/>
      <c r="AE275" s="64"/>
      <c r="BB275" s="228" t="s">
        <v>1</v>
      </c>
      <c r="BL275" s="64">
        <f>IFERROR(W275*I275/H275,"0")</f>
        <v>53.357142857142861</v>
      </c>
      <c r="BM275" s="64">
        <f>IFERROR(X275*I275/H275,"0")</f>
        <v>53.784000000000006</v>
      </c>
      <c r="BN275" s="64">
        <f>IFERROR(1/J275*(W275/H275),"0")</f>
        <v>0.10629251700680271</v>
      </c>
      <c r="BO275" s="64">
        <f>IFERROR(1/J275*(X275/H275),"0")</f>
        <v>0.10714285714285714</v>
      </c>
    </row>
    <row r="276" spans="1:67" ht="27" customHeight="1" x14ac:dyDescent="0.25">
      <c r="A276" s="54" t="s">
        <v>437</v>
      </c>
      <c r="B276" s="54" t="s">
        <v>438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66</v>
      </c>
      <c r="W276" s="403">
        <v>200</v>
      </c>
      <c r="X276" s="404">
        <f>IFERROR(IF(W276="",0,CEILING((W276/$H276),1)*$H276),"")</f>
        <v>202.79999999999998</v>
      </c>
      <c r="Y276" s="36">
        <f>IFERROR(IF(X276=0,"",ROUNDUP(X276/H276,0)*0.02175),"")</f>
        <v>0.5655</v>
      </c>
      <c r="Z276" s="56"/>
      <c r="AA276" s="57"/>
      <c r="AE276" s="64"/>
      <c r="BB276" s="229" t="s">
        <v>1</v>
      </c>
      <c r="BL276" s="64">
        <f>IFERROR(W276*I276/H276,"0")</f>
        <v>214.46153846153848</v>
      </c>
      <c r="BM276" s="64">
        <f>IFERROR(X276*I276/H276,"0")</f>
        <v>217.464</v>
      </c>
      <c r="BN276" s="64">
        <f>IFERROR(1/J276*(W276/H276),"0")</f>
        <v>0.45787545787545786</v>
      </c>
      <c r="BO276" s="64">
        <f>IFERROR(1/J276*(X276/H276),"0")</f>
        <v>0.46428571428571425</v>
      </c>
    </row>
    <row r="277" spans="1:67" ht="16.5" customHeight="1" x14ac:dyDescent="0.25">
      <c r="A277" s="54" t="s">
        <v>439</v>
      </c>
      <c r="B277" s="54" t="s">
        <v>440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109</v>
      </c>
      <c r="L277" s="33" t="s">
        <v>65</v>
      </c>
      <c r="M277" s="33"/>
      <c r="N277" s="32">
        <v>30</v>
      </c>
      <c r="O277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66</v>
      </c>
      <c r="W277" s="403">
        <v>50</v>
      </c>
      <c r="X277" s="404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64"/>
      <c r="BB277" s="230" t="s">
        <v>1</v>
      </c>
      <c r="BL277" s="64">
        <f>IFERROR(W277*I277/H277,"0")</f>
        <v>53.357142857142861</v>
      </c>
      <c r="BM277" s="64">
        <f>IFERROR(X277*I277/H277,"0")</f>
        <v>53.784000000000006</v>
      </c>
      <c r="BN277" s="64">
        <f>IFERROR(1/J277*(W277/H277),"0")</f>
        <v>0.10629251700680271</v>
      </c>
      <c r="BO277" s="64">
        <f>IFERROR(1/J277*(X277/H277),"0")</f>
        <v>0.10714285714285714</v>
      </c>
    </row>
    <row r="278" spans="1:67" x14ac:dyDescent="0.2">
      <c r="A278" s="41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41" t="s">
        <v>70</v>
      </c>
      <c r="P278" s="442"/>
      <c r="Q278" s="442"/>
      <c r="R278" s="442"/>
      <c r="S278" s="442"/>
      <c r="T278" s="442"/>
      <c r="U278" s="443"/>
      <c r="V278" s="37" t="s">
        <v>71</v>
      </c>
      <c r="W278" s="405">
        <f>IFERROR(W275/H275,"0")+IFERROR(W276/H276,"0")+IFERROR(W277/H277,"0")</f>
        <v>37.545787545787547</v>
      </c>
      <c r="X278" s="405">
        <f>IFERROR(X275/H275,"0")+IFERROR(X276/H276,"0")+IFERROR(X277/H277,"0")</f>
        <v>38</v>
      </c>
      <c r="Y278" s="405">
        <f>IFERROR(IF(Y275="",0,Y275),"0")+IFERROR(IF(Y276="",0,Y276),"0")+IFERROR(IF(Y277="",0,Y277),"0")</f>
        <v>0.82650000000000001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5"/>
      <c r="O279" s="441" t="s">
        <v>70</v>
      </c>
      <c r="P279" s="442"/>
      <c r="Q279" s="442"/>
      <c r="R279" s="442"/>
      <c r="S279" s="442"/>
      <c r="T279" s="442"/>
      <c r="U279" s="443"/>
      <c r="V279" s="37" t="s">
        <v>66</v>
      </c>
      <c r="W279" s="405">
        <f>IFERROR(SUM(W275:W277),"0")</f>
        <v>300</v>
      </c>
      <c r="X279" s="405">
        <f>IFERROR(SUM(X275:X277),"0")</f>
        <v>303.60000000000002</v>
      </c>
      <c r="Y279" s="37"/>
      <c r="Z279" s="406"/>
      <c r="AA279" s="406"/>
    </row>
    <row r="280" spans="1:67" ht="14.25" customHeight="1" x14ac:dyDescent="0.25">
      <c r="A280" s="420" t="s">
        <v>92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441</v>
      </c>
      <c r="B281" s="54" t="s">
        <v>442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50" t="s">
        <v>443</v>
      </c>
      <c r="P281" s="410"/>
      <c r="Q281" s="410"/>
      <c r="R281" s="410"/>
      <c r="S281" s="408"/>
      <c r="T281" s="34"/>
      <c r="U281" s="34"/>
      <c r="V281" s="35" t="s">
        <v>66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444</v>
      </c>
      <c r="B282" s="54" t="s">
        <v>445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2" t="s">
        <v>446</v>
      </c>
      <c r="P282" s="410"/>
      <c r="Q282" s="410"/>
      <c r="R282" s="410"/>
      <c r="S282" s="408"/>
      <c r="T282" s="34"/>
      <c r="U282" s="34"/>
      <c r="V282" s="35" t="s">
        <v>66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447</v>
      </c>
      <c r="B283" s="54" t="s">
        <v>448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64</v>
      </c>
      <c r="L283" s="33" t="s">
        <v>95</v>
      </c>
      <c r="M283" s="33"/>
      <c r="N283" s="32">
        <v>180</v>
      </c>
      <c r="O283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66</v>
      </c>
      <c r="W283" s="403">
        <v>85</v>
      </c>
      <c r="X283" s="404">
        <f>IFERROR(IF(W283="",0,CEILING((W283/$H283),1)*$H283),"")</f>
        <v>86.699999999999989</v>
      </c>
      <c r="Y283" s="36">
        <f>IFERROR(IF(X283=0,"",ROUNDUP(X283/H283,0)*0.00753),"")</f>
        <v>0.25602000000000003</v>
      </c>
      <c r="Z283" s="56"/>
      <c r="AA283" s="57"/>
      <c r="AE283" s="64"/>
      <c r="BB283" s="233" t="s">
        <v>1</v>
      </c>
      <c r="BL283" s="64">
        <f>IFERROR(W283*I283/H283,"0")</f>
        <v>96.666666666666671</v>
      </c>
      <c r="BM283" s="64">
        <f>IFERROR(X283*I283/H283,"0")</f>
        <v>98.6</v>
      </c>
      <c r="BN283" s="64">
        <f>IFERROR(1/J283*(W283/H283),"0")</f>
        <v>0.21367521367521369</v>
      </c>
      <c r="BO283" s="64">
        <f>IFERROR(1/J283*(X283/H283),"0")</f>
        <v>0.21794871794871795</v>
      </c>
    </row>
    <row r="284" spans="1:67" x14ac:dyDescent="0.2">
      <c r="A284" s="41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41" t="s">
        <v>70</v>
      </c>
      <c r="P284" s="442"/>
      <c r="Q284" s="442"/>
      <c r="R284" s="442"/>
      <c r="S284" s="442"/>
      <c r="T284" s="442"/>
      <c r="U284" s="443"/>
      <c r="V284" s="37" t="s">
        <v>71</v>
      </c>
      <c r="W284" s="405">
        <f>IFERROR(W281/H281,"0")+IFERROR(W282/H282,"0")+IFERROR(W283/H283,"0")</f>
        <v>33.333333333333336</v>
      </c>
      <c r="X284" s="405">
        <f>IFERROR(X281/H281,"0")+IFERROR(X282/H282,"0")+IFERROR(X283/H283,"0")</f>
        <v>34</v>
      </c>
      <c r="Y284" s="405">
        <f>IFERROR(IF(Y281="",0,Y281),"0")+IFERROR(IF(Y282="",0,Y282),"0")+IFERROR(IF(Y283="",0,Y283),"0")</f>
        <v>0.25602000000000003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5"/>
      <c r="O285" s="441" t="s">
        <v>70</v>
      </c>
      <c r="P285" s="442"/>
      <c r="Q285" s="442"/>
      <c r="R285" s="442"/>
      <c r="S285" s="442"/>
      <c r="T285" s="442"/>
      <c r="U285" s="443"/>
      <c r="V285" s="37" t="s">
        <v>66</v>
      </c>
      <c r="W285" s="405">
        <f>IFERROR(SUM(W281:W283),"0")</f>
        <v>85</v>
      </c>
      <c r="X285" s="405">
        <f>IFERROR(SUM(X281:X283),"0")</f>
        <v>86.699999999999989</v>
      </c>
      <c r="Y285" s="37"/>
      <c r="Z285" s="406"/>
      <c r="AA285" s="406"/>
    </row>
    <row r="286" spans="1:67" ht="14.25" customHeight="1" x14ac:dyDescent="0.25">
      <c r="A286" s="420" t="s">
        <v>449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customHeight="1" x14ac:dyDescent="0.25">
      <c r="A287" s="54" t="s">
        <v>450</v>
      </c>
      <c r="B287" s="54" t="s">
        <v>451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66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454</v>
      </c>
      <c r="B288" s="54" t="s">
        <v>455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7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66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456</v>
      </c>
      <c r="B289" s="54" t="s">
        <v>457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452</v>
      </c>
      <c r="L289" s="33" t="s">
        <v>453</v>
      </c>
      <c r="M289" s="33"/>
      <c r="N289" s="32">
        <v>730</v>
      </c>
      <c r="O289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66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1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41" t="s">
        <v>70</v>
      </c>
      <c r="P290" s="442"/>
      <c r="Q290" s="442"/>
      <c r="R290" s="442"/>
      <c r="S290" s="442"/>
      <c r="T290" s="442"/>
      <c r="U290" s="443"/>
      <c r="V290" s="37" t="s">
        <v>71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5"/>
      <c r="O291" s="441" t="s">
        <v>70</v>
      </c>
      <c r="P291" s="442"/>
      <c r="Q291" s="442"/>
      <c r="R291" s="442"/>
      <c r="S291" s="442"/>
      <c r="T291" s="442"/>
      <c r="U291" s="443"/>
      <c r="V291" s="37" t="s">
        <v>66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customHeight="1" x14ac:dyDescent="0.25">
      <c r="A292" s="411" t="s">
        <v>458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customHeight="1" x14ac:dyDescent="0.25">
      <c r="A293" s="420" t="s">
        <v>114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customHeight="1" x14ac:dyDescent="0.25">
      <c r="A294" s="54" t="s">
        <v>459</v>
      </c>
      <c r="B294" s="54" t="s">
        <v>460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109</v>
      </c>
      <c r="L294" s="33" t="s">
        <v>110</v>
      </c>
      <c r="M294" s="33"/>
      <c r="N294" s="32">
        <v>55</v>
      </c>
      <c r="O294" s="7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66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customHeight="1" x14ac:dyDescent="0.25">
      <c r="A295" s="54" t="s">
        <v>459</v>
      </c>
      <c r="B295" s="54" t="s">
        <v>461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109</v>
      </c>
      <c r="L295" s="33" t="s">
        <v>118</v>
      </c>
      <c r="M295" s="33"/>
      <c r="N295" s="32">
        <v>55</v>
      </c>
      <c r="O295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66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462</v>
      </c>
      <c r="B296" s="54" t="s">
        <v>463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66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462</v>
      </c>
      <c r="B297" s="54" t="s">
        <v>464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109</v>
      </c>
      <c r="L297" s="33" t="s">
        <v>129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66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465</v>
      </c>
      <c r="B298" s="54" t="s">
        <v>466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109</v>
      </c>
      <c r="L298" s="33" t="s">
        <v>110</v>
      </c>
      <c r="M298" s="33"/>
      <c r="N298" s="32">
        <v>55</v>
      </c>
      <c r="O298" s="7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66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467</v>
      </c>
      <c r="B299" s="54" t="s">
        <v>468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66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469</v>
      </c>
      <c r="B300" s="54" t="s">
        <v>470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64</v>
      </c>
      <c r="L300" s="33" t="s">
        <v>110</v>
      </c>
      <c r="M300" s="33"/>
      <c r="N300" s="32">
        <v>55</v>
      </c>
      <c r="O300" s="5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66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1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41" t="s">
        <v>70</v>
      </c>
      <c r="P301" s="442"/>
      <c r="Q301" s="442"/>
      <c r="R301" s="442"/>
      <c r="S301" s="442"/>
      <c r="T301" s="442"/>
      <c r="U301" s="443"/>
      <c r="V301" s="37" t="s">
        <v>71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5"/>
      <c r="O302" s="441" t="s">
        <v>70</v>
      </c>
      <c r="P302" s="442"/>
      <c r="Q302" s="442"/>
      <c r="R302" s="442"/>
      <c r="S302" s="442"/>
      <c r="T302" s="442"/>
      <c r="U302" s="443"/>
      <c r="V302" s="37" t="s">
        <v>66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customHeight="1" x14ac:dyDescent="0.25">
      <c r="A303" s="420" t="s">
        <v>61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customHeight="1" x14ac:dyDescent="0.25">
      <c r="A304" s="54" t="s">
        <v>471</v>
      </c>
      <c r="B304" s="54" t="s">
        <v>472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66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473</v>
      </c>
      <c r="B305" s="54" t="s">
        <v>474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66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1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41" t="s">
        <v>70</v>
      </c>
      <c r="P306" s="442"/>
      <c r="Q306" s="442"/>
      <c r="R306" s="442"/>
      <c r="S306" s="442"/>
      <c r="T306" s="442"/>
      <c r="U306" s="443"/>
      <c r="V306" s="37" t="s">
        <v>71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5"/>
      <c r="O307" s="441" t="s">
        <v>70</v>
      </c>
      <c r="P307" s="442"/>
      <c r="Q307" s="442"/>
      <c r="R307" s="442"/>
      <c r="S307" s="442"/>
      <c r="T307" s="442"/>
      <c r="U307" s="443"/>
      <c r="V307" s="37" t="s">
        <v>66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customHeight="1" x14ac:dyDescent="0.25">
      <c r="A308" s="411" t="s">
        <v>475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customHeight="1" x14ac:dyDescent="0.25">
      <c r="A309" s="420" t="s">
        <v>61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476</v>
      </c>
      <c r="B310" s="54" t="s">
        <v>477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66</v>
      </c>
      <c r="W310" s="403">
        <v>39</v>
      </c>
      <c r="X310" s="404">
        <f>IFERROR(IF(W310="",0,CEILING((W310/$H310),1)*$H310),"")</f>
        <v>39.6</v>
      </c>
      <c r="Y310" s="36">
        <f>IFERROR(IF(X310=0,"",ROUNDUP(X310/H310,0)*0.00753),"")</f>
        <v>0.16566</v>
      </c>
      <c r="Z310" s="56"/>
      <c r="AA310" s="57"/>
      <c r="AE310" s="64"/>
      <c r="BB310" s="246" t="s">
        <v>1</v>
      </c>
      <c r="BL310" s="64">
        <f>IFERROR(W310*I310/H310,"0")</f>
        <v>44.373333333333335</v>
      </c>
      <c r="BM310" s="64">
        <f>IFERROR(X310*I310/H310,"0")</f>
        <v>45.056000000000004</v>
      </c>
      <c r="BN310" s="64">
        <f>IFERROR(1/J310*(W310/H310),"0")</f>
        <v>0.1388888888888889</v>
      </c>
      <c r="BO310" s="64">
        <f>IFERROR(1/J310*(X310/H310),"0")</f>
        <v>0.14102564102564102</v>
      </c>
    </row>
    <row r="311" spans="1:67" x14ac:dyDescent="0.2">
      <c r="A311" s="41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41" t="s">
        <v>70</v>
      </c>
      <c r="P311" s="442"/>
      <c r="Q311" s="442"/>
      <c r="R311" s="442"/>
      <c r="S311" s="442"/>
      <c r="T311" s="442"/>
      <c r="U311" s="443"/>
      <c r="V311" s="37" t="s">
        <v>71</v>
      </c>
      <c r="W311" s="405">
        <f>IFERROR(W310/H310,"0")</f>
        <v>21.666666666666668</v>
      </c>
      <c r="X311" s="405">
        <f>IFERROR(X310/H310,"0")</f>
        <v>22</v>
      </c>
      <c r="Y311" s="405">
        <f>IFERROR(IF(Y310="",0,Y310),"0")</f>
        <v>0.16566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5"/>
      <c r="O312" s="441" t="s">
        <v>70</v>
      </c>
      <c r="P312" s="442"/>
      <c r="Q312" s="442"/>
      <c r="R312" s="442"/>
      <c r="S312" s="442"/>
      <c r="T312" s="442"/>
      <c r="U312" s="443"/>
      <c r="V312" s="37" t="s">
        <v>66</v>
      </c>
      <c r="W312" s="405">
        <f>IFERROR(SUM(W310:W310),"0")</f>
        <v>39</v>
      </c>
      <c r="X312" s="405">
        <f>IFERROR(SUM(X310:X310),"0")</f>
        <v>39.6</v>
      </c>
      <c r="Y312" s="37"/>
      <c r="Z312" s="406"/>
      <c r="AA312" s="406"/>
    </row>
    <row r="313" spans="1:67" ht="14.25" customHeight="1" x14ac:dyDescent="0.25">
      <c r="A313" s="420" t="s">
        <v>72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customHeight="1" x14ac:dyDescent="0.25">
      <c r="A314" s="54" t="s">
        <v>478</v>
      </c>
      <c r="B314" s="54" t="s">
        <v>479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109</v>
      </c>
      <c r="L314" s="33" t="s">
        <v>65</v>
      </c>
      <c r="M314" s="33"/>
      <c r="N314" s="32">
        <v>45</v>
      </c>
      <c r="O314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66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64</v>
      </c>
      <c r="L315" s="33" t="s">
        <v>129</v>
      </c>
      <c r="M315" s="33"/>
      <c r="N315" s="32">
        <v>45</v>
      </c>
      <c r="O315" s="8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66</v>
      </c>
      <c r="W315" s="403">
        <v>595</v>
      </c>
      <c r="X315" s="404">
        <f>IFERROR(IF(W315="",0,CEILING((W315/$H315),1)*$H315),"")</f>
        <v>596.4</v>
      </c>
      <c r="Y315" s="36">
        <f>IFERROR(IF(X315=0,"",ROUNDUP(X315/H315,0)*0.00753),"")</f>
        <v>2.1385200000000002</v>
      </c>
      <c r="Z315" s="56"/>
      <c r="AA315" s="57"/>
      <c r="AE315" s="64"/>
      <c r="BB315" s="248" t="s">
        <v>1</v>
      </c>
      <c r="BL315" s="64">
        <f>IFERROR(W315*I315/H315,"0")</f>
        <v>672.06666666666661</v>
      </c>
      <c r="BM315" s="64">
        <f>IFERROR(X315*I315/H315,"0")</f>
        <v>673.64799999999991</v>
      </c>
      <c r="BN315" s="64">
        <f>IFERROR(1/J315*(W315/H315),"0")</f>
        <v>1.816239316239316</v>
      </c>
      <c r="BO315" s="64">
        <f>IFERROR(1/J315*(X315/H315),"0")</f>
        <v>1.8205128205128205</v>
      </c>
    </row>
    <row r="316" spans="1:67" ht="27" customHeight="1" x14ac:dyDescent="0.25">
      <c r="A316" s="54" t="s">
        <v>482</v>
      </c>
      <c r="B316" s="54" t="s">
        <v>483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8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66</v>
      </c>
      <c r="W316" s="403">
        <v>420</v>
      </c>
      <c r="X316" s="404">
        <f>IFERROR(IF(W316="",0,CEILING((W316/$H316),1)*$H316),"")</f>
        <v>420</v>
      </c>
      <c r="Y316" s="36">
        <f>IFERROR(IF(X316=0,"",ROUNDUP(X316/H316,0)*0.00753),"")</f>
        <v>1.506</v>
      </c>
      <c r="Z316" s="56"/>
      <c r="AA316" s="57"/>
      <c r="AE316" s="64"/>
      <c r="BB316" s="249" t="s">
        <v>1</v>
      </c>
      <c r="BL316" s="64">
        <f>IFERROR(W316*I316/H316,"0")</f>
        <v>471.99999999999994</v>
      </c>
      <c r="BM316" s="64">
        <f>IFERROR(X316*I316/H316,"0")</f>
        <v>471.99999999999994</v>
      </c>
      <c r="BN316" s="64">
        <f>IFERROR(1/J316*(W316/H316),"0")</f>
        <v>1.2820512820512819</v>
      </c>
      <c r="BO316" s="64">
        <f>IFERROR(1/J316*(X316/H316),"0")</f>
        <v>1.2820512820512819</v>
      </c>
    </row>
    <row r="317" spans="1:67" x14ac:dyDescent="0.2">
      <c r="A317" s="41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41" t="s">
        <v>70</v>
      </c>
      <c r="P317" s="442"/>
      <c r="Q317" s="442"/>
      <c r="R317" s="442"/>
      <c r="S317" s="442"/>
      <c r="T317" s="442"/>
      <c r="U317" s="443"/>
      <c r="V317" s="37" t="s">
        <v>71</v>
      </c>
      <c r="W317" s="405">
        <f>IFERROR(W314/H314,"0")+IFERROR(W315/H315,"0")+IFERROR(W316/H316,"0")</f>
        <v>483.33333333333331</v>
      </c>
      <c r="X317" s="405">
        <f>IFERROR(X314/H314,"0")+IFERROR(X315/H315,"0")+IFERROR(X316/H316,"0")</f>
        <v>484</v>
      </c>
      <c r="Y317" s="405">
        <f>IFERROR(IF(Y314="",0,Y314),"0")+IFERROR(IF(Y315="",0,Y315),"0")+IFERROR(IF(Y316="",0,Y316),"0")</f>
        <v>3.64452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5"/>
      <c r="O318" s="441" t="s">
        <v>70</v>
      </c>
      <c r="P318" s="442"/>
      <c r="Q318" s="442"/>
      <c r="R318" s="442"/>
      <c r="S318" s="442"/>
      <c r="T318" s="442"/>
      <c r="U318" s="443"/>
      <c r="V318" s="37" t="s">
        <v>66</v>
      </c>
      <c r="W318" s="405">
        <f>IFERROR(SUM(W314:W316),"0")</f>
        <v>1015</v>
      </c>
      <c r="X318" s="405">
        <f>IFERROR(SUM(X314:X316),"0")</f>
        <v>1016.4</v>
      </c>
      <c r="Y318" s="37"/>
      <c r="Z318" s="406"/>
      <c r="AA318" s="406"/>
    </row>
    <row r="319" spans="1:67" ht="14.25" customHeight="1" x14ac:dyDescent="0.25">
      <c r="A319" s="420" t="s">
        <v>219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484</v>
      </c>
      <c r="B320" s="54" t="s">
        <v>485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66</v>
      </c>
      <c r="W320" s="403">
        <v>41.8</v>
      </c>
      <c r="X320" s="404">
        <f>IFERROR(IF(W320="",0,CEILING((W320/$H320),1)*$H320),"")</f>
        <v>43.319999999999993</v>
      </c>
      <c r="Y320" s="36">
        <f>IFERROR(IF(X320=0,"",ROUNDUP(X320/H320,0)*0.00753),"")</f>
        <v>0.14307</v>
      </c>
      <c r="Z320" s="56"/>
      <c r="AA320" s="57"/>
      <c r="AE320" s="64"/>
      <c r="BB320" s="250" t="s">
        <v>1</v>
      </c>
      <c r="BL320" s="64">
        <f>IFERROR(W320*I320/H320,"0")</f>
        <v>46.786666666666669</v>
      </c>
      <c r="BM320" s="64">
        <f>IFERROR(X320*I320/H320,"0")</f>
        <v>48.488</v>
      </c>
      <c r="BN320" s="64">
        <f>IFERROR(1/J320*(W320/H320),"0")</f>
        <v>0.11752136752136751</v>
      </c>
      <c r="BO320" s="64">
        <f>IFERROR(1/J320*(X320/H320),"0")</f>
        <v>0.12179487179487179</v>
      </c>
    </row>
    <row r="321" spans="1:67" x14ac:dyDescent="0.2">
      <c r="A321" s="41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41" t="s">
        <v>70</v>
      </c>
      <c r="P321" s="442"/>
      <c r="Q321" s="442"/>
      <c r="R321" s="442"/>
      <c r="S321" s="442"/>
      <c r="T321" s="442"/>
      <c r="U321" s="443"/>
      <c r="V321" s="37" t="s">
        <v>71</v>
      </c>
      <c r="W321" s="405">
        <f>IFERROR(W320/H320,"0")</f>
        <v>18.333333333333332</v>
      </c>
      <c r="X321" s="405">
        <f>IFERROR(X320/H320,"0")</f>
        <v>19</v>
      </c>
      <c r="Y321" s="405">
        <f>IFERROR(IF(Y320="",0,Y320),"0")</f>
        <v>0.14307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5"/>
      <c r="O322" s="441" t="s">
        <v>70</v>
      </c>
      <c r="P322" s="442"/>
      <c r="Q322" s="442"/>
      <c r="R322" s="442"/>
      <c r="S322" s="442"/>
      <c r="T322" s="442"/>
      <c r="U322" s="443"/>
      <c r="V322" s="37" t="s">
        <v>66</v>
      </c>
      <c r="W322" s="405">
        <f>IFERROR(SUM(W320:W320),"0")</f>
        <v>41.8</v>
      </c>
      <c r="X322" s="405">
        <f>IFERROR(SUM(X320:X320),"0")</f>
        <v>43.319999999999993</v>
      </c>
      <c r="Y322" s="37"/>
      <c r="Z322" s="406"/>
      <c r="AA322" s="406"/>
    </row>
    <row r="323" spans="1:67" ht="14.25" customHeight="1" x14ac:dyDescent="0.25">
      <c r="A323" s="420" t="s">
        <v>92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customHeight="1" x14ac:dyDescent="0.25">
      <c r="A324" s="54" t="s">
        <v>486</v>
      </c>
      <c r="B324" s="54" t="s">
        <v>487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64</v>
      </c>
      <c r="L324" s="33" t="s">
        <v>95</v>
      </c>
      <c r="M324" s="33"/>
      <c r="N324" s="32">
        <v>180</v>
      </c>
      <c r="O324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66</v>
      </c>
      <c r="W324" s="403">
        <v>17</v>
      </c>
      <c r="X324" s="404">
        <f>IFERROR(IF(W324="",0,CEILING((W324/$H324),1)*$H324),"")</f>
        <v>17.849999999999998</v>
      </c>
      <c r="Y324" s="36">
        <f>IFERROR(IF(X324=0,"",ROUNDUP(X324/H324,0)*0.00753),"")</f>
        <v>5.271E-2</v>
      </c>
      <c r="Z324" s="56"/>
      <c r="AA324" s="57"/>
      <c r="AE324" s="64"/>
      <c r="BB324" s="251" t="s">
        <v>1</v>
      </c>
      <c r="BL324" s="64">
        <f>IFERROR(W324*I324/H324,"0")</f>
        <v>19.833333333333336</v>
      </c>
      <c r="BM324" s="64">
        <f>IFERROR(X324*I324/H324,"0")</f>
        <v>20.824999999999999</v>
      </c>
      <c r="BN324" s="64">
        <f>IFERROR(1/J324*(W324/H324),"0")</f>
        <v>4.2735042735042736E-2</v>
      </c>
      <c r="BO324" s="64">
        <f>IFERROR(1/J324*(X324/H324),"0")</f>
        <v>4.4871794871794872E-2</v>
      </c>
    </row>
    <row r="325" spans="1:67" x14ac:dyDescent="0.2">
      <c r="A325" s="41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41" t="s">
        <v>70</v>
      </c>
      <c r="P325" s="442"/>
      <c r="Q325" s="442"/>
      <c r="R325" s="442"/>
      <c r="S325" s="442"/>
      <c r="T325" s="442"/>
      <c r="U325" s="443"/>
      <c r="V325" s="37" t="s">
        <v>71</v>
      </c>
      <c r="W325" s="405">
        <f>IFERROR(W324/H324,"0")</f>
        <v>6.666666666666667</v>
      </c>
      <c r="X325" s="405">
        <f>IFERROR(X324/H324,"0")</f>
        <v>7</v>
      </c>
      <c r="Y325" s="405">
        <f>IFERROR(IF(Y324="",0,Y324),"0")</f>
        <v>5.271E-2</v>
      </c>
      <c r="Z325" s="406"/>
      <c r="AA325" s="406"/>
    </row>
    <row r="326" spans="1:67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5"/>
      <c r="O326" s="441" t="s">
        <v>70</v>
      </c>
      <c r="P326" s="442"/>
      <c r="Q326" s="442"/>
      <c r="R326" s="442"/>
      <c r="S326" s="442"/>
      <c r="T326" s="442"/>
      <c r="U326" s="443"/>
      <c r="V326" s="37" t="s">
        <v>66</v>
      </c>
      <c r="W326" s="405">
        <f>IFERROR(SUM(W324:W324),"0")</f>
        <v>17</v>
      </c>
      <c r="X326" s="405">
        <f>IFERROR(SUM(X324:X324),"0")</f>
        <v>17.849999999999998</v>
      </c>
      <c r="Y326" s="37"/>
      <c r="Z326" s="406"/>
      <c r="AA326" s="406"/>
    </row>
    <row r="327" spans="1:67" ht="27.75" customHeight="1" x14ac:dyDescent="0.2">
      <c r="A327" s="470" t="s">
        <v>488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11" t="s">
        <v>489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customHeight="1" x14ac:dyDescent="0.25">
      <c r="A329" s="420" t="s">
        <v>114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customHeight="1" x14ac:dyDescent="0.25">
      <c r="A330" s="54" t="s">
        <v>490</v>
      </c>
      <c r="B330" s="54" t="s">
        <v>491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32" t="s">
        <v>492</v>
      </c>
      <c r="P330" s="410"/>
      <c r="Q330" s="410"/>
      <c r="R330" s="410"/>
      <c r="S330" s="408"/>
      <c r="T330" s="34" t="s">
        <v>83</v>
      </c>
      <c r="U330" s="34"/>
      <c r="V330" s="35" t="s">
        <v>66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customHeight="1" x14ac:dyDescent="0.25">
      <c r="A331" s="54" t="s">
        <v>493</v>
      </c>
      <c r="B331" s="54" t="s">
        <v>494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109</v>
      </c>
      <c r="L331" s="33" t="s">
        <v>65</v>
      </c>
      <c r="M331" s="33"/>
      <c r="N331" s="32">
        <v>60</v>
      </c>
      <c r="O331" s="483" t="s">
        <v>495</v>
      </c>
      <c r="P331" s="410"/>
      <c r="Q331" s="410"/>
      <c r="R331" s="410"/>
      <c r="S331" s="408"/>
      <c r="T331" s="34"/>
      <c r="U331" s="34"/>
      <c r="V331" s="35" t="s">
        <v>66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496</v>
      </c>
      <c r="B332" s="54" t="s">
        <v>497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109</v>
      </c>
      <c r="L332" s="33" t="s">
        <v>65</v>
      </c>
      <c r="M332" s="33"/>
      <c r="N332" s="32">
        <v>60</v>
      </c>
      <c r="O332" s="665" t="s">
        <v>498</v>
      </c>
      <c r="P332" s="410"/>
      <c r="Q332" s="410"/>
      <c r="R332" s="410"/>
      <c r="S332" s="408"/>
      <c r="T332" s="34"/>
      <c r="U332" s="34"/>
      <c r="V332" s="35" t="s">
        <v>66</v>
      </c>
      <c r="W332" s="403">
        <v>1950</v>
      </c>
      <c r="X332" s="404">
        <f t="shared" si="70"/>
        <v>1950</v>
      </c>
      <c r="Y332" s="36">
        <f>IFERROR(IF(X332=0,"",ROUNDUP(X332/H332,0)*0.02175),"")</f>
        <v>2.8274999999999997</v>
      </c>
      <c r="Z332" s="56"/>
      <c r="AA332" s="57"/>
      <c r="AE332" s="64"/>
      <c r="BB332" s="254" t="s">
        <v>1</v>
      </c>
      <c r="BL332" s="64">
        <f t="shared" si="71"/>
        <v>2012.4</v>
      </c>
      <c r="BM332" s="64">
        <f t="shared" si="72"/>
        <v>2012.4</v>
      </c>
      <c r="BN332" s="64">
        <f t="shared" si="73"/>
        <v>2.708333333333333</v>
      </c>
      <c r="BO332" s="64">
        <f t="shared" si="74"/>
        <v>2.708333333333333</v>
      </c>
    </row>
    <row r="333" spans="1:67" ht="27" customHeight="1" x14ac:dyDescent="0.25">
      <c r="A333" s="54" t="s">
        <v>496</v>
      </c>
      <c r="B333" s="54" t="s">
        <v>499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109</v>
      </c>
      <c r="L333" s="33" t="s">
        <v>118</v>
      </c>
      <c r="M333" s="33"/>
      <c r="N333" s="32">
        <v>60</v>
      </c>
      <c r="O333" s="566" t="s">
        <v>498</v>
      </c>
      <c r="P333" s="410"/>
      <c r="Q333" s="410"/>
      <c r="R333" s="410"/>
      <c r="S333" s="408"/>
      <c r="T333" s="34"/>
      <c r="U333" s="34"/>
      <c r="V333" s="35" t="s">
        <v>66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500</v>
      </c>
      <c r="B334" s="54" t="s">
        <v>501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109</v>
      </c>
      <c r="L334" s="33" t="s">
        <v>65</v>
      </c>
      <c r="M334" s="33"/>
      <c r="N334" s="32">
        <v>60</v>
      </c>
      <c r="O334" s="428" t="s">
        <v>502</v>
      </c>
      <c r="P334" s="410"/>
      <c r="Q334" s="410"/>
      <c r="R334" s="410"/>
      <c r="S334" s="408"/>
      <c r="T334" s="34"/>
      <c r="U334" s="34"/>
      <c r="V334" s="35" t="s">
        <v>66</v>
      </c>
      <c r="W334" s="403">
        <v>900</v>
      </c>
      <c r="X334" s="404">
        <f t="shared" si="70"/>
        <v>900</v>
      </c>
      <c r="Y334" s="36">
        <f>IFERROR(IF(X334=0,"",ROUNDUP(X334/H334,0)*0.02175),"")</f>
        <v>1.3049999999999999</v>
      </c>
      <c r="Z334" s="56"/>
      <c r="AA334" s="57"/>
      <c r="AE334" s="64"/>
      <c r="BB334" s="256" t="s">
        <v>1</v>
      </c>
      <c r="BL334" s="64">
        <f t="shared" si="71"/>
        <v>928.8</v>
      </c>
      <c r="BM334" s="64">
        <f t="shared" si="72"/>
        <v>928.8</v>
      </c>
      <c r="BN334" s="64">
        <f t="shared" si="73"/>
        <v>1.25</v>
      </c>
      <c r="BO334" s="64">
        <f t="shared" si="74"/>
        <v>1.25</v>
      </c>
    </row>
    <row r="335" spans="1:67" ht="27" customHeight="1" x14ac:dyDescent="0.25">
      <c r="A335" s="54" t="s">
        <v>500</v>
      </c>
      <c r="B335" s="54" t="s">
        <v>503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109</v>
      </c>
      <c r="L335" s="33" t="s">
        <v>118</v>
      </c>
      <c r="M335" s="33"/>
      <c r="N335" s="32">
        <v>60</v>
      </c>
      <c r="O335" s="752" t="s">
        <v>502</v>
      </c>
      <c r="P335" s="410"/>
      <c r="Q335" s="410"/>
      <c r="R335" s="410"/>
      <c r="S335" s="408"/>
      <c r="T335" s="34"/>
      <c r="U335" s="34"/>
      <c r="V335" s="35" t="s">
        <v>66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504</v>
      </c>
      <c r="B336" s="54" t="s">
        <v>505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109</v>
      </c>
      <c r="L336" s="33" t="s">
        <v>65</v>
      </c>
      <c r="M336" s="33"/>
      <c r="N336" s="32">
        <v>60</v>
      </c>
      <c r="O336" s="610" t="s">
        <v>506</v>
      </c>
      <c r="P336" s="410"/>
      <c r="Q336" s="410"/>
      <c r="R336" s="410"/>
      <c r="S336" s="408"/>
      <c r="T336" s="34"/>
      <c r="U336" s="34"/>
      <c r="V336" s="35" t="s">
        <v>66</v>
      </c>
      <c r="W336" s="403">
        <v>1100</v>
      </c>
      <c r="X336" s="404">
        <f t="shared" si="70"/>
        <v>1110</v>
      </c>
      <c r="Y336" s="36">
        <f>IFERROR(IF(X336=0,"",ROUNDUP(X336/H336,0)*0.02175),"")</f>
        <v>1.6094999999999999</v>
      </c>
      <c r="Z336" s="56"/>
      <c r="AA336" s="57"/>
      <c r="AE336" s="64"/>
      <c r="BB336" s="258" t="s">
        <v>1</v>
      </c>
      <c r="BL336" s="64">
        <f t="shared" si="71"/>
        <v>1135.2</v>
      </c>
      <c r="BM336" s="64">
        <f t="shared" si="72"/>
        <v>1145.52</v>
      </c>
      <c r="BN336" s="64">
        <f t="shared" si="73"/>
        <v>1.5277777777777777</v>
      </c>
      <c r="BO336" s="64">
        <f t="shared" si="74"/>
        <v>1.5416666666666665</v>
      </c>
    </row>
    <row r="337" spans="1:67" ht="27" customHeight="1" x14ac:dyDescent="0.25">
      <c r="A337" s="54" t="s">
        <v>504</v>
      </c>
      <c r="B337" s="54" t="s">
        <v>507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109</v>
      </c>
      <c r="L337" s="33" t="s">
        <v>118</v>
      </c>
      <c r="M337" s="33"/>
      <c r="N337" s="32">
        <v>60</v>
      </c>
      <c r="O337" s="4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66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customHeight="1" x14ac:dyDescent="0.25">
      <c r="A338" s="54" t="s">
        <v>508</v>
      </c>
      <c r="B338" s="54" t="s">
        <v>509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09" t="s">
        <v>510</v>
      </c>
      <c r="P338" s="410"/>
      <c r="Q338" s="410"/>
      <c r="R338" s="410"/>
      <c r="S338" s="408"/>
      <c r="T338" s="34" t="s">
        <v>83</v>
      </c>
      <c r="U338" s="34"/>
      <c r="V338" s="35" t="s">
        <v>66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511</v>
      </c>
      <c r="B339" s="54" t="s">
        <v>512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4" t="s">
        <v>513</v>
      </c>
      <c r="P339" s="410"/>
      <c r="Q339" s="410"/>
      <c r="R339" s="410"/>
      <c r="S339" s="408"/>
      <c r="T339" s="34"/>
      <c r="U339" s="34"/>
      <c r="V339" s="35" t="s">
        <v>66</v>
      </c>
      <c r="W339" s="403">
        <v>50</v>
      </c>
      <c r="X339" s="404">
        <f t="shared" si="70"/>
        <v>50</v>
      </c>
      <c r="Y339" s="36">
        <f>IFERROR(IF(X339=0,"",ROUNDUP(X339/H339,0)*0.00937),"")</f>
        <v>9.3700000000000006E-2</v>
      </c>
      <c r="Z339" s="56"/>
      <c r="AA339" s="57"/>
      <c r="AE339" s="64"/>
      <c r="BB339" s="261" t="s">
        <v>1</v>
      </c>
      <c r="BL339" s="64">
        <f t="shared" si="71"/>
        <v>52.1</v>
      </c>
      <c r="BM339" s="64">
        <f t="shared" si="72"/>
        <v>52.1</v>
      </c>
      <c r="BN339" s="64">
        <f t="shared" si="73"/>
        <v>8.3333333333333329E-2</v>
      </c>
      <c r="BO339" s="64">
        <f t="shared" si="74"/>
        <v>8.3333333333333329E-2</v>
      </c>
    </row>
    <row r="340" spans="1:67" ht="27" customHeight="1" x14ac:dyDescent="0.25">
      <c r="A340" s="54" t="s">
        <v>514</v>
      </c>
      <c r="B340" s="54" t="s">
        <v>515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2" t="s">
        <v>516</v>
      </c>
      <c r="P340" s="410"/>
      <c r="Q340" s="410"/>
      <c r="R340" s="410"/>
      <c r="S340" s="408"/>
      <c r="T340" s="34"/>
      <c r="U340" s="34"/>
      <c r="V340" s="35" t="s">
        <v>66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517</v>
      </c>
      <c r="B341" s="54" t="s">
        <v>518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64</v>
      </c>
      <c r="L341" s="33" t="s">
        <v>110</v>
      </c>
      <c r="M341" s="33"/>
      <c r="N341" s="32">
        <v>90</v>
      </c>
      <c r="O341" s="8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66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1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41" t="s">
        <v>70</v>
      </c>
      <c r="P342" s="442"/>
      <c r="Q342" s="442"/>
      <c r="R342" s="442"/>
      <c r="S342" s="442"/>
      <c r="T342" s="442"/>
      <c r="U342" s="443"/>
      <c r="V342" s="37" t="s">
        <v>71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273.33333333333331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274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5.8356999999999992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5"/>
      <c r="O343" s="441" t="s">
        <v>70</v>
      </c>
      <c r="P343" s="442"/>
      <c r="Q343" s="442"/>
      <c r="R343" s="442"/>
      <c r="S343" s="442"/>
      <c r="T343" s="442"/>
      <c r="U343" s="443"/>
      <c r="V343" s="37" t="s">
        <v>66</v>
      </c>
      <c r="W343" s="405">
        <f>IFERROR(SUM(W330:W341),"0")</f>
        <v>4000</v>
      </c>
      <c r="X343" s="405">
        <f>IFERROR(SUM(X330:X341),"0")</f>
        <v>4010</v>
      </c>
      <c r="Y343" s="37"/>
      <c r="Z343" s="406"/>
      <c r="AA343" s="406"/>
    </row>
    <row r="344" spans="1:67" ht="14.25" customHeight="1" x14ac:dyDescent="0.25">
      <c r="A344" s="420" t="s">
        <v>106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519</v>
      </c>
      <c r="B345" s="54" t="s">
        <v>520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109</v>
      </c>
      <c r="L345" s="33" t="s">
        <v>110</v>
      </c>
      <c r="M345" s="33"/>
      <c r="N345" s="32">
        <v>50</v>
      </c>
      <c r="O345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66</v>
      </c>
      <c r="W345" s="403">
        <v>1600</v>
      </c>
      <c r="X345" s="404">
        <f>IFERROR(IF(W345="",0,CEILING((W345/$H345),1)*$H345),"")</f>
        <v>1605</v>
      </c>
      <c r="Y345" s="36">
        <f>IFERROR(IF(X345=0,"",ROUNDUP(X345/H345,0)*0.02175),"")</f>
        <v>2.3272499999999998</v>
      </c>
      <c r="Z345" s="56"/>
      <c r="AA345" s="57"/>
      <c r="AE345" s="64"/>
      <c r="BB345" s="264" t="s">
        <v>1</v>
      </c>
      <c r="BL345" s="64">
        <f>IFERROR(W345*I345/H345,"0")</f>
        <v>1651.2</v>
      </c>
      <c r="BM345" s="64">
        <f>IFERROR(X345*I345/H345,"0")</f>
        <v>1656.3600000000001</v>
      </c>
      <c r="BN345" s="64">
        <f>IFERROR(1/J345*(W345/H345),"0")</f>
        <v>2.2222222222222223</v>
      </c>
      <c r="BO345" s="64">
        <f>IFERROR(1/J345*(X345/H345),"0")</f>
        <v>2.2291666666666665</v>
      </c>
    </row>
    <row r="346" spans="1:67" ht="16.5" customHeight="1" x14ac:dyDescent="0.25">
      <c r="A346" s="54" t="s">
        <v>521</v>
      </c>
      <c r="B346" s="54" t="s">
        <v>522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109</v>
      </c>
      <c r="L346" s="33" t="s">
        <v>129</v>
      </c>
      <c r="M346" s="33"/>
      <c r="N346" s="32">
        <v>50</v>
      </c>
      <c r="O346" s="69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66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64</v>
      </c>
      <c r="L347" s="33" t="s">
        <v>110</v>
      </c>
      <c r="M347" s="33"/>
      <c r="N347" s="32">
        <v>50</v>
      </c>
      <c r="O347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66</v>
      </c>
      <c r="W347" s="403">
        <v>16</v>
      </c>
      <c r="X347" s="404">
        <f>IFERROR(IF(W347="",0,CEILING((W347/$H347),1)*$H347),"")</f>
        <v>16</v>
      </c>
      <c r="Y347" s="36">
        <f>IFERROR(IF(X347=0,"",ROUNDUP(X347/H347,0)*0.00937),"")</f>
        <v>3.7479999999999999E-2</v>
      </c>
      <c r="Z347" s="56"/>
      <c r="AA347" s="57"/>
      <c r="AE347" s="64"/>
      <c r="BB347" s="266" t="s">
        <v>1</v>
      </c>
      <c r="BL347" s="64">
        <f>IFERROR(W347*I347/H347,"0")</f>
        <v>16.96</v>
      </c>
      <c r="BM347" s="64">
        <f>IFERROR(X347*I347/H347,"0")</f>
        <v>16.96</v>
      </c>
      <c r="BN347" s="64">
        <f>IFERROR(1/J347*(W347/H347),"0")</f>
        <v>3.3333333333333333E-2</v>
      </c>
      <c r="BO347" s="64">
        <f>IFERROR(1/J347*(X347/H347),"0")</f>
        <v>3.3333333333333333E-2</v>
      </c>
    </row>
    <row r="348" spans="1:67" ht="27" customHeight="1" x14ac:dyDescent="0.25">
      <c r="A348" s="54" t="s">
        <v>525</v>
      </c>
      <c r="B348" s="54" t="s">
        <v>526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64</v>
      </c>
      <c r="L348" s="33" t="s">
        <v>110</v>
      </c>
      <c r="M348" s="33"/>
      <c r="N348" s="32">
        <v>90</v>
      </c>
      <c r="O348" s="7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66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41" t="s">
        <v>70</v>
      </c>
      <c r="P349" s="442"/>
      <c r="Q349" s="442"/>
      <c r="R349" s="442"/>
      <c r="S349" s="442"/>
      <c r="T349" s="442"/>
      <c r="U349" s="443"/>
      <c r="V349" s="37" t="s">
        <v>71</v>
      </c>
      <c r="W349" s="405">
        <f>IFERROR(W345/H345,"0")+IFERROR(W346/H346,"0")+IFERROR(W347/H347,"0")+IFERROR(W348/H348,"0")</f>
        <v>110.66666666666667</v>
      </c>
      <c r="X349" s="405">
        <f>IFERROR(X345/H345,"0")+IFERROR(X346/H346,"0")+IFERROR(X347/H347,"0")+IFERROR(X348/H348,"0")</f>
        <v>111</v>
      </c>
      <c r="Y349" s="405">
        <f>IFERROR(IF(Y345="",0,Y345),"0")+IFERROR(IF(Y346="",0,Y346),"0")+IFERROR(IF(Y347="",0,Y347),"0")+IFERROR(IF(Y348="",0,Y348),"0")</f>
        <v>2.3647299999999998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5"/>
      <c r="O350" s="441" t="s">
        <v>70</v>
      </c>
      <c r="P350" s="442"/>
      <c r="Q350" s="442"/>
      <c r="R350" s="442"/>
      <c r="S350" s="442"/>
      <c r="T350" s="442"/>
      <c r="U350" s="443"/>
      <c r="V350" s="37" t="s">
        <v>66</v>
      </c>
      <c r="W350" s="405">
        <f>IFERROR(SUM(W345:W348),"0")</f>
        <v>1616</v>
      </c>
      <c r="X350" s="405">
        <f>IFERROR(SUM(X345:X348),"0")</f>
        <v>1621</v>
      </c>
      <c r="Y350" s="37"/>
      <c r="Z350" s="406"/>
      <c r="AA350" s="406"/>
    </row>
    <row r="351" spans="1:67" ht="14.25" customHeight="1" x14ac:dyDescent="0.25">
      <c r="A351" s="420" t="s">
        <v>72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customHeight="1" x14ac:dyDescent="0.25">
      <c r="A352" s="54" t="s">
        <v>527</v>
      </c>
      <c r="B352" s="54" t="s">
        <v>528</v>
      </c>
      <c r="C352" s="31">
        <v>4301051639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109</v>
      </c>
      <c r="L352" s="33" t="s">
        <v>65</v>
      </c>
      <c r="M352" s="33"/>
      <c r="N352" s="32">
        <v>40</v>
      </c>
      <c r="O352" s="643" t="s">
        <v>529</v>
      </c>
      <c r="P352" s="410"/>
      <c r="Q352" s="410"/>
      <c r="R352" s="410"/>
      <c r="S352" s="408"/>
      <c r="T352" s="34"/>
      <c r="U352" s="34"/>
      <c r="V352" s="35" t="s">
        <v>66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527</v>
      </c>
      <c r="B353" s="54" t="s">
        <v>530</v>
      </c>
      <c r="C353" s="31">
        <v>4301051560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109</v>
      </c>
      <c r="L353" s="33" t="s">
        <v>129</v>
      </c>
      <c r="M353" s="33"/>
      <c r="N353" s="32">
        <v>40</v>
      </c>
      <c r="O353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10"/>
      <c r="Q353" s="410"/>
      <c r="R353" s="410"/>
      <c r="S353" s="408"/>
      <c r="T353" s="34"/>
      <c r="U353" s="34"/>
      <c r="V353" s="35" t="s">
        <v>66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531</v>
      </c>
      <c r="B354" s="54" t="s">
        <v>532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109</v>
      </c>
      <c r="L354" s="33" t="s">
        <v>65</v>
      </c>
      <c r="M354" s="33"/>
      <c r="N354" s="32">
        <v>40</v>
      </c>
      <c r="O354" s="772" t="s">
        <v>533</v>
      </c>
      <c r="P354" s="410"/>
      <c r="Q354" s="410"/>
      <c r="R354" s="410"/>
      <c r="S354" s="408"/>
      <c r="T354" s="34"/>
      <c r="U354" s="34"/>
      <c r="V354" s="35" t="s">
        <v>66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1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41" t="s">
        <v>70</v>
      </c>
      <c r="P355" s="442"/>
      <c r="Q355" s="442"/>
      <c r="R355" s="442"/>
      <c r="S355" s="442"/>
      <c r="T355" s="442"/>
      <c r="U355" s="443"/>
      <c r="V355" s="37" t="s">
        <v>71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5"/>
      <c r="O356" s="441" t="s">
        <v>70</v>
      </c>
      <c r="P356" s="442"/>
      <c r="Q356" s="442"/>
      <c r="R356" s="442"/>
      <c r="S356" s="442"/>
      <c r="T356" s="442"/>
      <c r="U356" s="443"/>
      <c r="V356" s="37" t="s">
        <v>66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customHeight="1" x14ac:dyDescent="0.25">
      <c r="A357" s="420" t="s">
        <v>219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customHeight="1" x14ac:dyDescent="0.25">
      <c r="A358" s="54" t="s">
        <v>534</v>
      </c>
      <c r="B358" s="54" t="s">
        <v>535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40" t="s">
        <v>536</v>
      </c>
      <c r="P358" s="410"/>
      <c r="Q358" s="410"/>
      <c r="R358" s="410"/>
      <c r="S358" s="408"/>
      <c r="T358" s="34"/>
      <c r="U358" s="34"/>
      <c r="V358" s="35" t="s">
        <v>66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534</v>
      </c>
      <c r="B359" s="54" t="s">
        <v>537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109</v>
      </c>
      <c r="L359" s="33" t="s">
        <v>65</v>
      </c>
      <c r="M359" s="33"/>
      <c r="N359" s="32">
        <v>30</v>
      </c>
      <c r="O359" s="6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66</v>
      </c>
      <c r="W359" s="403">
        <v>140</v>
      </c>
      <c r="X359" s="404">
        <f>IFERROR(IF(W359="",0,CEILING((W359/$H359),1)*$H359),"")</f>
        <v>140.4</v>
      </c>
      <c r="Y359" s="36">
        <f>IFERROR(IF(X359=0,"",ROUNDUP(X359/H359,0)*0.02175),"")</f>
        <v>0.39149999999999996</v>
      </c>
      <c r="Z359" s="56"/>
      <c r="AA359" s="57"/>
      <c r="AE359" s="64"/>
      <c r="BB359" s="272" t="s">
        <v>1</v>
      </c>
      <c r="BL359" s="64">
        <f>IFERROR(W359*I359/H359,"0")</f>
        <v>150.12307692307692</v>
      </c>
      <c r="BM359" s="64">
        <f>IFERROR(X359*I359/H359,"0")</f>
        <v>150.55200000000002</v>
      </c>
      <c r="BN359" s="64">
        <f>IFERROR(1/J359*(W359/H359),"0")</f>
        <v>0.32051282051282048</v>
      </c>
      <c r="BO359" s="64">
        <f>IFERROR(1/J359*(X359/H359),"0")</f>
        <v>0.3214285714285714</v>
      </c>
    </row>
    <row r="360" spans="1:67" x14ac:dyDescent="0.2">
      <c r="A360" s="41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41" t="s">
        <v>70</v>
      </c>
      <c r="P360" s="442"/>
      <c r="Q360" s="442"/>
      <c r="R360" s="442"/>
      <c r="S360" s="442"/>
      <c r="T360" s="442"/>
      <c r="U360" s="443"/>
      <c r="V360" s="37" t="s">
        <v>71</v>
      </c>
      <c r="W360" s="405">
        <f>IFERROR(W358/H358,"0")+IFERROR(W359/H359,"0")</f>
        <v>17.948717948717949</v>
      </c>
      <c r="X360" s="405">
        <f>IFERROR(X358/H358,"0")+IFERROR(X359/H359,"0")</f>
        <v>18</v>
      </c>
      <c r="Y360" s="405">
        <f>IFERROR(IF(Y358="",0,Y358),"0")+IFERROR(IF(Y359="",0,Y359),"0")</f>
        <v>0.39149999999999996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5"/>
      <c r="O361" s="441" t="s">
        <v>70</v>
      </c>
      <c r="P361" s="442"/>
      <c r="Q361" s="442"/>
      <c r="R361" s="442"/>
      <c r="S361" s="442"/>
      <c r="T361" s="442"/>
      <c r="U361" s="443"/>
      <c r="V361" s="37" t="s">
        <v>66</v>
      </c>
      <c r="W361" s="405">
        <f>IFERROR(SUM(W358:W359),"0")</f>
        <v>140</v>
      </c>
      <c r="X361" s="405">
        <f>IFERROR(SUM(X358:X359),"0")</f>
        <v>140.4</v>
      </c>
      <c r="Y361" s="37"/>
      <c r="Z361" s="406"/>
      <c r="AA361" s="406"/>
    </row>
    <row r="362" spans="1:67" ht="16.5" customHeight="1" x14ac:dyDescent="0.25">
      <c r="A362" s="411" t="s">
        <v>538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customHeight="1" x14ac:dyDescent="0.25">
      <c r="A363" s="420" t="s">
        <v>114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539</v>
      </c>
      <c r="B364" s="54" t="s">
        <v>540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66</v>
      </c>
      <c r="W364" s="403">
        <v>50</v>
      </c>
      <c r="X364" s="404">
        <f>IFERROR(IF(W364="",0,CEILING((W364/$H364),1)*$H364),"")</f>
        <v>60</v>
      </c>
      <c r="Y364" s="36">
        <f>IFERROR(IF(X364=0,"",ROUNDUP(X364/H364,0)*0.02175),"")</f>
        <v>0.10874999999999999</v>
      </c>
      <c r="Z364" s="56"/>
      <c r="AA364" s="57"/>
      <c r="AE364" s="64"/>
      <c r="BB364" s="273" t="s">
        <v>1</v>
      </c>
      <c r="BL364" s="64">
        <f>IFERROR(W364*I364/H364,"0")</f>
        <v>52</v>
      </c>
      <c r="BM364" s="64">
        <f>IFERROR(X364*I364/H364,"0")</f>
        <v>62.400000000000006</v>
      </c>
      <c r="BN364" s="64">
        <f>IFERROR(1/J364*(W364/H364),"0")</f>
        <v>7.4404761904761904E-2</v>
      </c>
      <c r="BO364" s="64">
        <f>IFERROR(1/J364*(X364/H364),"0")</f>
        <v>8.9285714285714274E-2</v>
      </c>
    </row>
    <row r="365" spans="1:67" ht="27" customHeight="1" x14ac:dyDescent="0.25">
      <c r="A365" s="54" t="s">
        <v>541</v>
      </c>
      <c r="B365" s="54" t="s">
        <v>542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109</v>
      </c>
      <c r="L365" s="33" t="s">
        <v>65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66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543</v>
      </c>
      <c r="B366" s="54" t="s">
        <v>544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109</v>
      </c>
      <c r="L366" s="33" t="s">
        <v>65</v>
      </c>
      <c r="M366" s="33"/>
      <c r="N366" s="32">
        <v>60</v>
      </c>
      <c r="O366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66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545</v>
      </c>
      <c r="B367" s="54" t="s">
        <v>546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66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1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41" t="s">
        <v>70</v>
      </c>
      <c r="P368" s="442"/>
      <c r="Q368" s="442"/>
      <c r="R368" s="442"/>
      <c r="S368" s="442"/>
      <c r="T368" s="442"/>
      <c r="U368" s="443"/>
      <c r="V368" s="37" t="s">
        <v>71</v>
      </c>
      <c r="W368" s="405">
        <f>IFERROR(W364/H364,"0")+IFERROR(W365/H365,"0")+IFERROR(W366/H366,"0")+IFERROR(W367/H367,"0")</f>
        <v>4.166666666666667</v>
      </c>
      <c r="X368" s="405">
        <f>IFERROR(X364/H364,"0")+IFERROR(X365/H365,"0")+IFERROR(X366/H366,"0")+IFERROR(X367/H367,"0")</f>
        <v>5</v>
      </c>
      <c r="Y368" s="405">
        <f>IFERROR(IF(Y364="",0,Y364),"0")+IFERROR(IF(Y365="",0,Y365),"0")+IFERROR(IF(Y366="",0,Y366),"0")+IFERROR(IF(Y367="",0,Y367),"0")</f>
        <v>0.10874999999999999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5"/>
      <c r="O369" s="441" t="s">
        <v>70</v>
      </c>
      <c r="P369" s="442"/>
      <c r="Q369" s="442"/>
      <c r="R369" s="442"/>
      <c r="S369" s="442"/>
      <c r="T369" s="442"/>
      <c r="U369" s="443"/>
      <c r="V369" s="37" t="s">
        <v>66</v>
      </c>
      <c r="W369" s="405">
        <f>IFERROR(SUM(W364:W367),"0")</f>
        <v>50</v>
      </c>
      <c r="X369" s="405">
        <f>IFERROR(SUM(X364:X367),"0")</f>
        <v>60</v>
      </c>
      <c r="Y369" s="37"/>
      <c r="Z369" s="406"/>
      <c r="AA369" s="406"/>
    </row>
    <row r="370" spans="1:67" ht="14.25" customHeight="1" x14ac:dyDescent="0.25">
      <c r="A370" s="420" t="s">
        <v>61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547</v>
      </c>
      <c r="B371" s="54" t="s">
        <v>548</v>
      </c>
      <c r="C371" s="31">
        <v>4301031303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41" t="s">
        <v>549</v>
      </c>
      <c r="P371" s="410"/>
      <c r="Q371" s="410"/>
      <c r="R371" s="410"/>
      <c r="S371" s="408"/>
      <c r="T371" s="34"/>
      <c r="U371" s="34"/>
      <c r="V371" s="35" t="s">
        <v>66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550</v>
      </c>
      <c r="C372" s="31">
        <v>4301031139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4.58</v>
      </c>
      <c r="J372" s="32">
        <v>156</v>
      </c>
      <c r="K372" s="32" t="s">
        <v>64</v>
      </c>
      <c r="L372" s="33" t="s">
        <v>65</v>
      </c>
      <c r="M372" s="33"/>
      <c r="N372" s="32">
        <v>35</v>
      </c>
      <c r="O372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2" s="410"/>
      <c r="Q372" s="410"/>
      <c r="R372" s="410"/>
      <c r="S372" s="408"/>
      <c r="T372" s="34"/>
      <c r="U372" s="34"/>
      <c r="V372" s="35" t="s">
        <v>66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551</v>
      </c>
      <c r="B373" s="54" t="s">
        <v>552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69</v>
      </c>
      <c r="L373" s="33" t="s">
        <v>65</v>
      </c>
      <c r="M373" s="33"/>
      <c r="N373" s="32">
        <v>35</v>
      </c>
      <c r="O373" s="725" t="s">
        <v>553</v>
      </c>
      <c r="P373" s="410"/>
      <c r="Q373" s="410"/>
      <c r="R373" s="410"/>
      <c r="S373" s="408"/>
      <c r="T373" s="34"/>
      <c r="U373" s="34"/>
      <c r="V373" s="35" t="s">
        <v>66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1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41" t="s">
        <v>70</v>
      </c>
      <c r="P374" s="442"/>
      <c r="Q374" s="442"/>
      <c r="R374" s="442"/>
      <c r="S374" s="442"/>
      <c r="T374" s="442"/>
      <c r="U374" s="443"/>
      <c r="V374" s="37" t="s">
        <v>71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5"/>
      <c r="O375" s="441" t="s">
        <v>70</v>
      </c>
      <c r="P375" s="442"/>
      <c r="Q375" s="442"/>
      <c r="R375" s="442"/>
      <c r="S375" s="442"/>
      <c r="T375" s="442"/>
      <c r="U375" s="443"/>
      <c r="V375" s="37" t="s">
        <v>66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customHeight="1" x14ac:dyDescent="0.25">
      <c r="A376" s="420" t="s">
        <v>72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554</v>
      </c>
      <c r="B377" s="54" t="s">
        <v>555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3" t="s">
        <v>556</v>
      </c>
      <c r="P377" s="410"/>
      <c r="Q377" s="410"/>
      <c r="R377" s="410"/>
      <c r="S377" s="408"/>
      <c r="T377" s="34"/>
      <c r="U377" s="34"/>
      <c r="V377" s="35" t="s">
        <v>66</v>
      </c>
      <c r="W377" s="403">
        <v>30</v>
      </c>
      <c r="X377" s="404">
        <f>IFERROR(IF(W377="",0,CEILING((W377/$H377),1)*$H377),"")</f>
        <v>31.2</v>
      </c>
      <c r="Y377" s="36">
        <f>IFERROR(IF(X377=0,"",ROUNDUP(X377/H377,0)*0.02175),"")</f>
        <v>8.6999999999999994E-2</v>
      </c>
      <c r="Z377" s="56"/>
      <c r="AA377" s="57"/>
      <c r="AE377" s="64"/>
      <c r="BB377" s="280" t="s">
        <v>1</v>
      </c>
      <c r="BL377" s="64">
        <f>IFERROR(W377*I377/H377,"0")</f>
        <v>32.169230769230772</v>
      </c>
      <c r="BM377" s="64">
        <f>IFERROR(X377*I377/H377,"0")</f>
        <v>33.456000000000003</v>
      </c>
      <c r="BN377" s="64">
        <f>IFERROR(1/J377*(W377/H377),"0")</f>
        <v>6.8681318681318673E-2</v>
      </c>
      <c r="BO377" s="64">
        <f>IFERROR(1/J377*(X377/H377),"0")</f>
        <v>7.1428571428571425E-2</v>
      </c>
    </row>
    <row r="378" spans="1:67" ht="27" customHeight="1" x14ac:dyDescent="0.25">
      <c r="A378" s="54" t="s">
        <v>557</v>
      </c>
      <c r="B378" s="54" t="s">
        <v>558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109</v>
      </c>
      <c r="L378" s="33" t="s">
        <v>65</v>
      </c>
      <c r="M378" s="33"/>
      <c r="N378" s="32">
        <v>40</v>
      </c>
      <c r="O378" s="5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66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4301051634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9" t="s">
        <v>561</v>
      </c>
      <c r="P379" s="410"/>
      <c r="Q379" s="410"/>
      <c r="R379" s="410"/>
      <c r="S379" s="408"/>
      <c r="T379" s="34"/>
      <c r="U379" s="34"/>
      <c r="V379" s="35" t="s">
        <v>66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559</v>
      </c>
      <c r="B380" s="54" t="s">
        <v>562</v>
      </c>
      <c r="C380" s="31">
        <v>4301051297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0" s="410"/>
      <c r="Q380" s="410"/>
      <c r="R380" s="410"/>
      <c r="S380" s="408"/>
      <c r="T380" s="34"/>
      <c r="U380" s="34"/>
      <c r="V380" s="35" t="s">
        <v>66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563</v>
      </c>
      <c r="B381" s="54" t="s">
        <v>564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66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1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41" t="s">
        <v>70</v>
      </c>
      <c r="P382" s="442"/>
      <c r="Q382" s="442"/>
      <c r="R382" s="442"/>
      <c r="S382" s="442"/>
      <c r="T382" s="442"/>
      <c r="U382" s="443"/>
      <c r="V382" s="37" t="s">
        <v>71</v>
      </c>
      <c r="W382" s="405">
        <f>IFERROR(W377/H377,"0")+IFERROR(W378/H378,"0")+IFERROR(W379/H379,"0")+IFERROR(W380/H380,"0")+IFERROR(W381/H381,"0")</f>
        <v>3.8461538461538463</v>
      </c>
      <c r="X382" s="405">
        <f>IFERROR(X377/H377,"0")+IFERROR(X378/H378,"0")+IFERROR(X379/H379,"0")+IFERROR(X380/H380,"0")+IFERROR(X381/H381,"0")</f>
        <v>4</v>
      </c>
      <c r="Y382" s="405">
        <f>IFERROR(IF(Y377="",0,Y377),"0")+IFERROR(IF(Y378="",0,Y378),"0")+IFERROR(IF(Y379="",0,Y379),"0")+IFERROR(IF(Y380="",0,Y380),"0")+IFERROR(IF(Y381="",0,Y381),"0")</f>
        <v>8.6999999999999994E-2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5"/>
      <c r="O383" s="441" t="s">
        <v>70</v>
      </c>
      <c r="P383" s="442"/>
      <c r="Q383" s="442"/>
      <c r="R383" s="442"/>
      <c r="S383" s="442"/>
      <c r="T383" s="442"/>
      <c r="U383" s="443"/>
      <c r="V383" s="37" t="s">
        <v>66</v>
      </c>
      <c r="W383" s="405">
        <f>IFERROR(SUM(W377:W381),"0")</f>
        <v>30</v>
      </c>
      <c r="X383" s="405">
        <f>IFERROR(SUM(X377:X381),"0")</f>
        <v>31.2</v>
      </c>
      <c r="Y383" s="37"/>
      <c r="Z383" s="406"/>
      <c r="AA383" s="406"/>
    </row>
    <row r="384" spans="1:67" ht="14.25" customHeight="1" x14ac:dyDescent="0.25">
      <c r="A384" s="420" t="s">
        <v>219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customHeight="1" x14ac:dyDescent="0.25">
      <c r="A385" s="54" t="s">
        <v>565</v>
      </c>
      <c r="B385" s="54" t="s">
        <v>566</v>
      </c>
      <c r="C385" s="31">
        <v>4301060377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59" t="s">
        <v>567</v>
      </c>
      <c r="P385" s="410"/>
      <c r="Q385" s="410"/>
      <c r="R385" s="410"/>
      <c r="S385" s="408"/>
      <c r="T385" s="34"/>
      <c r="U385" s="34"/>
      <c r="V385" s="35" t="s">
        <v>66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565</v>
      </c>
      <c r="B386" s="54" t="s">
        <v>568</v>
      </c>
      <c r="C386" s="31">
        <v>4301060322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109</v>
      </c>
      <c r="L386" s="33" t="s">
        <v>65</v>
      </c>
      <c r="M386" s="33"/>
      <c r="N386" s="32">
        <v>40</v>
      </c>
      <c r="O386" s="64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6" s="410"/>
      <c r="Q386" s="410"/>
      <c r="R386" s="410"/>
      <c r="S386" s="408"/>
      <c r="T386" s="34"/>
      <c r="U386" s="34"/>
      <c r="V386" s="35" t="s">
        <v>66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1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41" t="s">
        <v>70</v>
      </c>
      <c r="P387" s="442"/>
      <c r="Q387" s="442"/>
      <c r="R387" s="442"/>
      <c r="S387" s="442"/>
      <c r="T387" s="442"/>
      <c r="U387" s="443"/>
      <c r="V387" s="37" t="s">
        <v>71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15"/>
      <c r="O388" s="441" t="s">
        <v>70</v>
      </c>
      <c r="P388" s="442"/>
      <c r="Q388" s="442"/>
      <c r="R388" s="442"/>
      <c r="S388" s="442"/>
      <c r="T388" s="442"/>
      <c r="U388" s="443"/>
      <c r="V388" s="37" t="s">
        <v>66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customHeight="1" x14ac:dyDescent="0.2">
      <c r="A389" s="470" t="s">
        <v>569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48"/>
      <c r="AA389" s="48"/>
    </row>
    <row r="390" spans="1:67" ht="16.5" customHeight="1" x14ac:dyDescent="0.25">
      <c r="A390" s="411" t="s">
        <v>570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customHeight="1" x14ac:dyDescent="0.25">
      <c r="A391" s="420" t="s">
        <v>114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customHeight="1" x14ac:dyDescent="0.25">
      <c r="A392" s="54" t="s">
        <v>571</v>
      </c>
      <c r="B392" s="54" t="s">
        <v>572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66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customHeight="1" x14ac:dyDescent="0.25">
      <c r="A393" s="54" t="s">
        <v>573</v>
      </c>
      <c r="B393" s="54" t="s">
        <v>574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64</v>
      </c>
      <c r="L393" s="33" t="s">
        <v>110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66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x14ac:dyDescent="0.2">
      <c r="A394" s="41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41" t="s">
        <v>70</v>
      </c>
      <c r="P394" s="442"/>
      <c r="Q394" s="442"/>
      <c r="R394" s="442"/>
      <c r="S394" s="442"/>
      <c r="T394" s="442"/>
      <c r="U394" s="443"/>
      <c r="V394" s="37" t="s">
        <v>71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5"/>
      <c r="O395" s="441" t="s">
        <v>70</v>
      </c>
      <c r="P395" s="442"/>
      <c r="Q395" s="442"/>
      <c r="R395" s="442"/>
      <c r="S395" s="442"/>
      <c r="T395" s="442"/>
      <c r="U395" s="443"/>
      <c r="V395" s="37" t="s">
        <v>66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customHeight="1" x14ac:dyDescent="0.25">
      <c r="A396" s="420" t="s">
        <v>61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customHeight="1" x14ac:dyDescent="0.25">
      <c r="A397" s="54" t="s">
        <v>575</v>
      </c>
      <c r="B397" s="54" t="s">
        <v>576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68" t="s">
        <v>577</v>
      </c>
      <c r="P397" s="410"/>
      <c r="Q397" s="410"/>
      <c r="R397" s="410"/>
      <c r="S397" s="408"/>
      <c r="T397" s="34"/>
      <c r="U397" s="34"/>
      <c r="V397" s="35" t="s">
        <v>66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575</v>
      </c>
      <c r="B398" s="54" t="s">
        <v>578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66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5" t="s">
        <v>581</v>
      </c>
      <c r="P399" s="410"/>
      <c r="Q399" s="410"/>
      <c r="R399" s="410"/>
      <c r="S399" s="408"/>
      <c r="T399" s="34"/>
      <c r="U399" s="34"/>
      <c r="V399" s="35" t="s">
        <v>66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579</v>
      </c>
      <c r="B400" s="54" t="s">
        <v>582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66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2" t="s">
        <v>585</v>
      </c>
      <c r="P401" s="410"/>
      <c r="Q401" s="410"/>
      <c r="R401" s="410"/>
      <c r="S401" s="408"/>
      <c r="T401" s="34"/>
      <c r="U401" s="34"/>
      <c r="V401" s="35" t="s">
        <v>66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583</v>
      </c>
      <c r="B402" s="54" t="s">
        <v>586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66</v>
      </c>
      <c r="W402" s="403">
        <v>100</v>
      </c>
      <c r="X402" s="404">
        <f t="shared" si="75"/>
        <v>100.80000000000001</v>
      </c>
      <c r="Y402" s="36">
        <f t="shared" si="76"/>
        <v>0.18071999999999999</v>
      </c>
      <c r="Z402" s="56"/>
      <c r="AA402" s="57"/>
      <c r="AE402" s="64"/>
      <c r="BB402" s="294" t="s">
        <v>1</v>
      </c>
      <c r="BL402" s="64">
        <f t="shared" si="77"/>
        <v>105.47619047619047</v>
      </c>
      <c r="BM402" s="64">
        <f t="shared" si="78"/>
        <v>106.32000000000001</v>
      </c>
      <c r="BN402" s="64">
        <f t="shared" si="79"/>
        <v>0.15262515262515264</v>
      </c>
      <c r="BO402" s="64">
        <f t="shared" si="80"/>
        <v>0.15384615384615385</v>
      </c>
    </row>
    <row r="403" spans="1:67" ht="37.5" customHeight="1" x14ac:dyDescent="0.25">
      <c r="A403" s="54" t="s">
        <v>587</v>
      </c>
      <c r="B403" s="54" t="s">
        <v>588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64</v>
      </c>
      <c r="L403" s="33" t="s">
        <v>65</v>
      </c>
      <c r="M403" s="33"/>
      <c r="N403" s="32">
        <v>35</v>
      </c>
      <c r="O403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66</v>
      </c>
      <c r="W403" s="403">
        <v>140</v>
      </c>
      <c r="X403" s="404">
        <f t="shared" si="75"/>
        <v>141.12</v>
      </c>
      <c r="Y403" s="36">
        <f t="shared" si="76"/>
        <v>0.63251999999999997</v>
      </c>
      <c r="Z403" s="56"/>
      <c r="AA403" s="57"/>
      <c r="AE403" s="64"/>
      <c r="BB403" s="295" t="s">
        <v>1</v>
      </c>
      <c r="BL403" s="64">
        <f t="shared" si="77"/>
        <v>216.66666666666669</v>
      </c>
      <c r="BM403" s="64">
        <f t="shared" si="78"/>
        <v>218.40000000000003</v>
      </c>
      <c r="BN403" s="64">
        <f t="shared" si="79"/>
        <v>0.53418803418803418</v>
      </c>
      <c r="BO403" s="64">
        <f t="shared" si="80"/>
        <v>0.53846153846153844</v>
      </c>
    </row>
    <row r="404" spans="1:67" ht="27" customHeight="1" x14ac:dyDescent="0.25">
      <c r="A404" s="54" t="s">
        <v>589</v>
      </c>
      <c r="B404" s="54" t="s">
        <v>590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4" t="s">
        <v>591</v>
      </c>
      <c r="P404" s="410"/>
      <c r="Q404" s="410"/>
      <c r="R404" s="410"/>
      <c r="S404" s="408"/>
      <c r="T404" s="34"/>
      <c r="U404" s="34"/>
      <c r="V404" s="35" t="s">
        <v>66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589</v>
      </c>
      <c r="B405" s="54" t="s">
        <v>592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66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21" t="s">
        <v>595</v>
      </c>
      <c r="P406" s="410"/>
      <c r="Q406" s="410"/>
      <c r="R406" s="410"/>
      <c r="S406" s="408"/>
      <c r="T406" s="34"/>
      <c r="U406" s="34"/>
      <c r="V406" s="35" t="s">
        <v>66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593</v>
      </c>
      <c r="B407" s="54" t="s">
        <v>596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66</v>
      </c>
      <c r="W407" s="403">
        <v>157.5</v>
      </c>
      <c r="X407" s="404">
        <f t="shared" si="75"/>
        <v>157.5</v>
      </c>
      <c r="Y407" s="36">
        <f t="shared" si="81"/>
        <v>0.3765</v>
      </c>
      <c r="Z407" s="56"/>
      <c r="AA407" s="57"/>
      <c r="AE407" s="64"/>
      <c r="BB407" s="299" t="s">
        <v>1</v>
      </c>
      <c r="BL407" s="64">
        <f t="shared" si="77"/>
        <v>167.25</v>
      </c>
      <c r="BM407" s="64">
        <f t="shared" si="78"/>
        <v>167.25</v>
      </c>
      <c r="BN407" s="64">
        <f t="shared" si="79"/>
        <v>0.32051282051282054</v>
      </c>
      <c r="BO407" s="64">
        <f t="shared" si="80"/>
        <v>0.32051282051282054</v>
      </c>
    </row>
    <row r="408" spans="1:67" ht="37.5" customHeight="1" x14ac:dyDescent="0.25">
      <c r="A408" s="54" t="s">
        <v>597</v>
      </c>
      <c r="B408" s="54" t="s">
        <v>598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5" t="s">
        <v>599</v>
      </c>
      <c r="P408" s="410"/>
      <c r="Q408" s="410"/>
      <c r="R408" s="410"/>
      <c r="S408" s="408"/>
      <c r="T408" s="34"/>
      <c r="U408" s="34"/>
      <c r="V408" s="35" t="s">
        <v>66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597</v>
      </c>
      <c r="B409" s="54" t="s">
        <v>600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66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601</v>
      </c>
      <c r="B410" s="54" t="s">
        <v>602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603</v>
      </c>
      <c r="P410" s="410"/>
      <c r="Q410" s="410"/>
      <c r="R410" s="410"/>
      <c r="S410" s="408"/>
      <c r="T410" s="34"/>
      <c r="U410" s="34"/>
      <c r="V410" s="35" t="s">
        <v>66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601</v>
      </c>
      <c r="B411" s="54" t="s">
        <v>604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66</v>
      </c>
      <c r="W411" s="403">
        <v>42</v>
      </c>
      <c r="X411" s="404">
        <f t="shared" si="75"/>
        <v>42</v>
      </c>
      <c r="Y411" s="36">
        <f t="shared" si="81"/>
        <v>0.1004</v>
      </c>
      <c r="Z411" s="56"/>
      <c r="AA411" s="57"/>
      <c r="AE411" s="64"/>
      <c r="BB411" s="303" t="s">
        <v>1</v>
      </c>
      <c r="BL411" s="64">
        <f t="shared" si="77"/>
        <v>44.599999999999994</v>
      </c>
      <c r="BM411" s="64">
        <f t="shared" si="78"/>
        <v>44.599999999999994</v>
      </c>
      <c r="BN411" s="64">
        <f t="shared" si="79"/>
        <v>8.5470085470085472E-2</v>
      </c>
      <c r="BO411" s="64">
        <f t="shared" si="80"/>
        <v>8.5470085470085472E-2</v>
      </c>
    </row>
    <row r="412" spans="1:67" ht="27" customHeight="1" x14ac:dyDescent="0.25">
      <c r="A412" s="54" t="s">
        <v>605</v>
      </c>
      <c r="B412" s="54" t="s">
        <v>606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7" t="s">
        <v>607</v>
      </c>
      <c r="P412" s="410"/>
      <c r="Q412" s="410"/>
      <c r="R412" s="410"/>
      <c r="S412" s="408"/>
      <c r="T412" s="34"/>
      <c r="U412" s="34"/>
      <c r="V412" s="35" t="s">
        <v>66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605</v>
      </c>
      <c r="B413" s="54" t="s">
        <v>608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66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609</v>
      </c>
      <c r="B414" s="54" t="s">
        <v>610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611</v>
      </c>
      <c r="P414" s="410"/>
      <c r="Q414" s="410"/>
      <c r="R414" s="410"/>
      <c r="S414" s="408"/>
      <c r="T414" s="34"/>
      <c r="U414" s="34"/>
      <c r="V414" s="35" t="s">
        <v>66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609</v>
      </c>
      <c r="B415" s="54" t="s">
        <v>612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66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613</v>
      </c>
      <c r="B416" s="54" t="s">
        <v>614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6" t="s">
        <v>615</v>
      </c>
      <c r="P416" s="410"/>
      <c r="Q416" s="410"/>
      <c r="R416" s="410"/>
      <c r="S416" s="408"/>
      <c r="T416" s="34"/>
      <c r="U416" s="34"/>
      <c r="V416" s="35" t="s">
        <v>66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613</v>
      </c>
      <c r="B417" s="54" t="s">
        <v>616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66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617</v>
      </c>
      <c r="B418" s="54" t="s">
        <v>618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8" t="s">
        <v>619</v>
      </c>
      <c r="P418" s="410"/>
      <c r="Q418" s="410"/>
      <c r="R418" s="410"/>
      <c r="S418" s="408"/>
      <c r="T418" s="34"/>
      <c r="U418" s="34"/>
      <c r="V418" s="35" t="s">
        <v>66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617</v>
      </c>
      <c r="B419" s="54" t="s">
        <v>620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66</v>
      </c>
      <c r="W419" s="403">
        <v>87.5</v>
      </c>
      <c r="X419" s="404">
        <f t="shared" si="75"/>
        <v>88.2</v>
      </c>
      <c r="Y419" s="36">
        <f t="shared" si="81"/>
        <v>0.21084</v>
      </c>
      <c r="Z419" s="56"/>
      <c r="AA419" s="57"/>
      <c r="AE419" s="64"/>
      <c r="BB419" s="311" t="s">
        <v>1</v>
      </c>
      <c r="BL419" s="64">
        <f t="shared" si="77"/>
        <v>92.916666666666657</v>
      </c>
      <c r="BM419" s="64">
        <f t="shared" si="78"/>
        <v>93.66</v>
      </c>
      <c r="BN419" s="64">
        <f t="shared" si="79"/>
        <v>0.17806267806267806</v>
      </c>
      <c r="BO419" s="64">
        <f t="shared" si="80"/>
        <v>0.17948717948717952</v>
      </c>
    </row>
    <row r="420" spans="1:67" ht="27" customHeight="1" x14ac:dyDescent="0.25">
      <c r="A420" s="54" t="s">
        <v>621</v>
      </c>
      <c r="B420" s="54" t="s">
        <v>622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3" t="s">
        <v>623</v>
      </c>
      <c r="P420" s="410"/>
      <c r="Q420" s="410"/>
      <c r="R420" s="410"/>
      <c r="S420" s="408"/>
      <c r="T420" s="34"/>
      <c r="U420" s="34"/>
      <c r="V420" s="35" t="s">
        <v>66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621</v>
      </c>
      <c r="B421" s="54" t="s">
        <v>624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66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1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41" t="s">
        <v>70</v>
      </c>
      <c r="P422" s="442"/>
      <c r="Q422" s="442"/>
      <c r="R422" s="442"/>
      <c r="S422" s="442"/>
      <c r="T422" s="442"/>
      <c r="U422" s="443"/>
      <c r="V422" s="37" t="s">
        <v>71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243.80952380952382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245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1.50098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5"/>
      <c r="O423" s="441" t="s">
        <v>70</v>
      </c>
      <c r="P423" s="442"/>
      <c r="Q423" s="442"/>
      <c r="R423" s="442"/>
      <c r="S423" s="442"/>
      <c r="T423" s="442"/>
      <c r="U423" s="443"/>
      <c r="V423" s="37" t="s">
        <v>66</v>
      </c>
      <c r="W423" s="405">
        <f>IFERROR(SUM(W397:W421),"0")</f>
        <v>527</v>
      </c>
      <c r="X423" s="405">
        <f>IFERROR(SUM(X397:X421),"0")</f>
        <v>529.62</v>
      </c>
      <c r="Y423" s="37"/>
      <c r="Z423" s="406"/>
      <c r="AA423" s="406"/>
    </row>
    <row r="424" spans="1:67" ht="14.25" customHeight="1" x14ac:dyDescent="0.25">
      <c r="A424" s="420" t="s">
        <v>72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customHeight="1" x14ac:dyDescent="0.25">
      <c r="A425" s="54" t="s">
        <v>625</v>
      </c>
      <c r="B425" s="54" t="s">
        <v>626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109</v>
      </c>
      <c r="L425" s="33" t="s">
        <v>129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66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627</v>
      </c>
      <c r="B426" s="54" t="s">
        <v>628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64</v>
      </c>
      <c r="L426" s="33" t="s">
        <v>129</v>
      </c>
      <c r="M426" s="33"/>
      <c r="N426" s="32">
        <v>45</v>
      </c>
      <c r="O42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66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629</v>
      </c>
      <c r="B427" s="54" t="s">
        <v>630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64</v>
      </c>
      <c r="L427" s="33" t="s">
        <v>129</v>
      </c>
      <c r="M427" s="33"/>
      <c r="N427" s="32">
        <v>45</v>
      </c>
      <c r="O427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66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1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41" t="s">
        <v>70</v>
      </c>
      <c r="P428" s="442"/>
      <c r="Q428" s="442"/>
      <c r="R428" s="442"/>
      <c r="S428" s="442"/>
      <c r="T428" s="442"/>
      <c r="U428" s="443"/>
      <c r="V428" s="37" t="s">
        <v>71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5"/>
      <c r="O429" s="441" t="s">
        <v>70</v>
      </c>
      <c r="P429" s="442"/>
      <c r="Q429" s="442"/>
      <c r="R429" s="442"/>
      <c r="S429" s="442"/>
      <c r="T429" s="442"/>
      <c r="U429" s="443"/>
      <c r="V429" s="37" t="s">
        <v>66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customHeight="1" x14ac:dyDescent="0.25">
      <c r="A430" s="420" t="s">
        <v>219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customHeight="1" x14ac:dyDescent="0.25">
      <c r="A431" s="54" t="s">
        <v>631</v>
      </c>
      <c r="B431" s="54" t="s">
        <v>632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109</v>
      </c>
      <c r="L431" s="33" t="s">
        <v>65</v>
      </c>
      <c r="M431" s="33"/>
      <c r="N431" s="32">
        <v>35</v>
      </c>
      <c r="O431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66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x14ac:dyDescent="0.2">
      <c r="A432" s="41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41" t="s">
        <v>70</v>
      </c>
      <c r="P432" s="442"/>
      <c r="Q432" s="442"/>
      <c r="R432" s="442"/>
      <c r="S432" s="442"/>
      <c r="T432" s="442"/>
      <c r="U432" s="443"/>
      <c r="V432" s="37" t="s">
        <v>71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5"/>
      <c r="O433" s="441" t="s">
        <v>70</v>
      </c>
      <c r="P433" s="442"/>
      <c r="Q433" s="442"/>
      <c r="R433" s="442"/>
      <c r="S433" s="442"/>
      <c r="T433" s="442"/>
      <c r="U433" s="443"/>
      <c r="V433" s="37" t="s">
        <v>66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customHeight="1" x14ac:dyDescent="0.25">
      <c r="A434" s="420" t="s">
        <v>92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633</v>
      </c>
      <c r="B435" s="54" t="s">
        <v>634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635</v>
      </c>
      <c r="L435" s="33" t="s">
        <v>636</v>
      </c>
      <c r="M435" s="33"/>
      <c r="N435" s="32">
        <v>60</v>
      </c>
      <c r="O435" s="8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66</v>
      </c>
      <c r="W435" s="403">
        <v>12</v>
      </c>
      <c r="X435" s="404">
        <f>IFERROR(IF(W435="",0,CEILING((W435/$H435),1)*$H435),"")</f>
        <v>12</v>
      </c>
      <c r="Y435" s="36">
        <f>IFERROR(IF(X435=0,"",ROUNDUP(X435/H435,0)*0.00627),"")</f>
        <v>6.2700000000000006E-2</v>
      </c>
      <c r="Z435" s="56"/>
      <c r="AA435" s="57"/>
      <c r="AE435" s="64"/>
      <c r="BB435" s="318" t="s">
        <v>1</v>
      </c>
      <c r="BL435" s="64">
        <f>IFERROR(W435*I435/H435,"0")</f>
        <v>18.000000000000004</v>
      </c>
      <c r="BM435" s="64">
        <f>IFERROR(X435*I435/H435,"0")</f>
        <v>18.000000000000004</v>
      </c>
      <c r="BN435" s="64">
        <f>IFERROR(1/J435*(W435/H435),"0")</f>
        <v>0.05</v>
      </c>
      <c r="BO435" s="64">
        <f>IFERROR(1/J435*(X435/H435),"0")</f>
        <v>0.05</v>
      </c>
    </row>
    <row r="436" spans="1:67" ht="27" customHeight="1" x14ac:dyDescent="0.25">
      <c r="A436" s="54" t="s">
        <v>637</v>
      </c>
      <c r="B436" s="54" t="s">
        <v>638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635</v>
      </c>
      <c r="L436" s="33" t="s">
        <v>636</v>
      </c>
      <c r="M436" s="33"/>
      <c r="N436" s="32">
        <v>60</v>
      </c>
      <c r="O436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66</v>
      </c>
      <c r="W436" s="403">
        <v>9</v>
      </c>
      <c r="X436" s="404">
        <f>IFERROR(IF(W436="",0,CEILING((W436/$H436),1)*$H436),"")</f>
        <v>9.6</v>
      </c>
      <c r="Y436" s="36">
        <f>IFERROR(IF(X436=0,"",ROUNDUP(X436/H436,0)*0.00627),"")</f>
        <v>5.0160000000000003E-2</v>
      </c>
      <c r="Z436" s="56"/>
      <c r="AA436" s="57"/>
      <c r="AE436" s="64"/>
      <c r="BB436" s="319" t="s">
        <v>1</v>
      </c>
      <c r="BL436" s="64">
        <f>IFERROR(W436*I436/H436,"0")</f>
        <v>13.5</v>
      </c>
      <c r="BM436" s="64">
        <f>IFERROR(X436*I436/H436,"0")</f>
        <v>14.400000000000002</v>
      </c>
      <c r="BN436" s="64">
        <f>IFERROR(1/J436*(W436/H436),"0")</f>
        <v>3.7499999999999999E-2</v>
      </c>
      <c r="BO436" s="64">
        <f>IFERROR(1/J436*(X436/H436),"0")</f>
        <v>0.04</v>
      </c>
    </row>
    <row r="437" spans="1:67" ht="27" customHeight="1" x14ac:dyDescent="0.25">
      <c r="A437" s="54" t="s">
        <v>639</v>
      </c>
      <c r="B437" s="54" t="s">
        <v>640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635</v>
      </c>
      <c r="L437" s="33" t="s">
        <v>636</v>
      </c>
      <c r="M437" s="33"/>
      <c r="N437" s="32">
        <v>150</v>
      </c>
      <c r="O437" s="5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66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1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41" t="s">
        <v>70</v>
      </c>
      <c r="P438" s="442"/>
      <c r="Q438" s="442"/>
      <c r="R438" s="442"/>
      <c r="S438" s="442"/>
      <c r="T438" s="442"/>
      <c r="U438" s="443"/>
      <c r="V438" s="37" t="s">
        <v>71</v>
      </c>
      <c r="W438" s="405">
        <f>IFERROR(W435/H435,"0")+IFERROR(W436/H436,"0")+IFERROR(W437/H437,"0")</f>
        <v>17.5</v>
      </c>
      <c r="X438" s="405">
        <f>IFERROR(X435/H435,"0")+IFERROR(X436/H436,"0")+IFERROR(X437/H437,"0")</f>
        <v>18</v>
      </c>
      <c r="Y438" s="405">
        <f>IFERROR(IF(Y435="",0,Y435),"0")+IFERROR(IF(Y436="",0,Y436),"0")+IFERROR(IF(Y437="",0,Y437),"0")</f>
        <v>0.11286000000000002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5"/>
      <c r="O439" s="441" t="s">
        <v>70</v>
      </c>
      <c r="P439" s="442"/>
      <c r="Q439" s="442"/>
      <c r="R439" s="442"/>
      <c r="S439" s="442"/>
      <c r="T439" s="442"/>
      <c r="U439" s="443"/>
      <c r="V439" s="37" t="s">
        <v>66</v>
      </c>
      <c r="W439" s="405">
        <f>IFERROR(SUM(W435:W437),"0")</f>
        <v>21</v>
      </c>
      <c r="X439" s="405">
        <f>IFERROR(SUM(X435:X437),"0")</f>
        <v>21.6</v>
      </c>
      <c r="Y439" s="37"/>
      <c r="Z439" s="406"/>
      <c r="AA439" s="406"/>
    </row>
    <row r="440" spans="1:67" ht="16.5" customHeight="1" x14ac:dyDescent="0.25">
      <c r="A440" s="411" t="s">
        <v>641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customHeight="1" x14ac:dyDescent="0.25">
      <c r="A441" s="420" t="s">
        <v>106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customHeight="1" x14ac:dyDescent="0.25">
      <c r="A442" s="54" t="s">
        <v>642</v>
      </c>
      <c r="B442" s="54" t="s">
        <v>643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109</v>
      </c>
      <c r="L442" s="33" t="s">
        <v>110</v>
      </c>
      <c r="M442" s="33"/>
      <c r="N442" s="32">
        <v>35</v>
      </c>
      <c r="O442" s="4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66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644</v>
      </c>
      <c r="B443" s="54" t="s">
        <v>645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64</v>
      </c>
      <c r="L443" s="33" t="s">
        <v>129</v>
      </c>
      <c r="M443" s="33"/>
      <c r="N443" s="32">
        <v>35</v>
      </c>
      <c r="O443" s="6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66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41" t="s">
        <v>70</v>
      </c>
      <c r="P444" s="442"/>
      <c r="Q444" s="442"/>
      <c r="R444" s="442"/>
      <c r="S444" s="442"/>
      <c r="T444" s="442"/>
      <c r="U444" s="443"/>
      <c r="V444" s="37" t="s">
        <v>71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5"/>
      <c r="O445" s="441" t="s">
        <v>70</v>
      </c>
      <c r="P445" s="442"/>
      <c r="Q445" s="442"/>
      <c r="R445" s="442"/>
      <c r="S445" s="442"/>
      <c r="T445" s="442"/>
      <c r="U445" s="443"/>
      <c r="V445" s="37" t="s">
        <v>66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customHeight="1" x14ac:dyDescent="0.25">
      <c r="A446" s="420" t="s">
        <v>61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646</v>
      </c>
      <c r="B447" s="54" t="s">
        <v>647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09" t="s">
        <v>648</v>
      </c>
      <c r="P447" s="410"/>
      <c r="Q447" s="410"/>
      <c r="R447" s="410"/>
      <c r="S447" s="408"/>
      <c r="T447" s="34"/>
      <c r="U447" s="34"/>
      <c r="V447" s="35" t="s">
        <v>66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customHeight="1" x14ac:dyDescent="0.25">
      <c r="A448" s="54" t="s">
        <v>646</v>
      </c>
      <c r="B448" s="54" t="s">
        <v>649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64</v>
      </c>
      <c r="L448" s="33" t="s">
        <v>110</v>
      </c>
      <c r="M448" s="33"/>
      <c r="N448" s="32">
        <v>45</v>
      </c>
      <c r="O448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66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650</v>
      </c>
      <c r="B449" s="54" t="s">
        <v>651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69</v>
      </c>
      <c r="L449" s="33" t="s">
        <v>65</v>
      </c>
      <c r="M449" s="33"/>
      <c r="N449" s="32">
        <v>45</v>
      </c>
      <c r="O449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66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652</v>
      </c>
      <c r="B450" s="54" t="s">
        <v>653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64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66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654</v>
      </c>
      <c r="B451" s="54" t="s">
        <v>655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4" t="s">
        <v>656</v>
      </c>
      <c r="P451" s="410"/>
      <c r="Q451" s="410"/>
      <c r="R451" s="410"/>
      <c r="S451" s="408"/>
      <c r="T451" s="34"/>
      <c r="U451" s="34"/>
      <c r="V451" s="35" t="s">
        <v>66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654</v>
      </c>
      <c r="B452" s="54" t="s">
        <v>657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66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658</v>
      </c>
      <c r="B453" s="54" t="s">
        <v>659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8" t="s">
        <v>660</v>
      </c>
      <c r="P453" s="410"/>
      <c r="Q453" s="410"/>
      <c r="R453" s="410"/>
      <c r="S453" s="408"/>
      <c r="T453" s="34"/>
      <c r="U453" s="34"/>
      <c r="V453" s="35" t="s">
        <v>66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658</v>
      </c>
      <c r="B454" s="54" t="s">
        <v>661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66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662</v>
      </c>
      <c r="B455" s="54" t="s">
        <v>663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66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1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41" t="s">
        <v>70</v>
      </c>
      <c r="P456" s="442"/>
      <c r="Q456" s="442"/>
      <c r="R456" s="442"/>
      <c r="S456" s="442"/>
      <c r="T456" s="442"/>
      <c r="U456" s="443"/>
      <c r="V456" s="37" t="s">
        <v>71</v>
      </c>
      <c r="W456" s="405">
        <f>IFERROR(W447/H447,"0")+IFERROR(W448/H448,"0")+IFERROR(W449/H449,"0")+IFERROR(W450/H450,"0")+IFERROR(W451/H451,"0")+IFERROR(W452/H452,"0")+IFERROR(W453/H453,"0")+IFERROR(W454/H454,"0")+IFERROR(W455/H455,"0")</f>
        <v>0</v>
      </c>
      <c r="X456" s="405">
        <f>IFERROR(X447/H447,"0")+IFERROR(X448/H448,"0")+IFERROR(X449/H449,"0")+IFERROR(X450/H450,"0")+IFERROR(X451/H451,"0")+IFERROR(X452/H452,"0")+IFERROR(X453/H453,"0")+IFERROR(X454/H454,"0")+IFERROR(X455/H455,"0")</f>
        <v>0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5"/>
      <c r="O457" s="441" t="s">
        <v>70</v>
      </c>
      <c r="P457" s="442"/>
      <c r="Q457" s="442"/>
      <c r="R457" s="442"/>
      <c r="S457" s="442"/>
      <c r="T457" s="442"/>
      <c r="U457" s="443"/>
      <c r="V457" s="37" t="s">
        <v>66</v>
      </c>
      <c r="W457" s="405">
        <f>IFERROR(SUM(W447:W455),"0")</f>
        <v>0</v>
      </c>
      <c r="X457" s="405">
        <f>IFERROR(SUM(X447:X455),"0")</f>
        <v>0</v>
      </c>
      <c r="Y457" s="37"/>
      <c r="Z457" s="406"/>
      <c r="AA457" s="406"/>
    </row>
    <row r="458" spans="1:67" ht="14.25" customHeight="1" x14ac:dyDescent="0.25">
      <c r="A458" s="420" t="s">
        <v>92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664</v>
      </c>
      <c r="B459" s="54" t="s">
        <v>665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635</v>
      </c>
      <c r="L459" s="33" t="s">
        <v>636</v>
      </c>
      <c r="M459" s="33"/>
      <c r="N459" s="32">
        <v>60</v>
      </c>
      <c r="O459" s="7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66</v>
      </c>
      <c r="W459" s="403">
        <v>9</v>
      </c>
      <c r="X459" s="404">
        <f>IFERROR(IF(W459="",0,CEILING((W459/$H459),1)*$H459),"")</f>
        <v>9.6</v>
      </c>
      <c r="Y459" s="36">
        <f>IFERROR(IF(X459=0,"",ROUNDUP(X459/H459,0)*0.00627),"")</f>
        <v>5.0160000000000003E-2</v>
      </c>
      <c r="Z459" s="56"/>
      <c r="AA459" s="57"/>
      <c r="AE459" s="64"/>
      <c r="BB459" s="332" t="s">
        <v>1</v>
      </c>
      <c r="BL459" s="64">
        <f>IFERROR(W459*I459/H459,"0")</f>
        <v>13.5</v>
      </c>
      <c r="BM459" s="64">
        <f>IFERROR(X459*I459/H459,"0")</f>
        <v>14.400000000000002</v>
      </c>
      <c r="BN459" s="64">
        <f>IFERROR(1/J459*(W459/H459),"0")</f>
        <v>3.7499999999999999E-2</v>
      </c>
      <c r="BO459" s="64">
        <f>IFERROR(1/J459*(X459/H459),"0")</f>
        <v>0.04</v>
      </c>
    </row>
    <row r="460" spans="1:67" ht="27" customHeight="1" x14ac:dyDescent="0.25">
      <c r="A460" s="54" t="s">
        <v>666</v>
      </c>
      <c r="B460" s="54" t="s">
        <v>667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635</v>
      </c>
      <c r="L460" s="33" t="s">
        <v>636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66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41" t="s">
        <v>70</v>
      </c>
      <c r="P461" s="442"/>
      <c r="Q461" s="442"/>
      <c r="R461" s="442"/>
      <c r="S461" s="442"/>
      <c r="T461" s="442"/>
      <c r="U461" s="443"/>
      <c r="V461" s="37" t="s">
        <v>71</v>
      </c>
      <c r="W461" s="405">
        <f>IFERROR(W459/H459,"0")+IFERROR(W460/H460,"0")</f>
        <v>7.5</v>
      </c>
      <c r="X461" s="405">
        <f>IFERROR(X459/H459,"0")+IFERROR(X460/H460,"0")</f>
        <v>8</v>
      </c>
      <c r="Y461" s="405">
        <f>IFERROR(IF(Y459="",0,Y459),"0")+IFERROR(IF(Y460="",0,Y460),"0")</f>
        <v>5.0160000000000003E-2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5"/>
      <c r="O462" s="441" t="s">
        <v>70</v>
      </c>
      <c r="P462" s="442"/>
      <c r="Q462" s="442"/>
      <c r="R462" s="442"/>
      <c r="S462" s="442"/>
      <c r="T462" s="442"/>
      <c r="U462" s="443"/>
      <c r="V462" s="37" t="s">
        <v>66</v>
      </c>
      <c r="W462" s="405">
        <f>IFERROR(SUM(W459:W460),"0")</f>
        <v>9</v>
      </c>
      <c r="X462" s="405">
        <f>IFERROR(SUM(X459:X460),"0")</f>
        <v>9.6</v>
      </c>
      <c r="Y462" s="37"/>
      <c r="Z462" s="406"/>
      <c r="AA462" s="406"/>
    </row>
    <row r="463" spans="1:67" ht="14.25" customHeight="1" x14ac:dyDescent="0.25">
      <c r="A463" s="420" t="s">
        <v>101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customHeight="1" x14ac:dyDescent="0.25">
      <c r="A464" s="54" t="s">
        <v>668</v>
      </c>
      <c r="B464" s="54" t="s">
        <v>669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635</v>
      </c>
      <c r="L464" s="33" t="s">
        <v>636</v>
      </c>
      <c r="M464" s="33"/>
      <c r="N464" s="32">
        <v>150</v>
      </c>
      <c r="O464" s="5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66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41" t="s">
        <v>70</v>
      </c>
      <c r="P465" s="442"/>
      <c r="Q465" s="442"/>
      <c r="R465" s="442"/>
      <c r="S465" s="442"/>
      <c r="T465" s="442"/>
      <c r="U465" s="443"/>
      <c r="V465" s="37" t="s">
        <v>71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5"/>
      <c r="O466" s="441" t="s">
        <v>70</v>
      </c>
      <c r="P466" s="442"/>
      <c r="Q466" s="442"/>
      <c r="R466" s="442"/>
      <c r="S466" s="442"/>
      <c r="T466" s="442"/>
      <c r="U466" s="443"/>
      <c r="V466" s="37" t="s">
        <v>66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customHeight="1" x14ac:dyDescent="0.25">
      <c r="A467" s="420" t="s">
        <v>670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671</v>
      </c>
      <c r="B468" s="54" t="s">
        <v>672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635</v>
      </c>
      <c r="L468" s="33" t="s">
        <v>636</v>
      </c>
      <c r="M468" s="33"/>
      <c r="N468" s="32">
        <v>60</v>
      </c>
      <c r="O468" s="5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66</v>
      </c>
      <c r="W468" s="403">
        <v>7.5</v>
      </c>
      <c r="X468" s="404">
        <f>IFERROR(IF(W468="",0,CEILING((W468/$H468),1)*$H468),"")</f>
        <v>9</v>
      </c>
      <c r="Y468" s="36">
        <f>IFERROR(IF(X468=0,"",ROUNDUP(X468/H468,0)*0.00627),"")</f>
        <v>1.881E-2</v>
      </c>
      <c r="Z468" s="56"/>
      <c r="AA468" s="57"/>
      <c r="AE468" s="64"/>
      <c r="BB468" s="335" t="s">
        <v>1</v>
      </c>
      <c r="BL468" s="64">
        <f>IFERROR(W468*I468/H468,"0")</f>
        <v>9</v>
      </c>
      <c r="BM468" s="64">
        <f>IFERROR(X468*I468/H468,"0")</f>
        <v>10.799999999999999</v>
      </c>
      <c r="BN468" s="64">
        <f>IFERROR(1/J468*(W468/H468),"0")</f>
        <v>1.2500000000000001E-2</v>
      </c>
      <c r="BO468" s="64">
        <f>IFERROR(1/J468*(X468/H468),"0")</f>
        <v>1.4999999999999999E-2</v>
      </c>
    </row>
    <row r="469" spans="1:67" x14ac:dyDescent="0.2">
      <c r="A469" s="41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41" t="s">
        <v>70</v>
      </c>
      <c r="P469" s="442"/>
      <c r="Q469" s="442"/>
      <c r="R469" s="442"/>
      <c r="S469" s="442"/>
      <c r="T469" s="442"/>
      <c r="U469" s="443"/>
      <c r="V469" s="37" t="s">
        <v>71</v>
      </c>
      <c r="W469" s="405">
        <f>IFERROR(W468/H468,"0")</f>
        <v>2.5</v>
      </c>
      <c r="X469" s="405">
        <f>IFERROR(X468/H468,"0")</f>
        <v>3</v>
      </c>
      <c r="Y469" s="405">
        <f>IFERROR(IF(Y468="",0,Y468),"0")</f>
        <v>1.881E-2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5"/>
      <c r="O470" s="441" t="s">
        <v>70</v>
      </c>
      <c r="P470" s="442"/>
      <c r="Q470" s="442"/>
      <c r="R470" s="442"/>
      <c r="S470" s="442"/>
      <c r="T470" s="442"/>
      <c r="U470" s="443"/>
      <c r="V470" s="37" t="s">
        <v>66</v>
      </c>
      <c r="W470" s="405">
        <f>IFERROR(SUM(W468:W468),"0")</f>
        <v>7.5</v>
      </c>
      <c r="X470" s="405">
        <f>IFERROR(SUM(X468:X468),"0")</f>
        <v>9</v>
      </c>
      <c r="Y470" s="37"/>
      <c r="Z470" s="406"/>
      <c r="AA470" s="406"/>
    </row>
    <row r="471" spans="1:67" ht="16.5" customHeight="1" x14ac:dyDescent="0.25">
      <c r="A471" s="411" t="s">
        <v>673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customHeight="1" x14ac:dyDescent="0.25">
      <c r="A472" s="420" t="s">
        <v>61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customHeight="1" x14ac:dyDescent="0.25">
      <c r="A473" s="54" t="s">
        <v>674</v>
      </c>
      <c r="B473" s="54" t="s">
        <v>675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66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676</v>
      </c>
      <c r="B474" s="54" t="s">
        <v>677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66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678</v>
      </c>
      <c r="B475" s="54" t="s">
        <v>679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69</v>
      </c>
      <c r="L475" s="33" t="s">
        <v>65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66</v>
      </c>
      <c r="W475" s="403">
        <v>40</v>
      </c>
      <c r="X475" s="404">
        <f>IFERROR(IF(W475="",0,CEILING((W475/$H475),1)*$H475),"")</f>
        <v>40.799999999999997</v>
      </c>
      <c r="Y475" s="36">
        <f>IFERROR(IF(X475=0,"",ROUNDUP(X475/H475,0)*0.00502),"")</f>
        <v>0.17068</v>
      </c>
      <c r="Z475" s="56"/>
      <c r="AA475" s="57"/>
      <c r="AE475" s="64"/>
      <c r="BB475" s="338" t="s">
        <v>1</v>
      </c>
      <c r="BL475" s="64">
        <f>IFERROR(W475*I475/H475,"0")</f>
        <v>67.333333333333329</v>
      </c>
      <c r="BM475" s="64">
        <f>IFERROR(X475*I475/H475,"0")</f>
        <v>68.680000000000007</v>
      </c>
      <c r="BN475" s="64">
        <f>IFERROR(1/J475*(W475/H475),"0")</f>
        <v>0.14245014245014248</v>
      </c>
      <c r="BO475" s="64">
        <f>IFERROR(1/J475*(X475/H475),"0")</f>
        <v>0.14529914529914531</v>
      </c>
    </row>
    <row r="476" spans="1:67" x14ac:dyDescent="0.2">
      <c r="A476" s="41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41" t="s">
        <v>70</v>
      </c>
      <c r="P476" s="442"/>
      <c r="Q476" s="442"/>
      <c r="R476" s="442"/>
      <c r="S476" s="442"/>
      <c r="T476" s="442"/>
      <c r="U476" s="443"/>
      <c r="V476" s="37" t="s">
        <v>71</v>
      </c>
      <c r="W476" s="405">
        <f>IFERROR(W473/H473,"0")+IFERROR(W474/H474,"0")+IFERROR(W475/H475,"0")</f>
        <v>33.333333333333336</v>
      </c>
      <c r="X476" s="405">
        <f>IFERROR(X473/H473,"0")+IFERROR(X474/H474,"0")+IFERROR(X475/H475,"0")</f>
        <v>34</v>
      </c>
      <c r="Y476" s="405">
        <f>IFERROR(IF(Y473="",0,Y473),"0")+IFERROR(IF(Y474="",0,Y474),"0")+IFERROR(IF(Y475="",0,Y475),"0")</f>
        <v>0.17068</v>
      </c>
      <c r="Z476" s="406"/>
      <c r="AA476" s="406"/>
    </row>
    <row r="477" spans="1:67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5"/>
      <c r="O477" s="441" t="s">
        <v>70</v>
      </c>
      <c r="P477" s="442"/>
      <c r="Q477" s="442"/>
      <c r="R477" s="442"/>
      <c r="S477" s="442"/>
      <c r="T477" s="442"/>
      <c r="U477" s="443"/>
      <c r="V477" s="37" t="s">
        <v>66</v>
      </c>
      <c r="W477" s="405">
        <f>IFERROR(SUM(W473:W475),"0")</f>
        <v>40</v>
      </c>
      <c r="X477" s="405">
        <f>IFERROR(SUM(X473:X475),"0")</f>
        <v>40.799999999999997</v>
      </c>
      <c r="Y477" s="37"/>
      <c r="Z477" s="406"/>
      <c r="AA477" s="406"/>
    </row>
    <row r="478" spans="1:67" ht="16.5" customHeight="1" x14ac:dyDescent="0.25">
      <c r="A478" s="411" t="s">
        <v>680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customHeight="1" x14ac:dyDescent="0.25">
      <c r="A479" s="420" t="s">
        <v>61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customHeight="1" x14ac:dyDescent="0.25">
      <c r="A480" s="54" t="s">
        <v>681</v>
      </c>
      <c r="B480" s="54" t="s">
        <v>682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109</v>
      </c>
      <c r="L480" s="33" t="s">
        <v>65</v>
      </c>
      <c r="M480" s="33"/>
      <c r="N480" s="32">
        <v>40</v>
      </c>
      <c r="O480" s="763" t="s">
        <v>683</v>
      </c>
      <c r="P480" s="410"/>
      <c r="Q480" s="410"/>
      <c r="R480" s="410"/>
      <c r="S480" s="408"/>
      <c r="T480" s="34"/>
      <c r="U480" s="34"/>
      <c r="V480" s="35" t="s">
        <v>66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189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customHeight="1" x14ac:dyDescent="0.25">
      <c r="A481" s="54" t="s">
        <v>684</v>
      </c>
      <c r="B481" s="54" t="s">
        <v>685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64</v>
      </c>
      <c r="L481" s="33" t="s">
        <v>65</v>
      </c>
      <c r="M481" s="33"/>
      <c r="N481" s="32">
        <v>40</v>
      </c>
      <c r="O481" s="6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66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x14ac:dyDescent="0.2">
      <c r="A482" s="41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41" t="s">
        <v>70</v>
      </c>
      <c r="P482" s="442"/>
      <c r="Q482" s="442"/>
      <c r="R482" s="442"/>
      <c r="S482" s="442"/>
      <c r="T482" s="442"/>
      <c r="U482" s="443"/>
      <c r="V482" s="37" t="s">
        <v>71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5"/>
      <c r="O483" s="441" t="s">
        <v>70</v>
      </c>
      <c r="P483" s="442"/>
      <c r="Q483" s="442"/>
      <c r="R483" s="442"/>
      <c r="S483" s="442"/>
      <c r="T483" s="442"/>
      <c r="U483" s="443"/>
      <c r="V483" s="37" t="s">
        <v>66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customHeight="1" x14ac:dyDescent="0.25">
      <c r="A484" s="420" t="s">
        <v>219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customHeight="1" x14ac:dyDescent="0.25">
      <c r="A485" s="54" t="s">
        <v>686</v>
      </c>
      <c r="B485" s="54" t="s">
        <v>687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64</v>
      </c>
      <c r="L485" s="33" t="s">
        <v>65</v>
      </c>
      <c r="M485" s="33"/>
      <c r="N485" s="32">
        <v>35</v>
      </c>
      <c r="O485" s="627" t="s">
        <v>688</v>
      </c>
      <c r="P485" s="410"/>
      <c r="Q485" s="410"/>
      <c r="R485" s="410"/>
      <c r="S485" s="408"/>
      <c r="T485" s="34"/>
      <c r="U485" s="34"/>
      <c r="V485" s="35" t="s">
        <v>66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189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41" t="s">
        <v>70</v>
      </c>
      <c r="P486" s="442"/>
      <c r="Q486" s="442"/>
      <c r="R486" s="442"/>
      <c r="S486" s="442"/>
      <c r="T486" s="442"/>
      <c r="U486" s="443"/>
      <c r="V486" s="37" t="s">
        <v>71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5"/>
      <c r="O487" s="441" t="s">
        <v>70</v>
      </c>
      <c r="P487" s="442"/>
      <c r="Q487" s="442"/>
      <c r="R487" s="442"/>
      <c r="S487" s="442"/>
      <c r="T487" s="442"/>
      <c r="U487" s="443"/>
      <c r="V487" s="37" t="s">
        <v>66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customHeight="1" x14ac:dyDescent="0.2">
      <c r="A488" s="470" t="s">
        <v>689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48"/>
      <c r="AA488" s="48"/>
    </row>
    <row r="489" spans="1:67" ht="16.5" customHeight="1" x14ac:dyDescent="0.25">
      <c r="A489" s="411" t="s">
        <v>689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customHeight="1" x14ac:dyDescent="0.25">
      <c r="A490" s="420" t="s">
        <v>114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690</v>
      </c>
      <c r="B491" s="54" t="s">
        <v>691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66</v>
      </c>
      <c r="W491" s="403">
        <v>60</v>
      </c>
      <c r="X491" s="404">
        <f t="shared" ref="X491:X502" si="88">IFERROR(IF(W491="",0,CEILING((W491/$H491),1)*$H491),"")</f>
        <v>63.36</v>
      </c>
      <c r="Y491" s="36">
        <f t="shared" ref="Y491:Y497" si="89"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ref="BL491:BL502" si="90">IFERROR(W491*I491/H491,"0")</f>
        <v>64.090909090909079</v>
      </c>
      <c r="BM491" s="64">
        <f t="shared" ref="BM491:BM502" si="91">IFERROR(X491*I491/H491,"0")</f>
        <v>67.679999999999993</v>
      </c>
      <c r="BN491" s="64">
        <f t="shared" ref="BN491:BN502" si="92">IFERROR(1/J491*(W491/H491),"0")</f>
        <v>0.10926573426573427</v>
      </c>
      <c r="BO491" s="64">
        <f t="shared" ref="BO491:BO502" si="93">IFERROR(1/J491*(X491/H491),"0")</f>
        <v>0.11538461538461539</v>
      </c>
    </row>
    <row r="492" spans="1:67" ht="27" customHeight="1" x14ac:dyDescent="0.25">
      <c r="A492" s="54" t="s">
        <v>692</v>
      </c>
      <c r="B492" s="54" t="s">
        <v>693</v>
      </c>
      <c r="C492" s="31">
        <v>4301011779</v>
      </c>
      <c r="D492" s="407">
        <v>4607091383522</v>
      </c>
      <c r="E492" s="408"/>
      <c r="F492" s="402">
        <v>0.88</v>
      </c>
      <c r="G492" s="32">
        <v>6</v>
      </c>
      <c r="H492" s="402">
        <v>5.28</v>
      </c>
      <c r="I492" s="402">
        <v>5.64</v>
      </c>
      <c r="J492" s="32">
        <v>104</v>
      </c>
      <c r="K492" s="32" t="s">
        <v>109</v>
      </c>
      <c r="L492" s="33" t="s">
        <v>110</v>
      </c>
      <c r="M492" s="33"/>
      <c r="N492" s="32">
        <v>60</v>
      </c>
      <c r="O492" s="5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2" s="410"/>
      <c r="Q492" s="410"/>
      <c r="R492" s="410"/>
      <c r="S492" s="408"/>
      <c r="T492" s="34"/>
      <c r="U492" s="34"/>
      <c r="V492" s="35" t="s">
        <v>66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4301011376</v>
      </c>
      <c r="D493" s="407">
        <v>4680115885226</v>
      </c>
      <c r="E493" s="408"/>
      <c r="F493" s="402">
        <v>0.85</v>
      </c>
      <c r="G493" s="32">
        <v>6</v>
      </c>
      <c r="H493" s="402">
        <v>5.0999999999999996</v>
      </c>
      <c r="I493" s="402">
        <v>5.46</v>
      </c>
      <c r="J493" s="32">
        <v>104</v>
      </c>
      <c r="K493" s="32" t="s">
        <v>109</v>
      </c>
      <c r="L493" s="33" t="s">
        <v>129</v>
      </c>
      <c r="M493" s="33"/>
      <c r="N493" s="32">
        <v>60</v>
      </c>
      <c r="O493" s="7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3" s="410"/>
      <c r="Q493" s="410"/>
      <c r="R493" s="410"/>
      <c r="S493" s="408"/>
      <c r="T493" s="34"/>
      <c r="U493" s="34"/>
      <c r="V493" s="35" t="s">
        <v>66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customHeight="1" x14ac:dyDescent="0.25">
      <c r="A494" s="54" t="s">
        <v>696</v>
      </c>
      <c r="B494" s="54" t="s">
        <v>697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2" t="s">
        <v>698</v>
      </c>
      <c r="P494" s="410"/>
      <c r="Q494" s="410"/>
      <c r="R494" s="410"/>
      <c r="S494" s="408"/>
      <c r="T494" s="34"/>
      <c r="U494" s="34"/>
      <c r="V494" s="35" t="s">
        <v>66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customHeight="1" x14ac:dyDescent="0.25">
      <c r="A495" s="54" t="s">
        <v>699</v>
      </c>
      <c r="B495" s="54" t="s">
        <v>700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66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701</v>
      </c>
      <c r="B496" s="54" t="s">
        <v>702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109</v>
      </c>
      <c r="L496" s="33" t="s">
        <v>110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66</v>
      </c>
      <c r="W496" s="403">
        <v>180</v>
      </c>
      <c r="X496" s="404">
        <f t="shared" si="88"/>
        <v>184.8</v>
      </c>
      <c r="Y496" s="36">
        <f t="shared" si="89"/>
        <v>0.41860000000000003</v>
      </c>
      <c r="Z496" s="56"/>
      <c r="AA496" s="57"/>
      <c r="AE496" s="64"/>
      <c r="BB496" s="347" t="s">
        <v>1</v>
      </c>
      <c r="BL496" s="64">
        <f t="shared" si="90"/>
        <v>192.27272727272725</v>
      </c>
      <c r="BM496" s="64">
        <f t="shared" si="91"/>
        <v>197.39999999999998</v>
      </c>
      <c r="BN496" s="64">
        <f t="shared" si="92"/>
        <v>0.32779720279720276</v>
      </c>
      <c r="BO496" s="64">
        <f t="shared" si="93"/>
        <v>0.33653846153846156</v>
      </c>
    </row>
    <row r="497" spans="1:67" ht="16.5" customHeight="1" x14ac:dyDescent="0.25">
      <c r="A497" s="54" t="s">
        <v>703</v>
      </c>
      <c r="B497" s="54" t="s">
        <v>704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109</v>
      </c>
      <c r="L497" s="33" t="s">
        <v>129</v>
      </c>
      <c r="M497" s="33"/>
      <c r="N497" s="32">
        <v>60</v>
      </c>
      <c r="O497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66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66</v>
      </c>
      <c r="W498" s="403">
        <v>102</v>
      </c>
      <c r="X498" s="404">
        <f t="shared" si="88"/>
        <v>104.4</v>
      </c>
      <c r="Y498" s="36">
        <f>IFERROR(IF(X498=0,"",ROUNDUP(X498/H498,0)*0.00937),"")</f>
        <v>0.27172999999999997</v>
      </c>
      <c r="Z498" s="56"/>
      <c r="AA498" s="57"/>
      <c r="AE498" s="64"/>
      <c r="BB498" s="349" t="s">
        <v>1</v>
      </c>
      <c r="BL498" s="64">
        <f t="shared" si="90"/>
        <v>108.8</v>
      </c>
      <c r="BM498" s="64">
        <f t="shared" si="91"/>
        <v>111.36</v>
      </c>
      <c r="BN498" s="64">
        <f t="shared" si="92"/>
        <v>0.2361111111111111</v>
      </c>
      <c r="BO498" s="64">
        <f t="shared" si="93"/>
        <v>0.24166666666666667</v>
      </c>
    </row>
    <row r="499" spans="1:67" ht="27" customHeight="1" x14ac:dyDescent="0.25">
      <c r="A499" s="54" t="s">
        <v>707</v>
      </c>
      <c r="B499" s="54" t="s">
        <v>708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66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709</v>
      </c>
      <c r="B500" s="54" t="s">
        <v>710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64</v>
      </c>
      <c r="L500" s="33" t="s">
        <v>110</v>
      </c>
      <c r="M500" s="33"/>
      <c r="N500" s="32">
        <v>60</v>
      </c>
      <c r="O500" s="622" t="s">
        <v>711</v>
      </c>
      <c r="P500" s="410"/>
      <c r="Q500" s="410"/>
      <c r="R500" s="410"/>
      <c r="S500" s="408"/>
      <c r="T500" s="34"/>
      <c r="U500" s="34"/>
      <c r="V500" s="35" t="s">
        <v>66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712</v>
      </c>
      <c r="B501" s="54" t="s">
        <v>713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64</v>
      </c>
      <c r="L501" s="33" t="s">
        <v>129</v>
      </c>
      <c r="M501" s="33"/>
      <c r="N501" s="32">
        <v>50</v>
      </c>
      <c r="O501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66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714</v>
      </c>
      <c r="B502" s="54" t="s">
        <v>715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64</v>
      </c>
      <c r="L502" s="33" t="s">
        <v>110</v>
      </c>
      <c r="M502" s="33"/>
      <c r="N502" s="32">
        <v>60</v>
      </c>
      <c r="O502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66</v>
      </c>
      <c r="W502" s="403">
        <v>108</v>
      </c>
      <c r="X502" s="404">
        <f t="shared" si="88"/>
        <v>108</v>
      </c>
      <c r="Y502" s="36">
        <f>IFERROR(IF(X502=0,"",ROUNDUP(X502/H502,0)*0.00937),"")</f>
        <v>0.28110000000000002</v>
      </c>
      <c r="Z502" s="56"/>
      <c r="AA502" s="57"/>
      <c r="AE502" s="64"/>
      <c r="BB502" s="353" t="s">
        <v>1</v>
      </c>
      <c r="BL502" s="64">
        <f t="shared" si="90"/>
        <v>115.19999999999999</v>
      </c>
      <c r="BM502" s="64">
        <f t="shared" si="91"/>
        <v>115.19999999999999</v>
      </c>
      <c r="BN502" s="64">
        <f t="shared" si="92"/>
        <v>0.25</v>
      </c>
      <c r="BO502" s="64">
        <f t="shared" si="93"/>
        <v>0.25</v>
      </c>
    </row>
    <row r="503" spans="1:67" x14ac:dyDescent="0.2">
      <c r="A503" s="41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41" t="s">
        <v>70</v>
      </c>
      <c r="P503" s="442"/>
      <c r="Q503" s="442"/>
      <c r="R503" s="442"/>
      <c r="S503" s="442"/>
      <c r="T503" s="442"/>
      <c r="U503" s="443"/>
      <c r="V503" s="37" t="s">
        <v>71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103.78787878787878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106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1.1149499999999999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5"/>
      <c r="O504" s="441" t="s">
        <v>70</v>
      </c>
      <c r="P504" s="442"/>
      <c r="Q504" s="442"/>
      <c r="R504" s="442"/>
      <c r="S504" s="442"/>
      <c r="T504" s="442"/>
      <c r="U504" s="443"/>
      <c r="V504" s="37" t="s">
        <v>66</v>
      </c>
      <c r="W504" s="405">
        <f>IFERROR(SUM(W491:W502),"0")</f>
        <v>450</v>
      </c>
      <c r="X504" s="405">
        <f>IFERROR(SUM(X491:X502),"0")</f>
        <v>460.56000000000006</v>
      </c>
      <c r="Y504" s="37"/>
      <c r="Z504" s="406"/>
      <c r="AA504" s="406"/>
    </row>
    <row r="505" spans="1:67" ht="14.25" customHeight="1" x14ac:dyDescent="0.25">
      <c r="A505" s="420" t="s">
        <v>106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716</v>
      </c>
      <c r="B506" s="54" t="s">
        <v>717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109</v>
      </c>
      <c r="L506" s="33" t="s">
        <v>110</v>
      </c>
      <c r="M506" s="33"/>
      <c r="N506" s="32">
        <v>55</v>
      </c>
      <c r="O506" s="7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66</v>
      </c>
      <c r="W506" s="403">
        <v>160</v>
      </c>
      <c r="X506" s="404">
        <f>IFERROR(IF(W506="",0,CEILING((W506/$H506),1)*$H506),"")</f>
        <v>163.68</v>
      </c>
      <c r="Y506" s="36">
        <f>IFERROR(IF(X506=0,"",ROUNDUP(X506/H506,0)*0.01196),"")</f>
        <v>0.37075999999999998</v>
      </c>
      <c r="Z506" s="56"/>
      <c r="AA506" s="57"/>
      <c r="AE506" s="64"/>
      <c r="BB506" s="354" t="s">
        <v>1</v>
      </c>
      <c r="BL506" s="64">
        <f>IFERROR(W506*I506/H506,"0")</f>
        <v>170.90909090909091</v>
      </c>
      <c r="BM506" s="64">
        <f>IFERROR(X506*I506/H506,"0")</f>
        <v>174.84</v>
      </c>
      <c r="BN506" s="64">
        <f>IFERROR(1/J506*(W506/H506),"0")</f>
        <v>0.29137529137529139</v>
      </c>
      <c r="BO506" s="64">
        <f>IFERROR(1/J506*(X506/H506),"0")</f>
        <v>0.29807692307692307</v>
      </c>
    </row>
    <row r="507" spans="1:67" ht="16.5" customHeight="1" x14ac:dyDescent="0.25">
      <c r="A507" s="54" t="s">
        <v>718</v>
      </c>
      <c r="B507" s="54" t="s">
        <v>719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64</v>
      </c>
      <c r="L507" s="33" t="s">
        <v>110</v>
      </c>
      <c r="M507" s="33"/>
      <c r="N507" s="32">
        <v>55</v>
      </c>
      <c r="O507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66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41" t="s">
        <v>70</v>
      </c>
      <c r="P508" s="442"/>
      <c r="Q508" s="442"/>
      <c r="R508" s="442"/>
      <c r="S508" s="442"/>
      <c r="T508" s="442"/>
      <c r="U508" s="443"/>
      <c r="V508" s="37" t="s">
        <v>71</v>
      </c>
      <c r="W508" s="405">
        <f>IFERROR(W506/H506,"0")+IFERROR(W507/H507,"0")</f>
        <v>30.303030303030301</v>
      </c>
      <c r="X508" s="405">
        <f>IFERROR(X506/H506,"0")+IFERROR(X507/H507,"0")</f>
        <v>31</v>
      </c>
      <c r="Y508" s="405">
        <f>IFERROR(IF(Y506="",0,Y506),"0")+IFERROR(IF(Y507="",0,Y507),"0")</f>
        <v>0.37075999999999998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5"/>
      <c r="O509" s="441" t="s">
        <v>70</v>
      </c>
      <c r="P509" s="442"/>
      <c r="Q509" s="442"/>
      <c r="R509" s="442"/>
      <c r="S509" s="442"/>
      <c r="T509" s="442"/>
      <c r="U509" s="443"/>
      <c r="V509" s="37" t="s">
        <v>66</v>
      </c>
      <c r="W509" s="405">
        <f>IFERROR(SUM(W506:W507),"0")</f>
        <v>160</v>
      </c>
      <c r="X509" s="405">
        <f>IFERROR(SUM(X506:X507),"0")</f>
        <v>163.68</v>
      </c>
      <c r="Y509" s="37"/>
      <c r="Z509" s="406"/>
      <c r="AA509" s="406"/>
    </row>
    <row r="510" spans="1:67" ht="14.25" customHeight="1" x14ac:dyDescent="0.25">
      <c r="A510" s="420" t="s">
        <v>61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720</v>
      </c>
      <c r="B511" s="54" t="s">
        <v>721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109</v>
      </c>
      <c r="L511" s="33" t="s">
        <v>110</v>
      </c>
      <c r="M511" s="33"/>
      <c r="N511" s="32">
        <v>60</v>
      </c>
      <c r="O511" s="8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66</v>
      </c>
      <c r="W511" s="403">
        <v>100</v>
      </c>
      <c r="X511" s="404">
        <f t="shared" ref="X511:X516" si="94">IFERROR(IF(W511="",0,CEILING((W511/$H511),1)*$H511),"")</f>
        <v>100.32000000000001</v>
      </c>
      <c r="Y511" s="36">
        <f>IFERROR(IF(X511=0,"",ROUNDUP(X511/H511,0)*0.01196),"")</f>
        <v>0.22724</v>
      </c>
      <c r="Z511" s="56"/>
      <c r="AA511" s="57"/>
      <c r="AE511" s="64"/>
      <c r="BB511" s="356" t="s">
        <v>1</v>
      </c>
      <c r="BL511" s="64">
        <f t="shared" ref="BL511:BL516" si="95">IFERROR(W511*I511/H511,"0")</f>
        <v>106.81818181818181</v>
      </c>
      <c r="BM511" s="64">
        <f t="shared" ref="BM511:BM516" si="96">IFERROR(X511*I511/H511,"0")</f>
        <v>107.16</v>
      </c>
      <c r="BN511" s="64">
        <f t="shared" ref="BN511:BN516" si="97">IFERROR(1/J511*(W511/H511),"0")</f>
        <v>0.18210955710955709</v>
      </c>
      <c r="BO511" s="64">
        <f t="shared" ref="BO511:BO516" si="98">IFERROR(1/J511*(X511/H511),"0")</f>
        <v>0.18269230769230771</v>
      </c>
    </row>
    <row r="512" spans="1:67" ht="27" customHeight="1" x14ac:dyDescent="0.25">
      <c r="A512" s="54" t="s">
        <v>722</v>
      </c>
      <c r="B512" s="54" t="s">
        <v>723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66</v>
      </c>
      <c r="W512" s="403">
        <v>50</v>
      </c>
      <c r="X512" s="404">
        <f t="shared" si="94"/>
        <v>52.800000000000004</v>
      </c>
      <c r="Y512" s="36">
        <f>IFERROR(IF(X512=0,"",ROUNDUP(X512/H512,0)*0.01196),"")</f>
        <v>0.1196</v>
      </c>
      <c r="Z512" s="56"/>
      <c r="AA512" s="57"/>
      <c r="AE512" s="64"/>
      <c r="BB512" s="357" t="s">
        <v>1</v>
      </c>
      <c r="BL512" s="64">
        <f t="shared" si="95"/>
        <v>53.409090909090907</v>
      </c>
      <c r="BM512" s="64">
        <f t="shared" si="96"/>
        <v>56.400000000000006</v>
      </c>
      <c r="BN512" s="64">
        <f t="shared" si="97"/>
        <v>9.1054778554778545E-2</v>
      </c>
      <c r="BO512" s="64">
        <f t="shared" si="98"/>
        <v>9.6153846153846159E-2</v>
      </c>
    </row>
    <row r="513" spans="1:67" ht="27" customHeight="1" x14ac:dyDescent="0.25">
      <c r="A513" s="54" t="s">
        <v>724</v>
      </c>
      <c r="B513" s="54" t="s">
        <v>725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109</v>
      </c>
      <c r="L513" s="33" t="s">
        <v>65</v>
      </c>
      <c r="M513" s="33"/>
      <c r="N513" s="32">
        <v>60</v>
      </c>
      <c r="O513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66</v>
      </c>
      <c r="W513" s="403">
        <v>140</v>
      </c>
      <c r="X513" s="404">
        <f t="shared" si="94"/>
        <v>142.56</v>
      </c>
      <c r="Y513" s="36">
        <f>IFERROR(IF(X513=0,"",ROUNDUP(X513/H513,0)*0.01196),"")</f>
        <v>0.32291999999999998</v>
      </c>
      <c r="Z513" s="56"/>
      <c r="AA513" s="57"/>
      <c r="AE513" s="64"/>
      <c r="BB513" s="358" t="s">
        <v>1</v>
      </c>
      <c r="BL513" s="64">
        <f t="shared" si="95"/>
        <v>149.54545454545453</v>
      </c>
      <c r="BM513" s="64">
        <f t="shared" si="96"/>
        <v>152.27999999999997</v>
      </c>
      <c r="BN513" s="64">
        <f t="shared" si="97"/>
        <v>0.25495337995337997</v>
      </c>
      <c r="BO513" s="64">
        <f t="shared" si="98"/>
        <v>0.25961538461538464</v>
      </c>
    </row>
    <row r="514" spans="1:67" ht="27" customHeight="1" x14ac:dyDescent="0.25">
      <c r="A514" s="54" t="s">
        <v>726</v>
      </c>
      <c r="B514" s="54" t="s">
        <v>727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64</v>
      </c>
      <c r="L514" s="33" t="s">
        <v>110</v>
      </c>
      <c r="M514" s="33"/>
      <c r="N514" s="32">
        <v>60</v>
      </c>
      <c r="O514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66</v>
      </c>
      <c r="W514" s="403">
        <v>12</v>
      </c>
      <c r="X514" s="404">
        <f t="shared" si="94"/>
        <v>14.4</v>
      </c>
      <c r="Y514" s="36">
        <f>IFERROR(IF(X514=0,"",ROUNDUP(X514/H514,0)*0.00937),"")</f>
        <v>3.7479999999999999E-2</v>
      </c>
      <c r="Z514" s="56"/>
      <c r="AA514" s="57"/>
      <c r="AE514" s="64"/>
      <c r="BB514" s="359" t="s">
        <v>1</v>
      </c>
      <c r="BL514" s="64">
        <f t="shared" si="95"/>
        <v>12.799999999999999</v>
      </c>
      <c r="BM514" s="64">
        <f t="shared" si="96"/>
        <v>15.36</v>
      </c>
      <c r="BN514" s="64">
        <f t="shared" si="97"/>
        <v>2.7777777777777776E-2</v>
      </c>
      <c r="BO514" s="64">
        <f t="shared" si="98"/>
        <v>3.3333333333333333E-2</v>
      </c>
    </row>
    <row r="515" spans="1:67" ht="27" customHeight="1" x14ac:dyDescent="0.25">
      <c r="A515" s="54" t="s">
        <v>728</v>
      </c>
      <c r="B515" s="54" t="s">
        <v>729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66</v>
      </c>
      <c r="W515" s="403">
        <v>12</v>
      </c>
      <c r="X515" s="404">
        <f t="shared" si="94"/>
        <v>14.4</v>
      </c>
      <c r="Y515" s="36">
        <f>IFERROR(IF(X515=0,"",ROUNDUP(X515/H515,0)*0.00937),"")</f>
        <v>3.7479999999999999E-2</v>
      </c>
      <c r="Z515" s="56"/>
      <c r="AA515" s="57"/>
      <c r="AE515" s="64"/>
      <c r="BB515" s="360" t="s">
        <v>1</v>
      </c>
      <c r="BL515" s="64">
        <f t="shared" si="95"/>
        <v>12.7</v>
      </c>
      <c r="BM515" s="64">
        <f t="shared" si="96"/>
        <v>15.24</v>
      </c>
      <c r="BN515" s="64">
        <f t="shared" si="97"/>
        <v>2.7777777777777776E-2</v>
      </c>
      <c r="BO515" s="64">
        <f t="shared" si="98"/>
        <v>3.3333333333333333E-2</v>
      </c>
    </row>
    <row r="516" spans="1:67" ht="27" customHeight="1" x14ac:dyDescent="0.25">
      <c r="A516" s="54" t="s">
        <v>730</v>
      </c>
      <c r="B516" s="54" t="s">
        <v>731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66</v>
      </c>
      <c r="W516" s="403">
        <v>60</v>
      </c>
      <c r="X516" s="404">
        <f t="shared" si="94"/>
        <v>61.2</v>
      </c>
      <c r="Y516" s="36">
        <f>IFERROR(IF(X516=0,"",ROUNDUP(X516/H516,0)*0.00937),"")</f>
        <v>0.15928999999999999</v>
      </c>
      <c r="Z516" s="56"/>
      <c r="AA516" s="57"/>
      <c r="AE516" s="64"/>
      <c r="BB516" s="361" t="s">
        <v>1</v>
      </c>
      <c r="BL516" s="64">
        <f t="shared" si="95"/>
        <v>63.5</v>
      </c>
      <c r="BM516" s="64">
        <f t="shared" si="96"/>
        <v>64.77000000000001</v>
      </c>
      <c r="BN516" s="64">
        <f t="shared" si="97"/>
        <v>0.1388888888888889</v>
      </c>
      <c r="BO516" s="64">
        <f t="shared" si="98"/>
        <v>0.14166666666666666</v>
      </c>
    </row>
    <row r="517" spans="1:67" x14ac:dyDescent="0.2">
      <c r="A517" s="41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41" t="s">
        <v>70</v>
      </c>
      <c r="P517" s="442"/>
      <c r="Q517" s="442"/>
      <c r="R517" s="442"/>
      <c r="S517" s="442"/>
      <c r="T517" s="442"/>
      <c r="U517" s="443"/>
      <c r="V517" s="37" t="s">
        <v>71</v>
      </c>
      <c r="W517" s="405">
        <f>IFERROR(W511/H511,"0")+IFERROR(W512/H512,"0")+IFERROR(W513/H513,"0")+IFERROR(W514/H514,"0")+IFERROR(W515/H515,"0")+IFERROR(W516/H516,"0")</f>
        <v>78.257575757575765</v>
      </c>
      <c r="X517" s="405">
        <f>IFERROR(X511/H511,"0")+IFERROR(X512/H512,"0")+IFERROR(X513/H513,"0")+IFERROR(X514/H514,"0")+IFERROR(X515/H515,"0")+IFERROR(X516/H516,"0")</f>
        <v>81</v>
      </c>
      <c r="Y517" s="405">
        <f>IFERROR(IF(Y511="",0,Y511),"0")+IFERROR(IF(Y512="",0,Y512),"0")+IFERROR(IF(Y513="",0,Y513),"0")+IFERROR(IF(Y514="",0,Y514),"0")+IFERROR(IF(Y515="",0,Y515),"0")+IFERROR(IF(Y516="",0,Y516),"0")</f>
        <v>0.90400999999999976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5"/>
      <c r="O518" s="441" t="s">
        <v>70</v>
      </c>
      <c r="P518" s="442"/>
      <c r="Q518" s="442"/>
      <c r="R518" s="442"/>
      <c r="S518" s="442"/>
      <c r="T518" s="442"/>
      <c r="U518" s="443"/>
      <c r="V518" s="37" t="s">
        <v>66</v>
      </c>
      <c r="W518" s="405">
        <f>IFERROR(SUM(W511:W516),"0")</f>
        <v>374</v>
      </c>
      <c r="X518" s="405">
        <f>IFERROR(SUM(X511:X516),"0")</f>
        <v>385.67999999999995</v>
      </c>
      <c r="Y518" s="37"/>
      <c r="Z518" s="406"/>
      <c r="AA518" s="406"/>
    </row>
    <row r="519" spans="1:67" ht="14.25" customHeight="1" x14ac:dyDescent="0.25">
      <c r="A519" s="420" t="s">
        <v>72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customHeight="1" x14ac:dyDescent="0.25">
      <c r="A520" s="54" t="s">
        <v>732</v>
      </c>
      <c r="B520" s="54" t="s">
        <v>733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5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66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customHeight="1" x14ac:dyDescent="0.25">
      <c r="A521" s="54" t="s">
        <v>734</v>
      </c>
      <c r="B521" s="54" t="s">
        <v>735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109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66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customHeight="1" x14ac:dyDescent="0.25">
      <c r="A522" s="54" t="s">
        <v>736</v>
      </c>
      <c r="B522" s="54" t="s">
        <v>737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64</v>
      </c>
      <c r="L522" s="33" t="s">
        <v>65</v>
      </c>
      <c r="M522" s="33"/>
      <c r="N522" s="32">
        <v>45</v>
      </c>
      <c r="O522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66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x14ac:dyDescent="0.2">
      <c r="A523" s="41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41" t="s">
        <v>70</v>
      </c>
      <c r="P523" s="442"/>
      <c r="Q523" s="442"/>
      <c r="R523" s="442"/>
      <c r="S523" s="442"/>
      <c r="T523" s="442"/>
      <c r="U523" s="443"/>
      <c r="V523" s="37" t="s">
        <v>71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5"/>
      <c r="O524" s="441" t="s">
        <v>70</v>
      </c>
      <c r="P524" s="442"/>
      <c r="Q524" s="442"/>
      <c r="R524" s="442"/>
      <c r="S524" s="442"/>
      <c r="T524" s="442"/>
      <c r="U524" s="443"/>
      <c r="V524" s="37" t="s">
        <v>66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customHeight="1" x14ac:dyDescent="0.25">
      <c r="A525" s="420" t="s">
        <v>219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customHeight="1" x14ac:dyDescent="0.25">
      <c r="A526" s="54" t="s">
        <v>738</v>
      </c>
      <c r="B526" s="54" t="s">
        <v>739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109</v>
      </c>
      <c r="L526" s="33" t="s">
        <v>65</v>
      </c>
      <c r="M526" s="33"/>
      <c r="N526" s="32">
        <v>35</v>
      </c>
      <c r="O526" s="5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66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1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41" t="s">
        <v>70</v>
      </c>
      <c r="P527" s="442"/>
      <c r="Q527" s="442"/>
      <c r="R527" s="442"/>
      <c r="S527" s="442"/>
      <c r="T527" s="442"/>
      <c r="U527" s="443"/>
      <c r="V527" s="37" t="s">
        <v>71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15"/>
      <c r="O528" s="441" t="s">
        <v>70</v>
      </c>
      <c r="P528" s="442"/>
      <c r="Q528" s="442"/>
      <c r="R528" s="442"/>
      <c r="S528" s="442"/>
      <c r="T528" s="442"/>
      <c r="U528" s="443"/>
      <c r="V528" s="37" t="s">
        <v>66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customHeight="1" x14ac:dyDescent="0.2">
      <c r="A529" s="470" t="s">
        <v>740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48"/>
      <c r="AA529" s="48"/>
    </row>
    <row r="530" spans="1:67" ht="16.5" customHeight="1" x14ac:dyDescent="0.25">
      <c r="A530" s="411" t="s">
        <v>740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customHeight="1" x14ac:dyDescent="0.25">
      <c r="A531" s="420" t="s">
        <v>114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customHeight="1" x14ac:dyDescent="0.25">
      <c r="A532" s="54" t="s">
        <v>741</v>
      </c>
      <c r="B532" s="54" t="s">
        <v>742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109</v>
      </c>
      <c r="L532" s="33" t="s">
        <v>129</v>
      </c>
      <c r="M532" s="33"/>
      <c r="N532" s="32">
        <v>55</v>
      </c>
      <c r="O532" s="714" t="s">
        <v>743</v>
      </c>
      <c r="P532" s="410"/>
      <c r="Q532" s="410"/>
      <c r="R532" s="410"/>
      <c r="S532" s="408"/>
      <c r="T532" s="34"/>
      <c r="U532" s="34"/>
      <c r="V532" s="35" t="s">
        <v>66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109</v>
      </c>
      <c r="L533" s="33" t="s">
        <v>110</v>
      </c>
      <c r="M533" s="33"/>
      <c r="N533" s="32">
        <v>55</v>
      </c>
      <c r="O533" s="753" t="s">
        <v>746</v>
      </c>
      <c r="P533" s="410"/>
      <c r="Q533" s="410"/>
      <c r="R533" s="410"/>
      <c r="S533" s="408"/>
      <c r="T533" s="34"/>
      <c r="U533" s="34"/>
      <c r="V533" s="35" t="s">
        <v>66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109</v>
      </c>
      <c r="L534" s="33" t="s">
        <v>110</v>
      </c>
      <c r="M534" s="33"/>
      <c r="N534" s="32">
        <v>50</v>
      </c>
      <c r="O534" s="785" t="s">
        <v>749</v>
      </c>
      <c r="P534" s="410"/>
      <c r="Q534" s="410"/>
      <c r="R534" s="410"/>
      <c r="S534" s="408"/>
      <c r="T534" s="34"/>
      <c r="U534" s="34"/>
      <c r="V534" s="35" t="s">
        <v>66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750</v>
      </c>
      <c r="B535" s="54" t="s">
        <v>751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109</v>
      </c>
      <c r="L535" s="33" t="s">
        <v>110</v>
      </c>
      <c r="M535" s="33"/>
      <c r="N535" s="32">
        <v>55</v>
      </c>
      <c r="O535" s="703" t="s">
        <v>752</v>
      </c>
      <c r="P535" s="410"/>
      <c r="Q535" s="410"/>
      <c r="R535" s="410"/>
      <c r="S535" s="408"/>
      <c r="T535" s="34"/>
      <c r="U535" s="34"/>
      <c r="V535" s="35" t="s">
        <v>66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753</v>
      </c>
      <c r="B536" s="54" t="s">
        <v>754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109</v>
      </c>
      <c r="L536" s="33" t="s">
        <v>110</v>
      </c>
      <c r="M536" s="33"/>
      <c r="N536" s="32">
        <v>50</v>
      </c>
      <c r="O536" s="787" t="s">
        <v>755</v>
      </c>
      <c r="P536" s="410"/>
      <c r="Q536" s="410"/>
      <c r="R536" s="410"/>
      <c r="S536" s="408"/>
      <c r="T536" s="34"/>
      <c r="U536" s="34"/>
      <c r="V536" s="35" t="s">
        <v>66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756</v>
      </c>
      <c r="B537" s="54" t="s">
        <v>757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109</v>
      </c>
      <c r="L537" s="33" t="s">
        <v>110</v>
      </c>
      <c r="M537" s="33"/>
      <c r="N537" s="32">
        <v>55</v>
      </c>
      <c r="O537" s="727" t="s">
        <v>758</v>
      </c>
      <c r="P537" s="410"/>
      <c r="Q537" s="410"/>
      <c r="R537" s="410"/>
      <c r="S537" s="408"/>
      <c r="T537" s="34"/>
      <c r="U537" s="34"/>
      <c r="V537" s="35" t="s">
        <v>66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759</v>
      </c>
      <c r="B538" s="54" t="s">
        <v>760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64</v>
      </c>
      <c r="L538" s="33" t="s">
        <v>129</v>
      </c>
      <c r="M538" s="33"/>
      <c r="N538" s="32">
        <v>55</v>
      </c>
      <c r="O538" s="617" t="s">
        <v>761</v>
      </c>
      <c r="P538" s="410"/>
      <c r="Q538" s="410"/>
      <c r="R538" s="410"/>
      <c r="S538" s="408"/>
      <c r="T538" s="34"/>
      <c r="U538" s="34"/>
      <c r="V538" s="35" t="s">
        <v>66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762</v>
      </c>
      <c r="B539" s="54" t="s">
        <v>763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64</v>
      </c>
      <c r="L539" s="33" t="s">
        <v>110</v>
      </c>
      <c r="M539" s="33"/>
      <c r="N539" s="32">
        <v>50</v>
      </c>
      <c r="O539" s="520" t="s">
        <v>764</v>
      </c>
      <c r="P539" s="410"/>
      <c r="Q539" s="410"/>
      <c r="R539" s="410"/>
      <c r="S539" s="408"/>
      <c r="T539" s="34"/>
      <c r="U539" s="34"/>
      <c r="V539" s="35" t="s">
        <v>66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765</v>
      </c>
      <c r="B540" s="54" t="s">
        <v>766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64</v>
      </c>
      <c r="L540" s="33" t="s">
        <v>110</v>
      </c>
      <c r="M540" s="33"/>
      <c r="N540" s="32">
        <v>55</v>
      </c>
      <c r="O540" s="620" t="s">
        <v>767</v>
      </c>
      <c r="P540" s="410"/>
      <c r="Q540" s="410"/>
      <c r="R540" s="410"/>
      <c r="S540" s="408"/>
      <c r="T540" s="34"/>
      <c r="U540" s="34"/>
      <c r="V540" s="35" t="s">
        <v>66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1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41" t="s">
        <v>70</v>
      </c>
      <c r="P541" s="442"/>
      <c r="Q541" s="442"/>
      <c r="R541" s="442"/>
      <c r="S541" s="442"/>
      <c r="T541" s="442"/>
      <c r="U541" s="443"/>
      <c r="V541" s="37" t="s">
        <v>71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5"/>
      <c r="O542" s="441" t="s">
        <v>70</v>
      </c>
      <c r="P542" s="442"/>
      <c r="Q542" s="442"/>
      <c r="R542" s="442"/>
      <c r="S542" s="442"/>
      <c r="T542" s="442"/>
      <c r="U542" s="443"/>
      <c r="V542" s="37" t="s">
        <v>66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customHeight="1" x14ac:dyDescent="0.25">
      <c r="A543" s="420" t="s">
        <v>106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customHeight="1" x14ac:dyDescent="0.25">
      <c r="A544" s="54" t="s">
        <v>768</v>
      </c>
      <c r="B544" s="54" t="s">
        <v>769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109</v>
      </c>
      <c r="L544" s="33" t="s">
        <v>110</v>
      </c>
      <c r="M544" s="33"/>
      <c r="N544" s="32">
        <v>50</v>
      </c>
      <c r="O544" s="567" t="s">
        <v>770</v>
      </c>
      <c r="P544" s="410"/>
      <c r="Q544" s="410"/>
      <c r="R544" s="410"/>
      <c r="S544" s="408"/>
      <c r="T544" s="34"/>
      <c r="U544" s="34"/>
      <c r="V544" s="35" t="s">
        <v>66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customHeight="1" x14ac:dyDescent="0.25">
      <c r="A545" s="54" t="s">
        <v>771</v>
      </c>
      <c r="B545" s="54" t="s">
        <v>772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109</v>
      </c>
      <c r="L545" s="33" t="s">
        <v>129</v>
      </c>
      <c r="M545" s="33"/>
      <c r="N545" s="32">
        <v>50</v>
      </c>
      <c r="O545" s="579" t="s">
        <v>773</v>
      </c>
      <c r="P545" s="410"/>
      <c r="Q545" s="410"/>
      <c r="R545" s="410"/>
      <c r="S545" s="408"/>
      <c r="T545" s="34"/>
      <c r="U545" s="34"/>
      <c r="V545" s="35" t="s">
        <v>66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774</v>
      </c>
      <c r="B546" s="54" t="s">
        <v>775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2" t="s">
        <v>776</v>
      </c>
      <c r="P546" s="410"/>
      <c r="Q546" s="410"/>
      <c r="R546" s="410"/>
      <c r="S546" s="408"/>
      <c r="T546" s="34"/>
      <c r="U546" s="34"/>
      <c r="V546" s="35" t="s">
        <v>66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777</v>
      </c>
      <c r="B547" s="54" t="s">
        <v>778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109</v>
      </c>
      <c r="L547" s="33" t="s">
        <v>110</v>
      </c>
      <c r="M547" s="33"/>
      <c r="N547" s="32">
        <v>50</v>
      </c>
      <c r="O547" s="784" t="s">
        <v>779</v>
      </c>
      <c r="P547" s="410"/>
      <c r="Q547" s="410"/>
      <c r="R547" s="410"/>
      <c r="S547" s="408"/>
      <c r="T547" s="34"/>
      <c r="U547" s="34"/>
      <c r="V547" s="35" t="s">
        <v>66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780</v>
      </c>
      <c r="B548" s="54" t="s">
        <v>781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64</v>
      </c>
      <c r="L548" s="33" t="s">
        <v>110</v>
      </c>
      <c r="M548" s="33"/>
      <c r="N548" s="32">
        <v>50</v>
      </c>
      <c r="O548" s="619" t="s">
        <v>782</v>
      </c>
      <c r="P548" s="410"/>
      <c r="Q548" s="410"/>
      <c r="R548" s="410"/>
      <c r="S548" s="408"/>
      <c r="T548" s="34"/>
      <c r="U548" s="34"/>
      <c r="V548" s="35" t="s">
        <v>66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41" t="s">
        <v>70</v>
      </c>
      <c r="P549" s="442"/>
      <c r="Q549" s="442"/>
      <c r="R549" s="442"/>
      <c r="S549" s="442"/>
      <c r="T549" s="442"/>
      <c r="U549" s="443"/>
      <c r="V549" s="37" t="s">
        <v>71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5"/>
      <c r="O550" s="441" t="s">
        <v>70</v>
      </c>
      <c r="P550" s="442"/>
      <c r="Q550" s="442"/>
      <c r="R550" s="442"/>
      <c r="S550" s="442"/>
      <c r="T550" s="442"/>
      <c r="U550" s="443"/>
      <c r="V550" s="37" t="s">
        <v>66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customHeight="1" x14ac:dyDescent="0.25">
      <c r="A551" s="420" t="s">
        <v>61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customHeight="1" x14ac:dyDescent="0.25">
      <c r="A552" s="54" t="s">
        <v>783</v>
      </c>
      <c r="B552" s="54" t="s">
        <v>784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3" t="s">
        <v>785</v>
      </c>
      <c r="P552" s="410"/>
      <c r="Q552" s="410"/>
      <c r="R552" s="410"/>
      <c r="S552" s="408"/>
      <c r="T552" s="34"/>
      <c r="U552" s="34"/>
      <c r="V552" s="35" t="s">
        <v>66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786</v>
      </c>
      <c r="B553" s="54" t="s">
        <v>787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6" t="s">
        <v>788</v>
      </c>
      <c r="P553" s="410"/>
      <c r="Q553" s="410"/>
      <c r="R553" s="410"/>
      <c r="S553" s="408"/>
      <c r="T553" s="34"/>
      <c r="U553" s="34"/>
      <c r="V553" s="35" t="s">
        <v>66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789</v>
      </c>
      <c r="B554" s="54" t="s">
        <v>790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6" t="s">
        <v>791</v>
      </c>
      <c r="P554" s="410"/>
      <c r="Q554" s="410"/>
      <c r="R554" s="410"/>
      <c r="S554" s="408"/>
      <c r="T554" s="34"/>
      <c r="U554" s="34"/>
      <c r="V554" s="35" t="s">
        <v>66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792</v>
      </c>
      <c r="B555" s="54" t="s">
        <v>793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19" t="s">
        <v>794</v>
      </c>
      <c r="P555" s="410"/>
      <c r="Q555" s="410"/>
      <c r="R555" s="410"/>
      <c r="S555" s="408"/>
      <c r="T555" s="34"/>
      <c r="U555" s="34"/>
      <c r="V555" s="35" t="s">
        <v>66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795</v>
      </c>
      <c r="B556" s="54" t="s">
        <v>796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601" t="s">
        <v>797</v>
      </c>
      <c r="P556" s="410"/>
      <c r="Q556" s="410"/>
      <c r="R556" s="410"/>
      <c r="S556" s="408"/>
      <c r="T556" s="34"/>
      <c r="U556" s="34"/>
      <c r="V556" s="35" t="s">
        <v>66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1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41" t="s">
        <v>70</v>
      </c>
      <c r="P557" s="442"/>
      <c r="Q557" s="442"/>
      <c r="R557" s="442"/>
      <c r="S557" s="442"/>
      <c r="T557" s="442"/>
      <c r="U557" s="443"/>
      <c r="V557" s="37" t="s">
        <v>71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5"/>
      <c r="O558" s="441" t="s">
        <v>70</v>
      </c>
      <c r="P558" s="442"/>
      <c r="Q558" s="442"/>
      <c r="R558" s="442"/>
      <c r="S558" s="442"/>
      <c r="T558" s="442"/>
      <c r="U558" s="443"/>
      <c r="V558" s="37" t="s">
        <v>66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customHeight="1" x14ac:dyDescent="0.25">
      <c r="A559" s="420" t="s">
        <v>72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798</v>
      </c>
      <c r="B560" s="54" t="s">
        <v>799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109</v>
      </c>
      <c r="L560" s="33" t="s">
        <v>129</v>
      </c>
      <c r="M560" s="33"/>
      <c r="N560" s="32">
        <v>40</v>
      </c>
      <c r="O560" s="793" t="s">
        <v>800</v>
      </c>
      <c r="P560" s="410"/>
      <c r="Q560" s="410"/>
      <c r="R560" s="410"/>
      <c r="S560" s="408"/>
      <c r="T560" s="34"/>
      <c r="U560" s="34"/>
      <c r="V560" s="35" t="s">
        <v>66</v>
      </c>
      <c r="W560" s="403">
        <v>200</v>
      </c>
      <c r="X560" s="404">
        <f>IFERROR(IF(W560="",0,CEILING((W560/$H560),1)*$H560),"")</f>
        <v>202.79999999999998</v>
      </c>
      <c r="Y560" s="36">
        <f>IFERROR(IF(X560=0,"",ROUNDUP(X560/H560,0)*0.02175),"")</f>
        <v>0.5655</v>
      </c>
      <c r="Z560" s="56"/>
      <c r="AA560" s="57"/>
      <c r="AE560" s="64"/>
      <c r="BB560" s="385" t="s">
        <v>1</v>
      </c>
      <c r="BL560" s="64">
        <f>IFERROR(W560*I560/H560,"0")</f>
        <v>214.46153846153848</v>
      </c>
      <c r="BM560" s="64">
        <f>IFERROR(X560*I560/H560,"0")</f>
        <v>217.464</v>
      </c>
      <c r="BN560" s="64">
        <f>IFERROR(1/J560*(W560/H560),"0")</f>
        <v>0.45787545787545786</v>
      </c>
      <c r="BO560" s="64">
        <f>IFERROR(1/J560*(X560/H560),"0")</f>
        <v>0.46428571428571425</v>
      </c>
    </row>
    <row r="561" spans="1:67" ht="27" customHeight="1" x14ac:dyDescent="0.25">
      <c r="A561" s="54" t="s">
        <v>801</v>
      </c>
      <c r="B561" s="54" t="s">
        <v>802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109</v>
      </c>
      <c r="L561" s="33" t="s">
        <v>65</v>
      </c>
      <c r="M561" s="33"/>
      <c r="N561" s="32">
        <v>45</v>
      </c>
      <c r="O561" s="766" t="s">
        <v>803</v>
      </c>
      <c r="P561" s="410"/>
      <c r="Q561" s="410"/>
      <c r="R561" s="410"/>
      <c r="S561" s="408"/>
      <c r="T561" s="34"/>
      <c r="U561" s="34"/>
      <c r="V561" s="35" t="s">
        <v>66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804</v>
      </c>
      <c r="B562" s="54" t="s">
        <v>805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109</v>
      </c>
      <c r="L562" s="33" t="s">
        <v>65</v>
      </c>
      <c r="M562" s="33"/>
      <c r="N562" s="32">
        <v>30</v>
      </c>
      <c r="O562" s="799" t="s">
        <v>806</v>
      </c>
      <c r="P562" s="410"/>
      <c r="Q562" s="410"/>
      <c r="R562" s="410"/>
      <c r="S562" s="408"/>
      <c r="T562" s="34"/>
      <c r="U562" s="34"/>
      <c r="V562" s="35" t="s">
        <v>66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807</v>
      </c>
      <c r="B563" s="54" t="s">
        <v>808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69</v>
      </c>
      <c r="L563" s="33" t="s">
        <v>65</v>
      </c>
      <c r="M563" s="33"/>
      <c r="N563" s="32">
        <v>40</v>
      </c>
      <c r="O563" s="597" t="s">
        <v>809</v>
      </c>
      <c r="P563" s="410"/>
      <c r="Q563" s="410"/>
      <c r="R563" s="410"/>
      <c r="S563" s="408"/>
      <c r="T563" s="34"/>
      <c r="U563" s="34"/>
      <c r="V563" s="35" t="s">
        <v>66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810</v>
      </c>
      <c r="B564" s="54" t="s">
        <v>811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69</v>
      </c>
      <c r="L564" s="33" t="s">
        <v>65</v>
      </c>
      <c r="M564" s="33"/>
      <c r="N564" s="32">
        <v>30</v>
      </c>
      <c r="O564" s="626" t="s">
        <v>812</v>
      </c>
      <c r="P564" s="410"/>
      <c r="Q564" s="410"/>
      <c r="R564" s="410"/>
      <c r="S564" s="408"/>
      <c r="T564" s="34"/>
      <c r="U564" s="34"/>
      <c r="V564" s="35" t="s">
        <v>66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41" t="s">
        <v>70</v>
      </c>
      <c r="P565" s="442"/>
      <c r="Q565" s="442"/>
      <c r="R565" s="442"/>
      <c r="S565" s="442"/>
      <c r="T565" s="442"/>
      <c r="U565" s="443"/>
      <c r="V565" s="37" t="s">
        <v>71</v>
      </c>
      <c r="W565" s="405">
        <f>IFERROR(W560/H560,"0")+IFERROR(W561/H561,"0")+IFERROR(W562/H562,"0")+IFERROR(W563/H563,"0")+IFERROR(W564/H564,"0")</f>
        <v>25.641025641025642</v>
      </c>
      <c r="X565" s="405">
        <f>IFERROR(X560/H560,"0")+IFERROR(X561/H561,"0")+IFERROR(X562/H562,"0")+IFERROR(X563/H563,"0")+IFERROR(X564/H564,"0")</f>
        <v>26</v>
      </c>
      <c r="Y565" s="405">
        <f>IFERROR(IF(Y560="",0,Y560),"0")+IFERROR(IF(Y561="",0,Y561),"0")+IFERROR(IF(Y562="",0,Y562),"0")+IFERROR(IF(Y563="",0,Y563),"0")+IFERROR(IF(Y564="",0,Y564),"0")</f>
        <v>0.5655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5"/>
      <c r="O566" s="441" t="s">
        <v>70</v>
      </c>
      <c r="P566" s="442"/>
      <c r="Q566" s="442"/>
      <c r="R566" s="442"/>
      <c r="S566" s="442"/>
      <c r="T566" s="442"/>
      <c r="U566" s="443"/>
      <c r="V566" s="37" t="s">
        <v>66</v>
      </c>
      <c r="W566" s="405">
        <f>IFERROR(SUM(W560:W564),"0")</f>
        <v>200</v>
      </c>
      <c r="X566" s="405">
        <f>IFERROR(SUM(X560:X564),"0")</f>
        <v>202.79999999999998</v>
      </c>
      <c r="Y566" s="37"/>
      <c r="Z566" s="406"/>
      <c r="AA566" s="406"/>
    </row>
    <row r="567" spans="1:67" ht="14.25" customHeight="1" x14ac:dyDescent="0.25">
      <c r="A567" s="420" t="s">
        <v>219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customHeight="1" x14ac:dyDescent="0.25">
      <c r="A568" s="54" t="s">
        <v>813</v>
      </c>
      <c r="B568" s="54" t="s">
        <v>814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8" t="s">
        <v>815</v>
      </c>
      <c r="P568" s="410"/>
      <c r="Q568" s="410"/>
      <c r="R568" s="410"/>
      <c r="S568" s="408"/>
      <c r="T568" s="34"/>
      <c r="U568" s="34"/>
      <c r="V568" s="35" t="s">
        <v>66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813</v>
      </c>
      <c r="B569" s="54" t="s">
        <v>816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75" t="s">
        <v>817</v>
      </c>
      <c r="P569" s="410"/>
      <c r="Q569" s="410"/>
      <c r="R569" s="410"/>
      <c r="S569" s="408"/>
      <c r="T569" s="34"/>
      <c r="U569" s="34"/>
      <c r="V569" s="35" t="s">
        <v>66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818</v>
      </c>
      <c r="B570" s="54" t="s">
        <v>819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30" t="s">
        <v>820</v>
      </c>
      <c r="P570" s="410"/>
      <c r="Q570" s="410"/>
      <c r="R570" s="410"/>
      <c r="S570" s="408"/>
      <c r="T570" s="34"/>
      <c r="U570" s="34"/>
      <c r="V570" s="35" t="s">
        <v>66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818</v>
      </c>
      <c r="B571" s="54" t="s">
        <v>821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109</v>
      </c>
      <c r="L571" s="33" t="s">
        <v>65</v>
      </c>
      <c r="M571" s="33"/>
      <c r="N571" s="32">
        <v>40</v>
      </c>
      <c r="O571" s="478" t="s">
        <v>822</v>
      </c>
      <c r="P571" s="410"/>
      <c r="Q571" s="410"/>
      <c r="R571" s="410"/>
      <c r="S571" s="408"/>
      <c r="T571" s="34"/>
      <c r="U571" s="34"/>
      <c r="V571" s="35" t="s">
        <v>66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x14ac:dyDescent="0.2">
      <c r="A572" s="41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41" t="s">
        <v>70</v>
      </c>
      <c r="P572" s="442"/>
      <c r="Q572" s="442"/>
      <c r="R572" s="442"/>
      <c r="S572" s="442"/>
      <c r="T572" s="442"/>
      <c r="U572" s="443"/>
      <c r="V572" s="37" t="s">
        <v>71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15"/>
      <c r="O573" s="441" t="s">
        <v>70</v>
      </c>
      <c r="P573" s="442"/>
      <c r="Q573" s="442"/>
      <c r="R573" s="442"/>
      <c r="S573" s="442"/>
      <c r="T573" s="442"/>
      <c r="U573" s="443"/>
      <c r="V573" s="37" t="s">
        <v>66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4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67"/>
      <c r="O574" s="438" t="s">
        <v>823</v>
      </c>
      <c r="P574" s="439"/>
      <c r="Q574" s="439"/>
      <c r="R574" s="439"/>
      <c r="S574" s="439"/>
      <c r="T574" s="439"/>
      <c r="U574" s="440"/>
      <c r="V574" s="37" t="s">
        <v>66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17020.5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17159.95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67"/>
      <c r="O575" s="438" t="s">
        <v>824</v>
      </c>
      <c r="P575" s="439"/>
      <c r="Q575" s="439"/>
      <c r="R575" s="439"/>
      <c r="S575" s="439"/>
      <c r="T575" s="439"/>
      <c r="U575" s="440"/>
      <c r="V575" s="37" t="s">
        <v>66</v>
      </c>
      <c r="W575" s="405">
        <f>IFERROR(SUM(BL22:BL571),"0")</f>
        <v>18212.305825477204</v>
      </c>
      <c r="X575" s="405">
        <f>IFERROR(SUM(BM22:BM571),"0")</f>
        <v>18362.047000000006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67"/>
      <c r="O576" s="438" t="s">
        <v>825</v>
      </c>
      <c r="P576" s="439"/>
      <c r="Q576" s="439"/>
      <c r="R576" s="439"/>
      <c r="S576" s="439"/>
      <c r="T576" s="439"/>
      <c r="U576" s="440"/>
      <c r="V576" s="37" t="s">
        <v>826</v>
      </c>
      <c r="W576" s="38">
        <f>ROUNDUP(SUM(BN22:BN571),0)</f>
        <v>34</v>
      </c>
      <c r="X576" s="38">
        <f>ROUNDUP(SUM(BO22:BO571),0)</f>
        <v>34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67"/>
      <c r="O577" s="438" t="s">
        <v>827</v>
      </c>
      <c r="P577" s="439"/>
      <c r="Q577" s="439"/>
      <c r="R577" s="439"/>
      <c r="S577" s="439"/>
      <c r="T577" s="439"/>
      <c r="U577" s="440"/>
      <c r="V577" s="37" t="s">
        <v>66</v>
      </c>
      <c r="W577" s="405">
        <f>GrossWeightTotal+PalletQtyTotal*25</f>
        <v>19062.305825477204</v>
      </c>
      <c r="X577" s="405">
        <f>GrossWeightTotalR+PalletQtyTotalR*25</f>
        <v>19212.047000000006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67"/>
      <c r="O578" s="438" t="s">
        <v>828</v>
      </c>
      <c r="P578" s="439"/>
      <c r="Q578" s="439"/>
      <c r="R578" s="439"/>
      <c r="S578" s="439"/>
      <c r="T578" s="439"/>
      <c r="U578" s="440"/>
      <c r="V578" s="37" t="s">
        <v>826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3938.4390459476672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3966</v>
      </c>
      <c r="Y578" s="37"/>
      <c r="Z578" s="406"/>
      <c r="AA578" s="406"/>
    </row>
    <row r="579" spans="1:30" ht="14.25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67"/>
      <c r="O579" s="438" t="s">
        <v>829</v>
      </c>
      <c r="P579" s="439"/>
      <c r="Q579" s="439"/>
      <c r="R579" s="439"/>
      <c r="S579" s="439"/>
      <c r="T579" s="439"/>
      <c r="U579" s="440"/>
      <c r="V579" s="39" t="s">
        <v>830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38.974379999999996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831</v>
      </c>
      <c r="B581" s="394" t="s">
        <v>60</v>
      </c>
      <c r="C581" s="446" t="s">
        <v>104</v>
      </c>
      <c r="D581" s="563"/>
      <c r="E581" s="563"/>
      <c r="F581" s="562"/>
      <c r="G581" s="446" t="s">
        <v>241</v>
      </c>
      <c r="H581" s="563"/>
      <c r="I581" s="563"/>
      <c r="J581" s="563"/>
      <c r="K581" s="563"/>
      <c r="L581" s="563"/>
      <c r="M581" s="563"/>
      <c r="N581" s="563"/>
      <c r="O581" s="562"/>
      <c r="P581" s="446" t="s">
        <v>488</v>
      </c>
      <c r="Q581" s="562"/>
      <c r="R581" s="446" t="s">
        <v>569</v>
      </c>
      <c r="S581" s="563"/>
      <c r="T581" s="563"/>
      <c r="U581" s="562"/>
      <c r="V581" s="394" t="s">
        <v>689</v>
      </c>
      <c r="W581" s="394" t="s">
        <v>740</v>
      </c>
      <c r="AA581" s="52"/>
      <c r="AD581" s="395"/>
    </row>
    <row r="582" spans="1:30" ht="14.25" customHeight="1" thickTop="1" x14ac:dyDescent="0.2">
      <c r="A582" s="652" t="s">
        <v>832</v>
      </c>
      <c r="B582" s="446" t="s">
        <v>60</v>
      </c>
      <c r="C582" s="446" t="s">
        <v>105</v>
      </c>
      <c r="D582" s="446" t="s">
        <v>113</v>
      </c>
      <c r="E582" s="446" t="s">
        <v>104</v>
      </c>
      <c r="F582" s="446" t="s">
        <v>231</v>
      </c>
      <c r="G582" s="446" t="s">
        <v>242</v>
      </c>
      <c r="H582" s="446" t="s">
        <v>256</v>
      </c>
      <c r="I582" s="446" t="s">
        <v>275</v>
      </c>
      <c r="J582" s="446" t="s">
        <v>348</v>
      </c>
      <c r="K582" s="446" t="s">
        <v>369</v>
      </c>
      <c r="L582" s="446" t="s">
        <v>382</v>
      </c>
      <c r="M582" s="395"/>
      <c r="N582" s="446" t="s">
        <v>458</v>
      </c>
      <c r="O582" s="446" t="s">
        <v>475</v>
      </c>
      <c r="P582" s="446" t="s">
        <v>489</v>
      </c>
      <c r="Q582" s="446" t="s">
        <v>538</v>
      </c>
      <c r="R582" s="446" t="s">
        <v>570</v>
      </c>
      <c r="S582" s="446" t="s">
        <v>641</v>
      </c>
      <c r="T582" s="446" t="s">
        <v>673</v>
      </c>
      <c r="U582" s="446" t="s">
        <v>680</v>
      </c>
      <c r="V582" s="446" t="s">
        <v>689</v>
      </c>
      <c r="W582" s="446" t="s">
        <v>740</v>
      </c>
      <c r="AA582" s="52"/>
      <c r="AD582" s="395"/>
    </row>
    <row r="583" spans="1:30" ht="13.5" customHeight="1" thickBot="1" x14ac:dyDescent="0.25">
      <c r="A583" s="653"/>
      <c r="B583" s="447"/>
      <c r="C583" s="447"/>
      <c r="D583" s="447"/>
      <c r="E583" s="447"/>
      <c r="F583" s="447"/>
      <c r="G583" s="447"/>
      <c r="H583" s="447"/>
      <c r="I583" s="447"/>
      <c r="J583" s="447"/>
      <c r="K583" s="447"/>
      <c r="L583" s="447"/>
      <c r="M583" s="395"/>
      <c r="N583" s="447"/>
      <c r="O583" s="447"/>
      <c r="P583" s="447"/>
      <c r="Q583" s="447"/>
      <c r="R583" s="447"/>
      <c r="S583" s="447"/>
      <c r="T583" s="447"/>
      <c r="U583" s="447"/>
      <c r="V583" s="447"/>
      <c r="W583" s="447"/>
      <c r="AA583" s="52"/>
      <c r="AD583" s="395"/>
    </row>
    <row r="584" spans="1:30" ht="18" customHeight="1" thickTop="1" thickBot="1" x14ac:dyDescent="0.25">
      <c r="A584" s="40" t="s">
        <v>833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148.5</v>
      </c>
      <c r="D584" s="46">
        <f>IFERROR(X59*1,"0")+IFERROR(X60*1,"0")+IFERROR(X61*1,"0")+IFERROR(X62*1,"0")</f>
        <v>887.40000000000009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1907.6599999999999</v>
      </c>
      <c r="F584" s="46">
        <f>IFERROR(X136*1,"0")+IFERROR(X137*1,"0")+IFERROR(X138*1,"0")+IFERROR(X139*1,"0")+IFERROR(X140*1,"0")</f>
        <v>760.50000000000011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602.70000000000005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3101.4</v>
      </c>
      <c r="J584" s="46">
        <f>IFERROR(X215*1,"0")+IFERROR(X216*1,"0")+IFERROR(X217*1,"0")+IFERROR(X218*1,"0")+IFERROR(X219*1,"0")+IFERROR(X220*1,"0")+IFERROR(X221*1,"0")+IFERROR(X225*1,"0")+IFERROR(X226*1,"0")+IFERROR(X227*1,"0")</f>
        <v>129</v>
      </c>
      <c r="K584" s="46">
        <f>IFERROR(X232*1,"0")+IFERROR(X233*1,"0")+IFERROR(X234*1,"0")+IFERROR(X235*1,"0")+IFERROR(X236*1,"0")+IFERROR(X237*1,"0")</f>
        <v>292.39999999999998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527.28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1117.1699999999998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5771.4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91.2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551.22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18.600000000000001</v>
      </c>
      <c r="T584" s="46">
        <f>IFERROR(X473*1,"0")+IFERROR(X474*1,"0")+IFERROR(X475*1,"0")</f>
        <v>40.799999999999997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1009.9200000000001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202.79999999999998</v>
      </c>
      <c r="AA584" s="52"/>
      <c r="AD584" s="395"/>
    </row>
  </sheetData>
  <sheetProtection algorithmName="SHA-512" hashValue="yuoGEBJVt84BcvHRUXsLia7iA/RtYlP6X8ctrJUCFwdUdtJAjARFVGnG+Kjo+WBqEwStFPcUkUlrVJrSy4/zsA==" saltValue="g4W60YQ4LgtqrodsYUjmV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O186:U186"/>
    <mergeCell ref="D414:E414"/>
    <mergeCell ref="D352:E352"/>
    <mergeCell ref="D91:E91"/>
    <mergeCell ref="O113:S113"/>
    <mergeCell ref="D9:E9"/>
    <mergeCell ref="D180:E180"/>
    <mergeCell ref="D118:E118"/>
    <mergeCell ref="F9:G9"/>
    <mergeCell ref="A48:N49"/>
    <mergeCell ref="O383:U383"/>
    <mergeCell ref="D161:E161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P9:Q9"/>
    <mergeCell ref="O310:S310"/>
    <mergeCell ref="O372:S372"/>
    <mergeCell ref="A529:Y529"/>
    <mergeCell ref="O408:S408"/>
    <mergeCell ref="O464:S464"/>
    <mergeCell ref="O528:U528"/>
    <mergeCell ref="O402:S402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H9:I9"/>
    <mergeCell ref="O92:S92"/>
    <mergeCell ref="O30:S30"/>
    <mergeCell ref="O263:S263"/>
    <mergeCell ref="O334:S334"/>
    <mergeCell ref="D281:E281"/>
    <mergeCell ref="O499:S499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A55:N56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834</v>
      </c>
      <c r="H1" s="52"/>
    </row>
    <row r="3" spans="2:8" x14ac:dyDescent="0.2">
      <c r="B3" s="47" t="s">
        <v>835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836</v>
      </c>
      <c r="D6" s="47" t="s">
        <v>837</v>
      </c>
      <c r="E6" s="47"/>
    </row>
    <row r="7" spans="2:8" x14ac:dyDescent="0.2">
      <c r="B7" s="47" t="s">
        <v>838</v>
      </c>
      <c r="C7" s="47" t="s">
        <v>839</v>
      </c>
      <c r="D7" s="47" t="s">
        <v>840</v>
      </c>
      <c r="E7" s="47"/>
    </row>
    <row r="9" spans="2:8" x14ac:dyDescent="0.2">
      <c r="B9" s="47" t="s">
        <v>841</v>
      </c>
      <c r="C9" s="47" t="s">
        <v>836</v>
      </c>
      <c r="D9" s="47"/>
      <c r="E9" s="47"/>
    </row>
    <row r="11" spans="2:8" x14ac:dyDescent="0.2">
      <c r="B11" s="47" t="s">
        <v>841</v>
      </c>
      <c r="C11" s="47" t="s">
        <v>839</v>
      </c>
      <c r="D11" s="47"/>
      <c r="E11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  <row r="21" spans="2:5" x14ac:dyDescent="0.2">
      <c r="B21" s="47" t="s">
        <v>850</v>
      </c>
      <c r="C21" s="47"/>
      <c r="D21" s="47"/>
      <c r="E21" s="47"/>
    </row>
    <row r="22" spans="2:5" x14ac:dyDescent="0.2">
      <c r="B22" s="47" t="s">
        <v>851</v>
      </c>
      <c r="C22" s="47"/>
      <c r="D22" s="47"/>
      <c r="E22" s="47"/>
    </row>
    <row r="23" spans="2:5" x14ac:dyDescent="0.2">
      <c r="B23" s="47" t="s">
        <v>852</v>
      </c>
      <c r="C23" s="47"/>
      <c r="D23" s="47"/>
      <c r="E23" s="47"/>
    </row>
  </sheetData>
  <sheetProtection algorithmName="SHA-512" hashValue="/iit9Ci1ZaDDu6I7re3bwoLQ1/03lmnMs0h8vpBPfZ6qkhf5YJvFSkk9jeE+mKLO5vB7KkxFD/3YBmDscbDYww==" saltValue="uM5KIpxPTbwnuctw7DAW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1359</vt:i4>
      </vt:variant>
    </vt:vector>
  </HeadingPairs>
  <TitlesOfParts>
    <vt:vector size="13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2024-07-04T08:30:39Z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